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codeName="{1AED2BDD-1FA3-CEF2-32D4-FBADEFEB71EE}"/>
  <workbookPr codeName="ThisWorkbook" defaultThemeVersion="124226"/>
  <bookViews>
    <workbookView xWindow="65416" yWindow="65416" windowWidth="29040" windowHeight="15990" activeTab="0"/>
  </bookViews>
  <sheets>
    <sheet name="Pres &amp; Prop Rev" sheetId="1" r:id="rId1"/>
    <sheet name="Rate Design" sheetId="14" r:id="rId2"/>
    <sheet name="RS" sheetId="18" r:id="rId3"/>
    <sheet name="RD" sheetId="20" r:id="rId4"/>
    <sheet name="Rate Spread GRC" sheetId="41" r:id="rId5"/>
    <sheet name="Bill Determ" sheetId="5" r:id="rId6"/>
    <sheet name="Open" sheetId="38" r:id="rId7"/>
    <sheet name="Bill Impact" sheetId="30" r:id="rId8"/>
    <sheet name="LIRAP" sheetId="46" r:id="rId9"/>
    <sheet name="WA Sch 25" sheetId="6" r:id="rId10"/>
    <sheet name="Lighting summary" sheetId="7" r:id="rId11"/>
    <sheet name="St Lts" sheetId="9" r:id="rId12"/>
    <sheet name="Area Lts" sheetId="10" r:id="rId13"/>
    <sheet name="Capital Recovery Factor Calc" sheetId="32" r:id="rId14"/>
    <sheet name="Sch46" sheetId="44" r:id="rId15"/>
    <sheet name="Block Data" sheetId="27" r:id="rId16"/>
    <sheet name="REVRUNS 12ME1219" sheetId="37" r:id="rId17"/>
  </sheets>
  <externalReferences>
    <externalReference r:id="rId20"/>
  </externalReferences>
  <definedNames>
    <definedName name="Base1_Billing2">'Pres &amp; Prop Rev'!$N$8</definedName>
    <definedName name="ERM">'Rate Design'!$D$45</definedName>
    <definedName name="_xlnm.Print_Area" localSheetId="12">'Area Lts'!$I$1:$AE$56</definedName>
    <definedName name="_xlnm.Print_Area" localSheetId="5">'Bill Determ'!$A$1:$G$59</definedName>
    <definedName name="_xlnm.Print_Area" localSheetId="7">'Bill Impact'!$A$1:$M$24</definedName>
    <definedName name="_xlnm.Print_Area" localSheetId="15">'Block Data'!$A$3:$O$101</definedName>
    <definedName name="_xlnm.Print_Area" localSheetId="13">'Capital Recovery Factor Calc'!$F$5:$P$40</definedName>
    <definedName name="_xlnm.Print_Area" localSheetId="10">'Lighting summary'!$B$1:$J$24</definedName>
    <definedName name="_xlnm.Print_Area" localSheetId="8">'LIRAP'!$B$6:$K$34</definedName>
    <definedName name="_xlnm.Print_Area" localSheetId="6">'Open'!$A$3:$G$26</definedName>
    <definedName name="_xlnm.Print_Area" localSheetId="0">'Pres &amp; Prop Rev'!$A$1:$I$295</definedName>
    <definedName name="_xlnm.Print_Area" localSheetId="1">'Rate Design'!$A$49:$J$107</definedName>
    <definedName name="_xlnm.Print_Area" localSheetId="4">'Rate Spread GRC'!$A$3:$L$27</definedName>
    <definedName name="_xlnm.Print_Area" localSheetId="3">'RD'!$A$1:$N$64</definedName>
    <definedName name="_xlnm.Print_Area" localSheetId="16">'REVRUNS 12ME1219'!$A$281:$P$329</definedName>
    <definedName name="_xlnm.Print_Area" localSheetId="2">'RS'!$A$1:$P$37</definedName>
    <definedName name="_xlnm.Print_Area" localSheetId="14">'Sch46'!$A$3:$E$29</definedName>
    <definedName name="_xlnm.Print_Area" localSheetId="11">'St Lts'!$I$1:$AO$152</definedName>
    <definedName name="_xlnm.Print_Area" localSheetId="9">'WA Sch 25'!$A$1:$S$116</definedName>
    <definedName name="Print1" localSheetId="12">'Area Lts'!$M$1:$T$62</definedName>
    <definedName name="Print1" localSheetId="11">'St Lts'!$M$1:$AC$105</definedName>
    <definedName name="Print1">'St Lts'!$M$1:$AC$107</definedName>
    <definedName name="Print2" localSheetId="12">'Area Lts'!$AA$1:$AH$62</definedName>
    <definedName name="Print2" localSheetId="11">'St Lts'!$AE$1:$AU$105</definedName>
    <definedName name="Print2">'St Lts'!$AE$1:$AU$105</definedName>
    <definedName name="PrintHeader" localSheetId="0">'Pres &amp; Prop Rev'!$P$6</definedName>
    <definedName name="Rates_Base_Present">'Rate Design'!$D$4:$J$11</definedName>
    <definedName name="Rates_Base_Proposed">'Rate Design'!$D$26:$J$33</definedName>
    <definedName name="Rates_Billing_Present">'Rate Design'!$D$14:$J$21</definedName>
    <definedName name="Rates_Billing_Proposed">'Rate Design'!$D$36:$J$43</definedName>
    <definedName name="Sch25_Annual_excess_kva">'WA Sch 25'!$P$68:$P$92</definedName>
    <definedName name="Sch25_Annual_kva">'WA Sch 25'!$P$41:$P$65</definedName>
    <definedName name="Sch25_Annual_kW">'WA Sch 25'!$P$68:$P$92</definedName>
    <definedName name="Sch25_Annual_kWh">'WA Sch 25'!$P$4:$P$37</definedName>
    <definedName name="Sch25_kWh">'WA Sch 25'!$D$4:$O$37</definedName>
    <definedName name="Sch25_n">'WA Sch 25'!$A$4:$A$37</definedName>
    <definedName name="Sch25_nD">'WA Sch 25'!$A$68:$A$92</definedName>
    <definedName name="SL_RateIncr">'St Lts'!$AD$1</definedName>
    <definedName name="_xlnm.Print_Titles" localSheetId="1">'Rate Design'!$1:$2</definedName>
    <definedName name="_xlnm.Print_Titles" localSheetId="11">'St Lts'!$I:$L</definedName>
    <definedName name="_xlnm.Print_Titles" localSheetId="12">'Area Lts'!$I:$L</definedName>
  </definedNames>
  <calcPr calcId="191029"/>
  <extLst/>
</workbook>
</file>

<file path=xl/comments1.xml><?xml version="1.0" encoding="utf-8"?>
<comments xmlns="http://schemas.openxmlformats.org/spreadsheetml/2006/main">
  <authors>
    <author>Joe Miller</author>
  </authors>
  <commentList>
    <comment ref="G14" authorId="0">
      <text>
        <r>
          <rPr>
            <b/>
            <sz val="8"/>
            <rFont val="Tahoma"/>
            <family val="2"/>
          </rPr>
          <t>Joe Miller:</t>
        </r>
        <r>
          <rPr>
            <sz val="8"/>
            <rFont val="Tahoma"/>
            <family val="2"/>
          </rPr>
          <t xml:space="preserve">
Includes Unbilled</t>
        </r>
      </text>
    </comment>
  </commentList>
</comments>
</file>

<file path=xl/comments10.xml><?xml version="1.0" encoding="utf-8"?>
<comments xmlns="http://schemas.openxmlformats.org/spreadsheetml/2006/main">
  <authors>
    <author>Author</author>
    <author>Joe Miller</author>
    <author>Miller, Joe</author>
  </authors>
  <commentList>
    <comment ref="I12" authorId="0">
      <text>
        <r>
          <rPr>
            <b/>
            <sz val="9"/>
            <rFont val="Tahoma"/>
            <family val="2"/>
          </rPr>
          <t>tlk:</t>
        </r>
        <r>
          <rPr>
            <sz val="9"/>
            <rFont val="Tahoma"/>
            <family val="2"/>
          </rPr>
          <t xml:space="preserve">
7/8/16 corrected bill</t>
        </r>
      </text>
    </comment>
    <comment ref="F44" authorId="0">
      <text>
        <r>
          <rPr>
            <b/>
            <sz val="9"/>
            <rFont val="Tahoma"/>
            <family val="2"/>
          </rPr>
          <t>tlk:</t>
        </r>
        <r>
          <rPr>
            <sz val="9"/>
            <rFont val="Tahoma"/>
            <family val="2"/>
          </rPr>
          <t xml:space="preserve">
10/2 billing value only</t>
        </r>
      </text>
    </comment>
    <comment ref="D143" authorId="1">
      <text>
        <r>
          <rPr>
            <b/>
            <sz val="9"/>
            <rFont val="Tahoma"/>
            <family val="2"/>
          </rPr>
          <t>Joe Miller:</t>
        </r>
        <r>
          <rPr>
            <sz val="9"/>
            <rFont val="Tahoma"/>
            <family val="2"/>
          </rPr>
          <t xml:space="preserve">
no PVD
</t>
        </r>
      </text>
    </comment>
    <comment ref="D144" authorId="1">
      <text>
        <r>
          <rPr>
            <b/>
            <sz val="9"/>
            <rFont val="Tahoma"/>
            <family val="2"/>
          </rPr>
          <t>Joe Miller:</t>
        </r>
        <r>
          <rPr>
            <sz val="9"/>
            <rFont val="Tahoma"/>
            <family val="2"/>
          </rPr>
          <t xml:space="preserve">
no PVD
</t>
        </r>
      </text>
    </comment>
    <comment ref="D145" authorId="2">
      <text>
        <r>
          <rPr>
            <b/>
            <sz val="9"/>
            <rFont val="Tahoma"/>
            <family val="2"/>
          </rPr>
          <t>Miller, Joe:</t>
        </r>
        <r>
          <rPr>
            <sz val="9"/>
            <rFont val="Tahoma"/>
            <family val="2"/>
          </rPr>
          <t xml:space="preserve">
No PVD</t>
        </r>
      </text>
    </comment>
  </commentList>
</comments>
</file>

<file path=xl/comments11.xml><?xml version="1.0" encoding="utf-8"?>
<comments xmlns="http://schemas.openxmlformats.org/spreadsheetml/2006/main">
  <authors>
    <author>KZX5DR</author>
    <author>Joe Miller</author>
  </authors>
  <commentList>
    <comment ref="J9" authorId="0">
      <text>
        <r>
          <rPr>
            <sz val="11"/>
            <rFont val="Tahoma"/>
            <family val="2"/>
          </rPr>
          <t>Switch to Billing view and copy values from Base Rates column.</t>
        </r>
      </text>
    </comment>
    <comment ref="L9" authorId="1">
      <text>
        <r>
          <rPr>
            <sz val="8"/>
            <rFont val="Tahoma"/>
            <family val="2"/>
          </rPr>
          <t xml:space="preserve">from ROR tab, street/area light %
</t>
        </r>
      </text>
    </comment>
  </commentList>
</comments>
</file>

<file path=xl/comments12.xml><?xml version="1.0" encoding="utf-8"?>
<comments xmlns="http://schemas.openxmlformats.org/spreadsheetml/2006/main">
  <authors>
    <author>Joe Miller</author>
    <author>Miller, Joe</author>
  </authors>
  <commentList>
    <comment ref="BD1" authorId="0">
      <text>
        <r>
          <rPr>
            <b/>
            <sz val="9"/>
            <rFont val="Tahoma"/>
            <family val="2"/>
          </rPr>
          <t>Joe Miller:</t>
        </r>
        <r>
          <rPr>
            <sz val="9"/>
            <rFont val="Tahoma"/>
            <family val="2"/>
          </rPr>
          <t xml:space="preserve">
Sch 74 and 98</t>
        </r>
      </text>
    </comment>
    <comment ref="BD2" authorId="0">
      <text>
        <r>
          <rPr>
            <b/>
            <sz val="9"/>
            <rFont val="Tahoma"/>
            <family val="2"/>
          </rPr>
          <t>Joe Miller:</t>
        </r>
        <r>
          <rPr>
            <sz val="9"/>
            <rFont val="Tahoma"/>
            <family val="2"/>
          </rPr>
          <t xml:space="preserve">
Sch 91</t>
        </r>
      </text>
    </comment>
    <comment ref="BE4" authorId="0">
      <text>
        <r>
          <rPr>
            <b/>
            <sz val="9"/>
            <rFont val="Tahoma"/>
            <family val="2"/>
          </rPr>
          <t>Joe Miller:</t>
        </r>
        <r>
          <rPr>
            <sz val="9"/>
            <rFont val="Tahoma"/>
            <family val="2"/>
          </rPr>
          <t xml:space="preserve">
1 cent difference is because shortcuts independently calculate Sch 91 &amp; 92 and rate design adds them together</t>
        </r>
      </text>
    </comment>
    <comment ref="AL37" authorId="1">
      <text>
        <r>
          <rPr>
            <b/>
            <sz val="9"/>
            <rFont val="Tahoma"/>
            <family val="2"/>
          </rPr>
          <t>Miller, Joe:</t>
        </r>
        <r>
          <rPr>
            <sz val="9"/>
            <rFont val="Tahoma"/>
            <family val="2"/>
          </rPr>
          <t xml:space="preserve">
not on tariff sheet (TIB) rate</t>
        </r>
      </text>
    </comment>
    <comment ref="D39" authorId="0">
      <text>
        <r>
          <rPr>
            <b/>
            <sz val="8"/>
            <rFont val="Tahoma"/>
            <family val="2"/>
          </rPr>
          <t>Joe Miller:</t>
        </r>
        <r>
          <rPr>
            <sz val="8"/>
            <rFont val="Tahoma"/>
            <family val="2"/>
          </rPr>
          <t xml:space="preserve">
Coded as 474C on shortcuts.  Capital only portion of lights</t>
        </r>
      </text>
    </comment>
    <comment ref="AL40" authorId="1">
      <text>
        <r>
          <rPr>
            <b/>
            <sz val="9"/>
            <rFont val="Tahoma"/>
            <family val="2"/>
          </rPr>
          <t>Miller, Joe:</t>
        </r>
        <r>
          <rPr>
            <sz val="9"/>
            <rFont val="Tahoma"/>
            <family val="2"/>
          </rPr>
          <t xml:space="preserve">
not on tariff sheet</t>
        </r>
      </text>
    </comment>
    <comment ref="AL45" authorId="1">
      <text>
        <r>
          <rPr>
            <b/>
            <sz val="9"/>
            <rFont val="Tahoma"/>
            <family val="2"/>
          </rPr>
          <t>Miller, Joe:</t>
        </r>
        <r>
          <rPr>
            <sz val="9"/>
            <rFont val="Tahoma"/>
            <family val="2"/>
          </rPr>
          <t xml:space="preserve">
not on tariff sheet</t>
        </r>
      </text>
    </comment>
    <comment ref="AL48" authorId="1">
      <text>
        <r>
          <rPr>
            <b/>
            <sz val="9"/>
            <rFont val="Tahoma"/>
            <family val="2"/>
          </rPr>
          <t>Miller, Joe:</t>
        </r>
        <r>
          <rPr>
            <sz val="9"/>
            <rFont val="Tahoma"/>
            <family val="2"/>
          </rPr>
          <t xml:space="preserve">
not on tariff sheet</t>
        </r>
      </text>
    </comment>
    <comment ref="AL51" authorId="1">
      <text>
        <r>
          <rPr>
            <b/>
            <sz val="9"/>
            <rFont val="Tahoma"/>
            <family val="2"/>
          </rPr>
          <t>Miller, Joe:</t>
        </r>
        <r>
          <rPr>
            <sz val="9"/>
            <rFont val="Tahoma"/>
            <family val="2"/>
          </rPr>
          <t xml:space="preserve">
not on tariff sheet</t>
        </r>
      </text>
    </comment>
    <comment ref="I57" authorId="0">
      <text>
        <r>
          <rPr>
            <b/>
            <sz val="9"/>
            <rFont val="Tahoma"/>
            <family val="2"/>
          </rPr>
          <t>Joe Miller:</t>
        </r>
        <r>
          <rPr>
            <sz val="9"/>
            <rFont val="Tahoma"/>
            <family val="2"/>
          </rPr>
          <t xml:space="preserve">
Hillyard street light project</t>
        </r>
      </text>
    </comment>
    <comment ref="AL65" authorId="1">
      <text>
        <r>
          <rPr>
            <b/>
            <sz val="9"/>
            <rFont val="Tahoma"/>
            <family val="2"/>
          </rPr>
          <t>Miller, Joe:</t>
        </r>
        <r>
          <rPr>
            <sz val="9"/>
            <rFont val="Tahoma"/>
            <family val="2"/>
          </rPr>
          <t xml:space="preserve">
not on tariff sheet</t>
        </r>
      </text>
    </comment>
    <comment ref="AL68" authorId="1">
      <text>
        <r>
          <rPr>
            <b/>
            <sz val="9"/>
            <rFont val="Tahoma"/>
            <family val="2"/>
          </rPr>
          <t>Miller, Joe:</t>
        </r>
        <r>
          <rPr>
            <sz val="9"/>
            <rFont val="Tahoma"/>
            <family val="2"/>
          </rPr>
          <t xml:space="preserve">
not on tariff sheet</t>
        </r>
      </text>
    </comment>
    <comment ref="AL71" authorId="1">
      <text>
        <r>
          <rPr>
            <b/>
            <sz val="9"/>
            <rFont val="Tahoma"/>
            <family val="2"/>
          </rPr>
          <t>Miller, Joe:</t>
        </r>
        <r>
          <rPr>
            <sz val="9"/>
            <rFont val="Tahoma"/>
            <family val="2"/>
          </rPr>
          <t xml:space="preserve">
not on tariff sheet</t>
        </r>
      </text>
    </comment>
    <comment ref="AL74" authorId="1">
      <text>
        <r>
          <rPr>
            <b/>
            <sz val="9"/>
            <rFont val="Tahoma"/>
            <family val="2"/>
          </rPr>
          <t>Miller, Joe:</t>
        </r>
        <r>
          <rPr>
            <sz val="9"/>
            <rFont val="Tahoma"/>
            <family val="2"/>
          </rPr>
          <t xml:space="preserve">
not on tariff sheet</t>
        </r>
      </text>
    </comment>
    <comment ref="AL78" authorId="1">
      <text>
        <r>
          <rPr>
            <b/>
            <sz val="9"/>
            <rFont val="Tahoma"/>
            <family val="2"/>
          </rPr>
          <t>Miller, Joe:</t>
        </r>
        <r>
          <rPr>
            <sz val="9"/>
            <rFont val="Tahoma"/>
            <family val="2"/>
          </rPr>
          <t xml:space="preserve">
not on tariff sheet</t>
        </r>
      </text>
    </comment>
    <comment ref="I79" authorId="0">
      <text>
        <r>
          <rPr>
            <b/>
            <sz val="9"/>
            <rFont val="Tahoma"/>
            <family val="2"/>
          </rPr>
          <t>Joe Miller:</t>
        </r>
        <r>
          <rPr>
            <sz val="9"/>
            <rFont val="Tahoma"/>
            <family val="2"/>
          </rPr>
          <t xml:space="preserve">
Add to tariff sheet</t>
        </r>
      </text>
    </comment>
    <comment ref="AL79" authorId="1">
      <text>
        <r>
          <rPr>
            <b/>
            <sz val="9"/>
            <rFont val="Tahoma"/>
            <family val="2"/>
          </rPr>
          <t>Miller, Joe:</t>
        </r>
        <r>
          <rPr>
            <sz val="9"/>
            <rFont val="Tahoma"/>
            <family val="2"/>
          </rPr>
          <t xml:space="preserve">
not on tariff sheet</t>
        </r>
      </text>
    </comment>
    <comment ref="AL92" authorId="1">
      <text>
        <r>
          <rPr>
            <b/>
            <sz val="9"/>
            <rFont val="Tahoma"/>
            <family val="2"/>
          </rPr>
          <t>Miller, Joe:</t>
        </r>
        <r>
          <rPr>
            <sz val="9"/>
            <rFont val="Tahoma"/>
            <family val="2"/>
          </rPr>
          <t xml:space="preserve">
not on tariff sheet</t>
        </r>
      </text>
    </comment>
    <comment ref="AL95" authorId="1">
      <text>
        <r>
          <rPr>
            <b/>
            <sz val="9"/>
            <rFont val="Tahoma"/>
            <family val="2"/>
          </rPr>
          <t>Miller, Joe:</t>
        </r>
        <r>
          <rPr>
            <sz val="9"/>
            <rFont val="Tahoma"/>
            <family val="2"/>
          </rPr>
          <t xml:space="preserve">
not on tariff sheet</t>
        </r>
      </text>
    </comment>
    <comment ref="AL97" authorId="1">
      <text>
        <r>
          <rPr>
            <b/>
            <sz val="9"/>
            <rFont val="Tahoma"/>
            <family val="2"/>
          </rPr>
          <t>Miller, Joe:</t>
        </r>
        <r>
          <rPr>
            <sz val="9"/>
            <rFont val="Tahoma"/>
            <family val="2"/>
          </rPr>
          <t xml:space="preserve">
not on tariff sheet</t>
        </r>
      </text>
    </comment>
    <comment ref="I101" authorId="0">
      <text>
        <r>
          <rPr>
            <b/>
            <sz val="9"/>
            <rFont val="Tahoma"/>
            <family val="2"/>
          </rPr>
          <t>Joe Miller:</t>
        </r>
        <r>
          <rPr>
            <sz val="9"/>
            <rFont val="Tahoma"/>
            <family val="2"/>
          </rPr>
          <t xml:space="preserve">
State funded program where small communities received grants to convert lights to LED's.  </t>
        </r>
      </text>
    </comment>
    <comment ref="I105" authorId="1">
      <text>
        <r>
          <rPr>
            <b/>
            <sz val="9"/>
            <rFont val="Tahoma"/>
            <family val="2"/>
          </rPr>
          <t>Miller, Joe:</t>
        </r>
        <r>
          <rPr>
            <sz val="9"/>
            <rFont val="Tahoma"/>
            <family val="2"/>
          </rPr>
          <t xml:space="preserve">
These are TIB funded rates that pay the LED rate less the TIB Capital Offset</t>
        </r>
      </text>
    </comment>
    <comment ref="X106" authorId="1">
      <text>
        <r>
          <rPr>
            <b/>
            <sz val="9"/>
            <rFont val="Tahoma"/>
            <family val="2"/>
          </rPr>
          <t>Miller, Joe:</t>
        </r>
        <r>
          <rPr>
            <sz val="9"/>
            <rFont val="Tahoma"/>
            <family val="2"/>
          </rPr>
          <t xml:space="preserve">
These are TIB funded rates that pay the LED rate less the TIB Capital Offset</t>
        </r>
      </text>
    </comment>
    <comment ref="L117" authorId="0">
      <text>
        <r>
          <rPr>
            <b/>
            <sz val="8"/>
            <rFont val="Tahoma"/>
            <family val="2"/>
          </rPr>
          <t>Joe Miller:</t>
        </r>
        <r>
          <rPr>
            <sz val="8"/>
            <rFont val="Tahoma"/>
            <family val="2"/>
          </rPr>
          <t xml:space="preserve">
Coded as 533C on Shortcuts</t>
        </r>
      </text>
    </comment>
    <comment ref="L131" authorId="0">
      <text>
        <r>
          <rPr>
            <b/>
            <sz val="8"/>
            <rFont val="Tahoma"/>
            <family val="2"/>
          </rPr>
          <t>Joe Miller:</t>
        </r>
        <r>
          <rPr>
            <sz val="8"/>
            <rFont val="Tahoma"/>
            <family val="2"/>
          </rPr>
          <t xml:space="preserve">
Coded as 474C on shortucts</t>
        </r>
      </text>
    </comment>
    <comment ref="I144" authorId="0">
      <text>
        <r>
          <rPr>
            <b/>
            <sz val="9"/>
            <rFont val="Tahoma"/>
            <family val="2"/>
          </rPr>
          <t>Joe Miller:</t>
        </r>
        <r>
          <rPr>
            <sz val="9"/>
            <rFont val="Tahoma"/>
            <family val="2"/>
          </rPr>
          <t xml:space="preserve">
Add to tariff sheet</t>
        </r>
      </text>
    </comment>
  </commentList>
</comments>
</file>

<file path=xl/comments13.xml><?xml version="1.0" encoding="utf-8"?>
<comments xmlns="http://schemas.openxmlformats.org/spreadsheetml/2006/main">
  <authors>
    <author>Joe Miller</author>
    <author>KZX5DR</author>
  </authors>
  <commentList>
    <comment ref="P33" authorId="0">
      <text>
        <r>
          <rPr>
            <b/>
            <sz val="8"/>
            <rFont val="Tahoma"/>
            <family val="2"/>
          </rPr>
          <t>Joe Miller:</t>
        </r>
        <r>
          <rPr>
            <sz val="8"/>
            <rFont val="Tahoma"/>
            <family val="2"/>
          </rPr>
          <t xml:space="preserve">
Half of MVA per Gayle Gonser (2 customers splitting cost of light)</t>
        </r>
      </text>
    </comment>
    <comment ref="Q57" authorId="1">
      <text>
        <r>
          <rPr>
            <sz val="11"/>
            <rFont val="Tahoma"/>
            <family val="2"/>
          </rPr>
          <t>Brian says to ignore these.  He was told it was a special temporary program.</t>
        </r>
      </text>
    </comment>
  </commentList>
</comments>
</file>

<file path=xl/comments15.xml><?xml version="1.0" encoding="utf-8"?>
<comments xmlns="http://schemas.openxmlformats.org/spreadsheetml/2006/main">
  <authors>
    <author>Joe Miller</author>
  </authors>
  <commentList>
    <comment ref="B7" authorId="0">
      <text>
        <r>
          <rPr>
            <b/>
            <sz val="9"/>
            <rFont val="Tahoma"/>
            <family val="2"/>
          </rPr>
          <t>Joe Miller:</t>
        </r>
        <r>
          <rPr>
            <sz val="9"/>
            <rFont val="Tahoma"/>
            <family val="2"/>
          </rPr>
          <t xml:space="preserve">
supplied by Dan Knutsen (Senior Lighting Engineer)</t>
        </r>
      </text>
    </comment>
    <comment ref="H7" authorId="0">
      <text>
        <r>
          <rPr>
            <b/>
            <sz val="9"/>
            <rFont val="Tahoma"/>
            <family val="2"/>
          </rPr>
          <t>Joe Miller:</t>
        </r>
        <r>
          <rPr>
            <sz val="9"/>
            <rFont val="Tahoma"/>
            <family val="2"/>
          </rPr>
          <t xml:space="preserve">
estimated run time of 12 hrs per day.</t>
        </r>
      </text>
    </comment>
  </commentList>
</comments>
</file>

<file path=xl/comments2.xml><?xml version="1.0" encoding="utf-8"?>
<comments xmlns="http://schemas.openxmlformats.org/spreadsheetml/2006/main">
  <authors>
    <author>KZX5DR</author>
  </authors>
  <commentList>
    <comment ref="D13" authorId="0">
      <text>
        <r>
          <rPr>
            <sz val="11"/>
            <rFont val="Tahoma"/>
            <family val="2"/>
          </rPr>
          <t>include Sch 59 (BPA Res Ex) here but not in other schedules.</t>
        </r>
      </text>
    </comment>
  </commentList>
</comments>
</file>

<file path=xl/comments3.xml><?xml version="1.0" encoding="utf-8"?>
<comments xmlns="http://schemas.openxmlformats.org/spreadsheetml/2006/main">
  <authors>
    <author>KZX5DR</author>
  </authors>
  <commentList>
    <comment ref="H15" authorId="0">
      <text>
        <r>
          <rPr>
            <sz val="8"/>
            <rFont val="Tahoma"/>
            <family val="2"/>
          </rPr>
          <t>Change the cell range named Bill1Base2 to '2'.
Copy the values from col. D to this column.
Change the cell range named Bill1Base2 back to '1'.
Add impact of BPA ResEx for Schs 12, 22, 32 below since Sch 59 rates are not included in Rate Design tab.</t>
        </r>
      </text>
    </comment>
  </commentList>
</comments>
</file>

<file path=xl/comments4.xml><?xml version="1.0" encoding="utf-8"?>
<comments xmlns="http://schemas.openxmlformats.org/spreadsheetml/2006/main">
  <authors>
    <author>Joe Miller</author>
  </authors>
  <commentList>
    <comment ref="A58" authorId="0">
      <text>
        <r>
          <rPr>
            <b/>
            <sz val="9"/>
            <rFont val="Tahoma"/>
            <family val="2"/>
          </rPr>
          <t>Joe Miller:</t>
        </r>
        <r>
          <rPr>
            <sz val="9"/>
            <rFont val="Tahoma"/>
            <family val="2"/>
          </rPr>
          <t xml:space="preserve">
Not more than 3,000 kWh in this block</t>
        </r>
      </text>
    </comment>
  </commentList>
</comments>
</file>

<file path=xl/comments9.xml><?xml version="1.0" encoding="utf-8"?>
<comments xmlns="http://schemas.openxmlformats.org/spreadsheetml/2006/main">
  <authors>
    <author>Joe Miller</author>
    <author>Miller, Joe</author>
  </authors>
  <commentList>
    <comment ref="D9" authorId="0">
      <text>
        <r>
          <rPr>
            <b/>
            <sz val="9"/>
            <rFont val="Tahoma"/>
            <family val="2"/>
          </rPr>
          <t>Joe Miller:</t>
        </r>
        <r>
          <rPr>
            <sz val="9"/>
            <rFont val="Tahoma"/>
            <family val="2"/>
          </rPr>
          <t xml:space="preserve">
Forecasted Billing Determinants</t>
        </r>
      </text>
    </comment>
    <comment ref="R9" authorId="0">
      <text>
        <r>
          <rPr>
            <b/>
            <sz val="9"/>
            <rFont val="Tahoma"/>
            <family val="2"/>
          </rPr>
          <t>Joe Miller:</t>
        </r>
        <r>
          <rPr>
            <sz val="9"/>
            <rFont val="Tahoma"/>
            <family val="2"/>
          </rPr>
          <t xml:space="preserve">
Present Billed Revenue from 2019 GRC plus the REC Revenue Rebate Adjustment effective 7.1.19 and Schedule 74 expiration</t>
        </r>
      </text>
    </comment>
    <comment ref="D18" authorId="0">
      <text>
        <r>
          <rPr>
            <b/>
            <sz val="9"/>
            <rFont val="Tahoma"/>
            <family val="2"/>
          </rPr>
          <t>Joe Miller:</t>
        </r>
        <r>
          <rPr>
            <sz val="9"/>
            <rFont val="Tahoma"/>
            <family val="2"/>
          </rPr>
          <t xml:space="preserve">
First two blocks only</t>
        </r>
      </text>
    </comment>
    <comment ref="G38" authorId="1">
      <text>
        <r>
          <rPr>
            <b/>
            <sz val="9"/>
            <rFont val="Tahoma"/>
            <family val="2"/>
          </rPr>
          <t>Miller, Joe:</t>
        </r>
        <r>
          <rPr>
            <sz val="9"/>
            <rFont val="Tahoma"/>
            <family val="2"/>
          </rPr>
          <t xml:space="preserve">
UE-190334 conversion factor from Andrews exhibit</t>
        </r>
      </text>
    </comment>
    <comment ref="K47" authorId="0">
      <text>
        <r>
          <rPr>
            <b/>
            <sz val="9"/>
            <rFont val="Tahoma"/>
            <family val="2"/>
          </rPr>
          <t>Joe Miller:</t>
        </r>
        <r>
          <rPr>
            <sz val="9"/>
            <rFont val="Tahoma"/>
            <family val="2"/>
          </rPr>
          <t xml:space="preserve">
From 2017 GRC (UE-170485) Base Revenue</t>
        </r>
      </text>
    </comment>
  </commentList>
</comments>
</file>

<file path=xl/sharedStrings.xml><?xml version="1.0" encoding="utf-8"?>
<sst xmlns="http://schemas.openxmlformats.org/spreadsheetml/2006/main" count="2991" uniqueCount="995">
  <si>
    <t>WORK PAPER</t>
  </si>
  <si>
    <t xml:space="preserve"> </t>
  </si>
  <si>
    <t>RESIDENTIAL</t>
  </si>
  <si>
    <t xml:space="preserve">GENERAL SVC. </t>
  </si>
  <si>
    <t>LG. GEN. SVC.</t>
  </si>
  <si>
    <t>EX LG GEN SVC</t>
  </si>
  <si>
    <t>PUMPING</t>
  </si>
  <si>
    <t>ST &amp; AREA LTG</t>
  </si>
  <si>
    <t>REFERENCE</t>
  </si>
  <si>
    <t>TOTAL</t>
  </si>
  <si>
    <t>SCHEDULE 1</t>
  </si>
  <si>
    <t>SCH. 11,12</t>
  </si>
  <si>
    <t>SCH. 21,22</t>
  </si>
  <si>
    <t>SCHEDULE 25</t>
  </si>
  <si>
    <t>SCH. 30, 31, 32</t>
  </si>
  <si>
    <t>SCH. 41-48</t>
  </si>
  <si>
    <t>PRESENT BILL DETERMINANTS</t>
  </si>
  <si>
    <t>KILOWATT HOURS (KWHS)</t>
  </si>
  <si>
    <t>BLOCK 1</t>
  </si>
  <si>
    <t>BLOCK 2</t>
  </si>
  <si>
    <t>BLOCK 3</t>
  </si>
  <si>
    <t>BLOCK 4</t>
  </si>
  <si>
    <t>STREET &amp; AREA LIGHTS</t>
  </si>
  <si>
    <t>SUBTOTAL</t>
  </si>
  <si>
    <t>ADJUSTMENT TO ACTUAL</t>
  </si>
  <si>
    <t>TOTAL BEFORE ADJUSTMENT</t>
  </si>
  <si>
    <t>WEATHER &amp; UNBILLED ADJ. KWHS</t>
  </si>
  <si>
    <t>TOTAL PROFORMA KWHS</t>
  </si>
  <si>
    <t>TOTAL BILLS</t>
  </si>
  <si>
    <t>MINIMUM BILLS</t>
  </si>
  <si>
    <t>EXCESS DEMAND</t>
  </si>
  <si>
    <t>PROPOSED BILL DETERMINANTS</t>
  </si>
  <si>
    <t>PRESENT RATES</t>
  </si>
  <si>
    <t>BASIC CHARGE</t>
  </si>
  <si>
    <t>MONTHLY MINIMUM</t>
  </si>
  <si>
    <t>BLOCK 1 PER KWH</t>
  </si>
  <si>
    <t>BLOCK 2 PER KWH</t>
  </si>
  <si>
    <t>BLOCK 3 PER KWH</t>
  </si>
  <si>
    <t>BLOCK 4 PER KWH</t>
  </si>
  <si>
    <t>ADJUST TO ACTUAL PER KWH</t>
  </si>
  <si>
    <t>DEMAND BLOCK 1</t>
  </si>
  <si>
    <t>DEMAND BLOCK 2</t>
  </si>
  <si>
    <t>PROPOSED RATES</t>
  </si>
  <si>
    <t>PRESENT REVENUE</t>
  </si>
  <si>
    <t>ADJUST TO ACTUAL</t>
  </si>
  <si>
    <t>ADJUSTMENT REVENUE</t>
  </si>
  <si>
    <t>UNBILLED REVENUE ADJUSTMENT</t>
  </si>
  <si>
    <t>WEATHER NORMALIZATION ADJ</t>
  </si>
  <si>
    <t>TOTAL ADJUSTMENT REVENUE</t>
  </si>
  <si>
    <t>TOTAL PRESENT REVENUE</t>
  </si>
  <si>
    <t>PROPOSED REVENUE</t>
  </si>
  <si>
    <t>TOTAL PROPOSED REVENUE</t>
  </si>
  <si>
    <t>TOTAL REVENUE INCREASE</t>
  </si>
  <si>
    <t>PERCENT REVENUE INCREASE</t>
  </si>
  <si>
    <t>BASELOAD</t>
  </si>
  <si>
    <t>WTHR-SENS.</t>
  </si>
  <si>
    <t>RATES</t>
  </si>
  <si>
    <t>KWHS</t>
  </si>
  <si>
    <t>REVENUE</t>
  </si>
  <si>
    <t>PRESENT BASELOAD AND WEATHER-SENSITIVE RATES</t>
  </si>
  <si>
    <t>AVERAGE RATE</t>
  </si>
  <si>
    <t>PROPOSED BASELOAD AND WEATHER-SENSITIVE RATES</t>
  </si>
  <si>
    <t>SCHEDULE 11</t>
  </si>
  <si>
    <t>Schedule 11,12</t>
  </si>
  <si>
    <t>Schedule 21,22</t>
  </si>
  <si>
    <t>kva over 3,000</t>
  </si>
  <si>
    <t>Total</t>
  </si>
  <si>
    <t>Schedule 30, 31, &amp; 32</t>
  </si>
  <si>
    <t>Revenue Runs from this sheet</t>
  </si>
  <si>
    <t>actual Revenue Runs</t>
  </si>
  <si>
    <t>less:</t>
  </si>
  <si>
    <t>Diff</t>
  </si>
  <si>
    <t>Washington Schedule 25 Billing Determinants</t>
  </si>
  <si>
    <t>Annual</t>
  </si>
  <si>
    <t>Acct No.</t>
  </si>
  <si>
    <t>BF Goodrich</t>
  </si>
  <si>
    <t>Boise Cascade Plywood</t>
  </si>
  <si>
    <t>Boise Cascade Sawmill</t>
  </si>
  <si>
    <t>City of Spokane Sewage Treatment Plt</t>
  </si>
  <si>
    <t>Deaconess Medical Center</t>
  </si>
  <si>
    <t>Gonzaga University</t>
  </si>
  <si>
    <t>Honeywell Electronics</t>
  </si>
  <si>
    <t>JR Simplot</t>
  </si>
  <si>
    <t>McCaine Foods Inc</t>
  </si>
  <si>
    <t>Sacred Heart Medical Center</t>
  </si>
  <si>
    <t>Spokane County Courthouse</t>
  </si>
  <si>
    <t>Spokane Steel Foundry</t>
  </si>
  <si>
    <t>Triumph Composite / Boeing</t>
  </si>
  <si>
    <t>Vaagen Brothers Lumber</t>
  </si>
  <si>
    <t xml:space="preserve">WSU - MP-A South Campus Feeder </t>
  </si>
  <si>
    <t xml:space="preserve">WSU - MP-B East Campus EA </t>
  </si>
  <si>
    <t xml:space="preserve">WSU - MP-C East Campus EB </t>
  </si>
  <si>
    <t>WSU - MP -D Casp East (no PVD)</t>
  </si>
  <si>
    <t>WSU - MP-E Casp West (no PVD)</t>
  </si>
  <si>
    <t>Huntwood Industries</t>
  </si>
  <si>
    <t>Revenue Run Total</t>
  </si>
  <si>
    <t>*</t>
  </si>
  <si>
    <t>Primary Voltage Discount</t>
  </si>
  <si>
    <t>&gt;11 and &lt;60</t>
  </si>
  <si>
    <t>&gt;60 and &lt;115</t>
  </si>
  <si>
    <t>&gt;115</t>
  </si>
  <si>
    <t>AVISTA UTILITIES</t>
  </si>
  <si>
    <t>STREET &amp; AREA LIGHT REVENUE UNDER PRESENT &amp; PROPOSED RATES</t>
  </si>
  <si>
    <t>Present Rates</t>
  </si>
  <si>
    <t>Proposed Rates</t>
  </si>
  <si>
    <t xml:space="preserve">Monthly </t>
  </si>
  <si>
    <t>Revenue</t>
  </si>
  <si>
    <t>No Pole</t>
  </si>
  <si>
    <t>Wood Pole</t>
  </si>
  <si>
    <t>Pedestal Base</t>
  </si>
  <si>
    <t>Direct Burial</t>
  </si>
  <si>
    <t>Sodium Vapor</t>
  </si>
  <si>
    <t>Street Light Summary</t>
  </si>
  <si>
    <t>Number of Lights</t>
  </si>
  <si>
    <t>Monthly Revenue at Present Rates</t>
  </si>
  <si>
    <t>Fixture Type</t>
  </si>
  <si>
    <t>Pole Facility</t>
  </si>
  <si>
    <t>Size</t>
  </si>
  <si>
    <t>Sched</t>
  </si>
  <si>
    <t>041</t>
  </si>
  <si>
    <t>042</t>
  </si>
  <si>
    <t>044</t>
  </si>
  <si>
    <t>045</t>
  </si>
  <si>
    <t>046</t>
  </si>
  <si>
    <t>Single Mercury Vapor</t>
  </si>
  <si>
    <t>State</t>
  </si>
  <si>
    <t>Rate Sub</t>
  </si>
  <si>
    <t># of Lights</t>
  </si>
  <si>
    <t>Single High-Pressure Sodium Vapor</t>
  </si>
  <si>
    <t>50W</t>
  </si>
  <si>
    <t>High-Pressure Sodium Vapor</t>
  </si>
  <si>
    <t>Dusk to Dawn</t>
  </si>
  <si>
    <t>70W</t>
  </si>
  <si>
    <t>Mercury Vapor</t>
  </si>
  <si>
    <t>100W</t>
  </si>
  <si>
    <t>No Pole / Dusk to Dawn (046)</t>
  </si>
  <si>
    <t>Developer Contributed</t>
  </si>
  <si>
    <t>Decorative Sodium Vapor</t>
  </si>
  <si>
    <t>Kim Light 100W</t>
  </si>
  <si>
    <t>Double High-Pressure Sodium Vapor</t>
  </si>
  <si>
    <t>Granville 100W</t>
  </si>
  <si>
    <t>Post Top 100W</t>
  </si>
  <si>
    <t>200W</t>
  </si>
  <si>
    <t>250W</t>
  </si>
  <si>
    <t>Dusk to Dawn (046)</t>
  </si>
  <si>
    <t>310W</t>
  </si>
  <si>
    <t>Dusk to 1 AM</t>
  </si>
  <si>
    <t>400W</t>
  </si>
  <si>
    <t>Dust to Dawn (046)</t>
  </si>
  <si>
    <t>150W</t>
  </si>
  <si>
    <t>no customer count - taken out of exhibit to limit print range</t>
  </si>
  <si>
    <t>Dusk to 1 AM (046)</t>
  </si>
  <si>
    <t>Area Light Summary</t>
  </si>
  <si>
    <t>Monthly Rev.</t>
  </si>
  <si>
    <t>Pres. Rates</t>
  </si>
  <si>
    <t>at Pres. Rates</t>
  </si>
  <si>
    <t>047</t>
  </si>
  <si>
    <t>048</t>
  </si>
  <si>
    <t>Granville w/16' decorative pole</t>
  </si>
  <si>
    <t>HAG</t>
  </si>
  <si>
    <t>Floodlight on existing standard</t>
  </si>
  <si>
    <t>HAH</t>
  </si>
  <si>
    <t>Kim light w/25' fiberglass pole</t>
  </si>
  <si>
    <t>HAI</t>
  </si>
  <si>
    <t>WA</t>
  </si>
  <si>
    <t>Post Top w/16' decorative pole</t>
  </si>
  <si>
    <t>HAP</t>
  </si>
  <si>
    <t>HPA</t>
  </si>
  <si>
    <t>on existing standard</t>
  </si>
  <si>
    <t>HPB</t>
  </si>
  <si>
    <t>HPC</t>
  </si>
  <si>
    <t>HPD</t>
  </si>
  <si>
    <t>30' wood pole</t>
  </si>
  <si>
    <t>HPE</t>
  </si>
  <si>
    <t>HPG</t>
  </si>
  <si>
    <t>HPL</t>
  </si>
  <si>
    <t>HPS</t>
  </si>
  <si>
    <t>25' steel pole</t>
  </si>
  <si>
    <t>HPO</t>
  </si>
  <si>
    <t>HPY</t>
  </si>
  <si>
    <t>20' fiberglass pole</t>
  </si>
  <si>
    <t>MVA</t>
  </si>
  <si>
    <t>30' steel pole w/2 arms</t>
  </si>
  <si>
    <t>MVB</t>
  </si>
  <si>
    <t>MVC</t>
  </si>
  <si>
    <t>MVD</t>
  </si>
  <si>
    <t>MVE</t>
  </si>
  <si>
    <t>MVF</t>
  </si>
  <si>
    <t>MVH</t>
  </si>
  <si>
    <t>MVI</t>
  </si>
  <si>
    <t>25' steel</t>
  </si>
  <si>
    <t>MVG</t>
  </si>
  <si>
    <t>MVJ</t>
  </si>
  <si>
    <t>MVK</t>
  </si>
  <si>
    <t>MVL</t>
  </si>
  <si>
    <t>30' steel</t>
  </si>
  <si>
    <t>MVO</t>
  </si>
  <si>
    <t>PA</t>
  </si>
  <si>
    <t>25' aluminum</t>
  </si>
  <si>
    <t>MVM</t>
  </si>
  <si>
    <t>MVN</t>
  </si>
  <si>
    <t>none</t>
  </si>
  <si>
    <t>n/a</t>
  </si>
  <si>
    <t>55' wood pole</t>
  </si>
  <si>
    <t>PB</t>
  </si>
  <si>
    <t>SLB</t>
  </si>
  <si>
    <t>SLC</t>
  </si>
  <si>
    <t>SLD</t>
  </si>
  <si>
    <t>Monthly Revenue at Proposed Rates</t>
  </si>
  <si>
    <t>Prop. Rates</t>
  </si>
  <si>
    <t>at Prop. Rates</t>
  </si>
  <si>
    <t>POWER FACTOR ADJUSTMENT</t>
  </si>
  <si>
    <t>PRIMARY VOLTAGE DISCOUNT</t>
  </si>
  <si>
    <t>ANNUAL MINIMUM ADJUSTMENT</t>
  </si>
  <si>
    <t>STREET &amp; AREA LIGHT REVENUE</t>
  </si>
  <si>
    <t>WEATHER-SENSITIVE KWHS</t>
  </si>
  <si>
    <t>WEATHER-SENSITIVE RATE</t>
  </si>
  <si>
    <t>WEATHER-SENSITIVE REVENUE</t>
  </si>
  <si>
    <t>TOTAL UNBILLED KWH ADJUST</t>
  </si>
  <si>
    <t>TOTAL UNBILLED REVENUE ADJ</t>
  </si>
  <si>
    <t>Meters</t>
  </si>
  <si>
    <t>Usage</t>
  </si>
  <si>
    <t>Total Schs. 30,31&amp;32</t>
  </si>
  <si>
    <t>or</t>
  </si>
  <si>
    <t>1)</t>
  </si>
  <si>
    <t>2)</t>
  </si>
  <si>
    <t>Base Tariff Rates</t>
  </si>
  <si>
    <t>Billing Rates</t>
  </si>
  <si>
    <t>Print Header for all printed pages on this worksheet:</t>
  </si>
  <si>
    <t>Base Tariff</t>
  </si>
  <si>
    <t>Calculate all revenue exhibits using  ____ rates:</t>
  </si>
  <si>
    <t>Rates_Base_Present</t>
  </si>
  <si>
    <t>Range Name</t>
  </si>
  <si>
    <t>Rates_Billing_Present</t>
  </si>
  <si>
    <t>Rates_Billing_Proposed</t>
  </si>
  <si>
    <t>- range name where Present Rates table can be found</t>
  </si>
  <si>
    <t>- range name where Proposed Rates table can be found</t>
  </si>
  <si>
    <t>Rates_Base_Proposed</t>
  </si>
  <si>
    <t>Proposed Revenue</t>
  </si>
  <si>
    <t>0-3650 KWHS</t>
  </si>
  <si>
    <t>over 3650 KWHS</t>
  </si>
  <si>
    <t>WEATHER &amp; U/B KWHS</t>
  </si>
  <si>
    <t>Basic Charge Revenue</t>
  </si>
  <si>
    <t>Revenue Remaining</t>
  </si>
  <si>
    <t>Demand Revenue</t>
  </si>
  <si>
    <t>Present Basic Charge</t>
  </si>
  <si>
    <t>Present Demand Block 1</t>
  </si>
  <si>
    <t>Present Demand Block 2</t>
  </si>
  <si>
    <t>Pwr Fctr/Prim Voltg Disc</t>
  </si>
  <si>
    <t>Proposed Rate Workup - from Pres &amp; Prop Rev tab</t>
  </si>
  <si>
    <t>Blocks 1-3 Revenue</t>
  </si>
  <si>
    <t>Adj. to Actual Revenue</t>
  </si>
  <si>
    <t>Weather &amp; U/B Revenue</t>
  </si>
  <si>
    <t>2) % Rate Increase</t>
  </si>
  <si>
    <t>1) Flat Rate Increase</t>
  </si>
  <si>
    <t>Method ---&gt;</t>
  </si>
  <si>
    <t>Calculated</t>
  </si>
  <si>
    <t>Input</t>
  </si>
  <si>
    <r>
      <t xml:space="preserve">% </t>
    </r>
    <r>
      <rPr>
        <sz val="10"/>
        <rFont val="Symbol"/>
        <family val="1"/>
      </rPr>
      <t>D</t>
    </r>
    <r>
      <rPr>
        <sz val="10"/>
        <rFont val="Arial"/>
        <family val="2"/>
      </rPr>
      <t xml:space="preserve"> in Basic Charge</t>
    </r>
  </si>
  <si>
    <r>
      <t xml:space="preserve">% </t>
    </r>
    <r>
      <rPr>
        <sz val="10"/>
        <rFont val="Symbol"/>
        <family val="1"/>
      </rPr>
      <t>D</t>
    </r>
    <r>
      <rPr>
        <sz val="10"/>
        <rFont val="Arial"/>
        <family val="2"/>
      </rPr>
      <t xml:space="preserve"> in Demand Block 1</t>
    </r>
  </si>
  <si>
    <r>
      <t xml:space="preserve">% </t>
    </r>
    <r>
      <rPr>
        <sz val="10"/>
        <rFont val="Symbol"/>
        <family val="1"/>
      </rPr>
      <t>D</t>
    </r>
    <r>
      <rPr>
        <sz val="10"/>
        <rFont val="Arial"/>
        <family val="2"/>
      </rPr>
      <t xml:space="preserve"> in Demand Block 2</t>
    </r>
  </si>
  <si>
    <t>Formulas to copy</t>
  </si>
  <si>
    <t>FLOOR</t>
  </si>
  <si>
    <t>CEILING</t>
  </si>
  <si>
    <t>OTHER</t>
  </si>
  <si>
    <r>
      <t xml:space="preserve">Rate </t>
    </r>
    <r>
      <rPr>
        <u val="single"/>
        <sz val="10"/>
        <rFont val="Symbol"/>
        <family val="1"/>
      </rPr>
      <t>D</t>
    </r>
    <r>
      <rPr>
        <u val="single"/>
        <sz val="10"/>
        <rFont val="Arial"/>
        <family val="2"/>
      </rPr>
      <t xml:space="preserve"> Check</t>
    </r>
  </si>
  <si>
    <t>Basic Charge</t>
  </si>
  <si>
    <t>Demand Charge</t>
  </si>
  <si>
    <t>Block Energy Charges</t>
  </si>
  <si>
    <t>Overall Revenue</t>
  </si>
  <si>
    <t>Avg. Usage</t>
  </si>
  <si>
    <t>Bill Compare:</t>
  </si>
  <si>
    <t>Pres</t>
  </si>
  <si>
    <t>Prop</t>
  </si>
  <si>
    <t>Revenue Remaining - ¢/kWh</t>
  </si>
  <si>
    <t>Rate</t>
  </si>
  <si>
    <t>Tiers - used for bill comparisons</t>
  </si>
  <si>
    <t>DEMAND CHARGE</t>
  </si>
  <si>
    <t>% Incr</t>
  </si>
  <si>
    <t>SCH. 25</t>
  </si>
  <si>
    <t>same as current</t>
  </si>
  <si>
    <t>diff than current</t>
  </si>
  <si>
    <t>Proposed rates:</t>
  </si>
  <si>
    <t>Base</t>
  </si>
  <si>
    <t>Present</t>
  </si>
  <si>
    <t>Tariff</t>
  </si>
  <si>
    <t>Proposed</t>
  </si>
  <si>
    <t>Type of</t>
  </si>
  <si>
    <t xml:space="preserve">Proposed </t>
  </si>
  <si>
    <t>No.</t>
  </si>
  <si>
    <t>Service</t>
  </si>
  <si>
    <t>Number</t>
  </si>
  <si>
    <t>Increase</t>
  </si>
  <si>
    <t>(a)</t>
  </si>
  <si>
    <t>(b)</t>
  </si>
  <si>
    <t>(c)</t>
  </si>
  <si>
    <t>(d)</t>
  </si>
  <si>
    <t>(e)</t>
  </si>
  <si>
    <t>(f)</t>
  </si>
  <si>
    <t>(g)</t>
  </si>
  <si>
    <t>Residential</t>
  </si>
  <si>
    <t>General Service</t>
  </si>
  <si>
    <t>Large General Service</t>
  </si>
  <si>
    <t>Pumping Service</t>
  </si>
  <si>
    <t>Street &amp; Area Lights</t>
  </si>
  <si>
    <t>Rounding</t>
  </si>
  <si>
    <t>there will be some remainder in Schs. 21 &amp; 25 because some components of their revenue don't change w/a rate change.</t>
  </si>
  <si>
    <t>PROPOSED INCREASE BY SERVICE SCHEDULE</t>
  </si>
  <si>
    <t>(000s of Dollars)</t>
  </si>
  <si>
    <t>Total Billed</t>
  </si>
  <si>
    <t xml:space="preserve">Percent </t>
  </si>
  <si>
    <t>Schedule</t>
  </si>
  <si>
    <t>Under Present</t>
  </si>
  <si>
    <t>General</t>
  </si>
  <si>
    <t>Under Proposed</t>
  </si>
  <si>
    <t>Percent</t>
  </si>
  <si>
    <t>at Present</t>
  </si>
  <si>
    <t>on Billed</t>
  </si>
  <si>
    <t>Rates(1)</t>
  </si>
  <si>
    <t>(h)</t>
  </si>
  <si>
    <t>(i)</t>
  </si>
  <si>
    <t>Extra Large General Service</t>
  </si>
  <si>
    <t>PRESENT AND PROPOSED RATE COMPONENTS BY SCHEDULE</t>
  </si>
  <si>
    <t xml:space="preserve">General </t>
  </si>
  <si>
    <t xml:space="preserve">Present </t>
  </si>
  <si>
    <t xml:space="preserve">Rate </t>
  </si>
  <si>
    <t xml:space="preserve">Billing </t>
  </si>
  <si>
    <t>Sch. Rate</t>
  </si>
  <si>
    <t>Other Adj.(1)</t>
  </si>
  <si>
    <t>Billing Rate</t>
  </si>
  <si>
    <t>Residential Service - Schedule 1</t>
  </si>
  <si>
    <t>Energy Charge:</t>
  </si>
  <si>
    <t>General Services - Schedule 11</t>
  </si>
  <si>
    <t>Demand Charge:</t>
  </si>
  <si>
    <t>no charge</t>
  </si>
  <si>
    <t>Large General Service - Schedule 21</t>
  </si>
  <si>
    <t>Extra Large General Service - Schedule 25</t>
  </si>
  <si>
    <t>Annual Minimum</t>
  </si>
  <si>
    <t>Pumping Service - Schedule 31</t>
  </si>
  <si>
    <t>Proposed Target</t>
  </si>
  <si>
    <t>Proposed Actual</t>
  </si>
  <si>
    <t>All additional kWhs</t>
  </si>
  <si>
    <t>Present Block 1 Base Rate</t>
  </si>
  <si>
    <t>Present Block 2 Base Rate</t>
  </si>
  <si>
    <t>Present Block 3 Base Rate</t>
  </si>
  <si>
    <t>Inland Empire Paper</t>
  </si>
  <si>
    <t>This worksheet uses Base &amp; Billing rates from 'Rate Design' tab.</t>
  </si>
  <si>
    <t>This worksheet pulls data from 'Pres &amp; Prop Rev' tab.</t>
  </si>
  <si>
    <t>Targeted Rate Increase</t>
  </si>
  <si>
    <t>Present:</t>
  </si>
  <si>
    <t>Proposed:</t>
  </si>
  <si>
    <t>check - &lt; $6k is rounding</t>
  </si>
  <si>
    <t>41-48</t>
  </si>
  <si>
    <t>Total adder</t>
  </si>
  <si>
    <t>Revised</t>
  </si>
  <si>
    <t>Billed</t>
  </si>
  <si>
    <t>Pres 93</t>
  </si>
  <si>
    <t>Primary Volt. Discount</t>
  </si>
  <si>
    <t>11 - 60 kv</t>
  </si>
  <si>
    <t>60 - 115 kv</t>
  </si>
  <si>
    <t>115 or higher kv</t>
  </si>
  <si>
    <t>Present Billing Rates</t>
  </si>
  <si>
    <t>ACTUAL / PRO FORMA BILLING DETERMINANTS BY RATE SCHEDULE</t>
  </si>
  <si>
    <t>BASE TARIFF</t>
  </si>
  <si>
    <t>BILLING</t>
  </si>
  <si>
    <t>Schedule 25 Total</t>
  </si>
  <si>
    <t>1st</t>
  </si>
  <si>
    <t>kwhs/mo</t>
  </si>
  <si>
    <t>Adj Revenue Runs, Sch 25</t>
  </si>
  <si>
    <t>Schs 41-48 St &amp; Area Lt</t>
  </si>
  <si>
    <t>from Present Rev tab</t>
  </si>
  <si>
    <t>this sheet + SAL</t>
  </si>
  <si>
    <t>Rev. Run customers</t>
  </si>
  <si>
    <t>not shown on this sheet</t>
  </si>
  <si>
    <t>rev. runs too high</t>
  </si>
  <si>
    <t>copy of Total above</t>
  </si>
  <si>
    <t>diff from curr Total above</t>
  </si>
  <si>
    <t>% diff</t>
  </si>
  <si>
    <t>New Billing Rates</t>
  </si>
  <si>
    <t>change</t>
  </si>
  <si>
    <t>(j)</t>
  </si>
  <si>
    <t>Total Billings(2)</t>
  </si>
  <si>
    <t>Number of Lights(1)</t>
  </si>
  <si>
    <t># of Lights(1)</t>
  </si>
  <si>
    <t>from Pres &amp; Prop Rev tab</t>
  </si>
  <si>
    <t>from below</t>
  </si>
  <si>
    <t>kwh</t>
  </si>
  <si>
    <t>Schedule 12 only</t>
  </si>
  <si>
    <t>Schedule 22 only</t>
  </si>
  <si>
    <t>Schedule 32 only</t>
  </si>
  <si>
    <t>reduce billed revenue for BPA ResEx (already accounted for in Schs 1 &amp; 48)</t>
  </si>
  <si>
    <t>LIRAP/DSM increase</t>
  </si>
  <si>
    <t>Rate Schedule Num</t>
  </si>
  <si>
    <t>001</t>
  </si>
  <si>
    <t>011</t>
  </si>
  <si>
    <t>012</t>
  </si>
  <si>
    <t>021</t>
  </si>
  <si>
    <t>022</t>
  </si>
  <si>
    <t>025</t>
  </si>
  <si>
    <t>031</t>
  </si>
  <si>
    <t>032</t>
  </si>
  <si>
    <t>12-mo Ended</t>
  </si>
  <si>
    <t>KWHs</t>
  </si>
  <si>
    <t>KVA</t>
  </si>
  <si>
    <t>KVA in excess of 3,000</t>
  </si>
  <si>
    <t>WASHINGTON ELECTRIC</t>
  </si>
  <si>
    <t>Street Light Summary total, WA</t>
  </si>
  <si>
    <t>Area Light Count, WA</t>
  </si>
  <si>
    <t>compare input Present Billing Rates to calculated Present Billing Rates</t>
  </si>
  <si>
    <t>normalize Sch 25</t>
  </si>
  <si>
    <t>SCHEDULE 21</t>
  </si>
  <si>
    <t>0-250000 KWHS</t>
  </si>
  <si>
    <t>OVER 250000 KWHS</t>
  </si>
  <si>
    <t>Decrease</t>
  </si>
  <si>
    <t>% Revenue Change</t>
  </si>
  <si>
    <t>Base Rates</t>
  </si>
  <si>
    <t>Schedule 41</t>
  </si>
  <si>
    <t>Schedule 42</t>
  </si>
  <si>
    <t>Schedule 44</t>
  </si>
  <si>
    <t>Schedule 45</t>
  </si>
  <si>
    <t>Schedule 46</t>
  </si>
  <si>
    <t>Target Base</t>
  </si>
  <si>
    <t>% Change</t>
  </si>
  <si>
    <t>% rate increase --&gt;</t>
  </si>
  <si>
    <t>Schedule 47</t>
  </si>
  <si>
    <t>Schedule 48</t>
  </si>
  <si>
    <t>Billing</t>
  </si>
  <si>
    <t>non-printing</t>
  </si>
  <si>
    <t>(k)</t>
  </si>
  <si>
    <t>0) ERM=0; 1) ERM as is</t>
  </si>
  <si>
    <t>MVV</t>
  </si>
  <si>
    <t>Special</t>
  </si>
  <si>
    <t>Base Revenues</t>
  </si>
  <si>
    <t>Sch 91-DSM</t>
  </si>
  <si>
    <t>Decorative Sodium Vapor (Capital Only)</t>
  </si>
  <si>
    <t>Peak</t>
  </si>
  <si>
    <t>Month</t>
  </si>
  <si>
    <t>UNBILLED LOAD KWHS</t>
  </si>
  <si>
    <t>UNBILLED LOAD RATE</t>
  </si>
  <si>
    <t>UNBILLED LOAD REVENUE</t>
  </si>
  <si>
    <t>ADJ. TO ACTUAL/EE ADJ</t>
  </si>
  <si>
    <t>Rates (2)</t>
  </si>
  <si>
    <t xml:space="preserve">from Present Rev tab </t>
  </si>
  <si>
    <t>Single High-Pressure Sodium Vapor (Capital Only)</t>
  </si>
  <si>
    <t>Type of Service</t>
  </si>
  <si>
    <t>Reflects additional LIRAP funding</t>
  </si>
  <si>
    <t>Annual Increase (Decrease)</t>
  </si>
  <si>
    <t>Booked Unbilled Reversal</t>
  </si>
  <si>
    <t>Gross Booked Unbilled</t>
  </si>
  <si>
    <t>Gross Unbilled True-up</t>
  </si>
  <si>
    <t>Unbilled Reversal True-up</t>
  </si>
  <si>
    <t>Special Contract  Shifted to Sched 21</t>
  </si>
  <si>
    <t>Schedule Shifting to Sch. 21</t>
  </si>
  <si>
    <t>LED (Dusk to Dawn)</t>
  </si>
  <si>
    <t>LED (Dusk to 11:00)</t>
  </si>
  <si>
    <t>Total by Block</t>
  </si>
  <si>
    <t>Schedule Shifting from 21</t>
  </si>
  <si>
    <t>Schedule Shifting to Sch. 11</t>
  </si>
  <si>
    <t>Determinants</t>
  </si>
  <si>
    <t>Billed Revenue</t>
  </si>
  <si>
    <t>Impact</t>
  </si>
  <si>
    <t>Manually deducted in Column H</t>
  </si>
  <si>
    <t xml:space="preserve">Total </t>
  </si>
  <si>
    <t>kWh Rate</t>
  </si>
  <si>
    <t>Proposed Billing</t>
  </si>
  <si>
    <t>Rate With</t>
  </si>
  <si>
    <t>11/12</t>
  </si>
  <si>
    <t>21/22</t>
  </si>
  <si>
    <t>30/31/32</t>
  </si>
  <si>
    <t>ERM Decrease (2)</t>
  </si>
  <si>
    <t>Schedule 25(3)</t>
  </si>
  <si>
    <t>kw over 20(1)</t>
  </si>
  <si>
    <t>kvar billed(1)</t>
  </si>
  <si>
    <t>kw over 50(1)</t>
  </si>
  <si>
    <t>State Cde:WA</t>
  </si>
  <si>
    <t>Period</t>
  </si>
  <si>
    <t>12 Month Average</t>
  </si>
  <si>
    <t>Total for WA</t>
  </si>
  <si>
    <t>12 Month Total</t>
  </si>
  <si>
    <t>Jurisdiction:WA</t>
  </si>
  <si>
    <t>Source Id</t>
  </si>
  <si>
    <t>REVUNBL-E</t>
  </si>
  <si>
    <t>REVUNBL-ER</t>
  </si>
  <si>
    <t>011/012</t>
  </si>
  <si>
    <t>021/022</t>
  </si>
  <si>
    <t>030/031/032</t>
  </si>
  <si>
    <t>04X</t>
  </si>
  <si>
    <t>Sch 25 Adj</t>
  </si>
  <si>
    <t>Sch shifting</t>
  </si>
  <si>
    <t>Sch Shifting</t>
  </si>
  <si>
    <t>July</t>
  </si>
  <si>
    <t>August</t>
  </si>
  <si>
    <t>September</t>
  </si>
  <si>
    <t>October</t>
  </si>
  <si>
    <t>November</t>
  </si>
  <si>
    <t>December</t>
  </si>
  <si>
    <t>January</t>
  </si>
  <si>
    <t>February</t>
  </si>
  <si>
    <t>March</t>
  </si>
  <si>
    <t>April</t>
  </si>
  <si>
    <t>May</t>
  </si>
  <si>
    <t>June</t>
  </si>
  <si>
    <t>Annual Total</t>
  </si>
  <si>
    <t>Rate Design Program Monthly Results</t>
  </si>
  <si>
    <t>Block 1</t>
  </si>
  <si>
    <t>Block 2</t>
  </si>
  <si>
    <t>kWhs</t>
  </si>
  <si>
    <t>Billed Customers</t>
  </si>
  <si>
    <t>Block 1 Limit</t>
  </si>
  <si>
    <t>Schedule 011/012</t>
  </si>
  <si>
    <t>kW</t>
  </si>
  <si>
    <t>kVar</t>
  </si>
  <si>
    <t>pf Charge</t>
  </si>
  <si>
    <t>pf Revenue</t>
  </si>
  <si>
    <t>Schedule 021/022</t>
  </si>
  <si>
    <t>Schedule 31/32</t>
  </si>
  <si>
    <t>Block 3</t>
  </si>
  <si>
    <t>WASHINGTON ELECTRIC SYSTEM</t>
  </si>
  <si>
    <t>Schedule 30/31/32</t>
  </si>
  <si>
    <t>Difference</t>
  </si>
  <si>
    <t>ERM Reduction Calc</t>
  </si>
  <si>
    <t>Sch 59 Rate</t>
  </si>
  <si>
    <t>kWh's</t>
  </si>
  <si>
    <t>Capital</t>
  </si>
  <si>
    <t>Avista</t>
  </si>
  <si>
    <t>Capital Recovery Factor Calculation</t>
  </si>
  <si>
    <t>Cost of Capital</t>
  </si>
  <si>
    <t>Component</t>
  </si>
  <si>
    <t>Weighted</t>
  </si>
  <si>
    <t>Structure</t>
  </si>
  <si>
    <t>Cost</t>
  </si>
  <si>
    <t>Long Term Debt</t>
  </si>
  <si>
    <t>Preferred Equity</t>
  </si>
  <si>
    <t>Common Equity</t>
  </si>
  <si>
    <t>Grossed-up Rate of Return</t>
  </si>
  <si>
    <t>Tax Gross-up Factor</t>
  </si>
  <si>
    <t>Weighted ROE * Tax Gross-up</t>
  </si>
  <si>
    <t>1.611 * 4.606%</t>
  </si>
  <si>
    <t>Preferred Equity * Tax Gross-up</t>
  </si>
  <si>
    <t>1.611 * 0.000%</t>
  </si>
  <si>
    <t>Test Year</t>
  </si>
  <si>
    <t>Effective</t>
  </si>
  <si>
    <t>Account</t>
  </si>
  <si>
    <t>Plant in</t>
  </si>
  <si>
    <t>Depreciation</t>
  </si>
  <si>
    <t>Expense</t>
  </si>
  <si>
    <t>373 - Street Lighting</t>
  </si>
  <si>
    <t>*From Cost of Service (Knox)</t>
  </si>
  <si>
    <t xml:space="preserve">Capital Recovery Factor </t>
  </si>
  <si>
    <t>Present - UE-120436</t>
  </si>
  <si>
    <t>Total Bill</t>
  </si>
  <si>
    <t>Bill Impact</t>
  </si>
  <si>
    <t>Schedule 001 Bill Impact</t>
  </si>
  <si>
    <t>Sch. 93/94</t>
  </si>
  <si>
    <t>ERM/BPA</t>
  </si>
  <si>
    <t>Schedule 001 Present</t>
  </si>
  <si>
    <t>Schedule 001 Proposed</t>
  </si>
  <si>
    <t>on Base</t>
  </si>
  <si>
    <t>at Proposed</t>
  </si>
  <si>
    <t>Sch. 98</t>
  </si>
  <si>
    <t>REC Revenue</t>
  </si>
  <si>
    <t>Inc/Dec</t>
  </si>
  <si>
    <t>Dusk to 11 PM</t>
  </si>
  <si>
    <t>Monthly Increase (Decrease)</t>
  </si>
  <si>
    <t>Sch 46 Per kWh Rate</t>
  </si>
  <si>
    <t>Total Usage</t>
  </si>
  <si>
    <t>Shifted to Sch 011(4)</t>
  </si>
  <si>
    <t>Source</t>
  </si>
  <si>
    <t>Knox</t>
  </si>
  <si>
    <t>Load Factor</t>
  </si>
  <si>
    <t>Monthly Average</t>
  </si>
  <si>
    <t>Annual Peak</t>
  </si>
  <si>
    <t>Sch 92-LIRAP</t>
  </si>
  <si>
    <t>Pres 91/92</t>
  </si>
  <si>
    <t>91/92 b4 Sch 91/92</t>
  </si>
  <si>
    <t>b4 Sch 91/92</t>
  </si>
  <si>
    <t>93 b4 Sch 93</t>
  </si>
  <si>
    <t>add'l 91/92</t>
  </si>
  <si>
    <t>ERM</t>
  </si>
  <si>
    <t>Sch. 93</t>
  </si>
  <si>
    <t>9 KWHs</t>
  </si>
  <si>
    <t>9 KVA</t>
  </si>
  <si>
    <t xml:space="preserve"> 60 KV</t>
  </si>
  <si>
    <t>4.16 KV</t>
  </si>
  <si>
    <t>115 KV</t>
  </si>
  <si>
    <t>60 KV</t>
  </si>
  <si>
    <t>Calc Revenue for 9</t>
  </si>
  <si>
    <t>Revenue for 9 per Handbill Report</t>
  </si>
  <si>
    <t>Sch 93/94</t>
  </si>
  <si>
    <t>Grossed-Up Depreciation Rate</t>
  </si>
  <si>
    <t>Revenue Conversion Factor (Before FIT)</t>
  </si>
  <si>
    <t>421L</t>
  </si>
  <si>
    <t>431L</t>
  </si>
  <si>
    <t>432L</t>
  </si>
  <si>
    <t>433L</t>
  </si>
  <si>
    <t>434L</t>
  </si>
  <si>
    <t>435L</t>
  </si>
  <si>
    <t>436L</t>
  </si>
  <si>
    <t>438L</t>
  </si>
  <si>
    <t>441L</t>
  </si>
  <si>
    <t>474L</t>
  </si>
  <si>
    <t>484L</t>
  </si>
  <si>
    <t>Kim Light 70W</t>
  </si>
  <si>
    <t>Granville 70W</t>
  </si>
  <si>
    <t>Post Top 70W</t>
  </si>
  <si>
    <t>522L</t>
  </si>
  <si>
    <t>531L</t>
  </si>
  <si>
    <t>532L</t>
  </si>
  <si>
    <t>533L</t>
  </si>
  <si>
    <t>535L</t>
  </si>
  <si>
    <t>536L</t>
  </si>
  <si>
    <t>541L</t>
  </si>
  <si>
    <t>542L</t>
  </si>
  <si>
    <t>442L</t>
  </si>
  <si>
    <t>475L</t>
  </si>
  <si>
    <t>107W</t>
  </si>
  <si>
    <t>w/Sch 91/92/93/98</t>
  </si>
  <si>
    <t>From Cost of Service (Knox)</t>
  </si>
  <si>
    <t>LED</t>
  </si>
  <si>
    <t>Minimums:</t>
  </si>
  <si>
    <t>$20.00 Single Phase Service</t>
  </si>
  <si>
    <t>$27.35 Three Phase Service</t>
  </si>
  <si>
    <t>Shifted from Sch 21</t>
  </si>
  <si>
    <t>HPAL</t>
  </si>
  <si>
    <t>HPBL</t>
  </si>
  <si>
    <t>HPSL</t>
  </si>
  <si>
    <t>HPEL</t>
  </si>
  <si>
    <t>HPDL</t>
  </si>
  <si>
    <t>HPOL</t>
  </si>
  <si>
    <t>HPLL</t>
  </si>
  <si>
    <t>HPYL</t>
  </si>
  <si>
    <t>HAGL</t>
  </si>
  <si>
    <t>HAPL</t>
  </si>
  <si>
    <t>Schedule 98</t>
  </si>
  <si>
    <t>Schedule 59</t>
  </si>
  <si>
    <t>Schedule 48 only</t>
  </si>
  <si>
    <t>Schedule 41-48 only</t>
  </si>
  <si>
    <t>Schedule 98 (REC Revenue Rebate)</t>
  </si>
  <si>
    <t>Sch 98 Rate</t>
  </si>
  <si>
    <t>Settlement Stipulation</t>
  </si>
  <si>
    <t>248W</t>
  </si>
  <si>
    <t>831L</t>
  </si>
  <si>
    <t>832L</t>
  </si>
  <si>
    <t>835L</t>
  </si>
  <si>
    <t>836L</t>
  </si>
  <si>
    <t>842L</t>
  </si>
  <si>
    <t>HPCL</t>
  </si>
  <si>
    <t>HPGL</t>
  </si>
  <si>
    <t>35' wood pole</t>
  </si>
  <si>
    <t>Schedule 91 (DSM)</t>
  </si>
  <si>
    <t>Schedule 91</t>
  </si>
  <si>
    <t>Sch 91 Rate</t>
  </si>
  <si>
    <t>0001</t>
  </si>
  <si>
    <t>0002</t>
  </si>
  <si>
    <t>0011</t>
  </si>
  <si>
    <t>0012</t>
  </si>
  <si>
    <t>002</t>
  </si>
  <si>
    <t>0021</t>
  </si>
  <si>
    <t>0022</t>
  </si>
  <si>
    <t>0025</t>
  </si>
  <si>
    <t>0030</t>
  </si>
  <si>
    <t>0031</t>
  </si>
  <si>
    <t>0032</t>
  </si>
  <si>
    <t>0041</t>
  </si>
  <si>
    <t>0042</t>
  </si>
  <si>
    <t>0044</t>
  </si>
  <si>
    <t>0045</t>
  </si>
  <si>
    <t>0046</t>
  </si>
  <si>
    <t>0047</t>
  </si>
  <si>
    <t>0048</t>
  </si>
  <si>
    <t>0058</t>
  </si>
  <si>
    <t>0058A</t>
  </si>
  <si>
    <t>0095</t>
  </si>
  <si>
    <t>0099</t>
  </si>
  <si>
    <t>025B</t>
  </si>
  <si>
    <t>001/002</t>
  </si>
  <si>
    <t>Average</t>
  </si>
  <si>
    <t>Billing Determinant</t>
  </si>
  <si>
    <t>NA</t>
  </si>
  <si>
    <t>BASIC CHARGE ELE</t>
  </si>
  <si>
    <t>KWH BLOCK 1</t>
  </si>
  <si>
    <t>KWH BLOCK 2</t>
  </si>
  <si>
    <t>KWH BLOCK 3</t>
  </si>
  <si>
    <t>RIDER 59</t>
  </si>
  <si>
    <t>RIDER 91</t>
  </si>
  <si>
    <t>RIDER 92</t>
  </si>
  <si>
    <t>RIDER 93</t>
  </si>
  <si>
    <t>RIDER 94</t>
  </si>
  <si>
    <t>RIDER 98</t>
  </si>
  <si>
    <t>RIDER 89</t>
  </si>
  <si>
    <t>3 PHASE</t>
  </si>
  <si>
    <t>KVAR</t>
  </si>
  <si>
    <t>KW BLOCK 2</t>
  </si>
  <si>
    <t>PVD 11</t>
  </si>
  <si>
    <t>LIGHTS</t>
  </si>
  <si>
    <t>RIDER 58</t>
  </si>
  <si>
    <t>PVD 115</t>
  </si>
  <si>
    <t>PVD 60</t>
  </si>
  <si>
    <t>Revenue Amt</t>
  </si>
  <si>
    <t>Schedule 1, 2</t>
  </si>
  <si>
    <t>SCHEDULE 1,2</t>
  </si>
  <si>
    <t>1/2</t>
  </si>
  <si>
    <t>Schedule 001/002</t>
  </si>
  <si>
    <t>Total Meters Billed</t>
  </si>
  <si>
    <t>431T</t>
  </si>
  <si>
    <t>TIB Capital Offset</t>
  </si>
  <si>
    <t>432T</t>
  </si>
  <si>
    <t>433T</t>
  </si>
  <si>
    <t>435T</t>
  </si>
  <si>
    <t>436T</t>
  </si>
  <si>
    <t>531T</t>
  </si>
  <si>
    <t>532T</t>
  </si>
  <si>
    <t>533T</t>
  </si>
  <si>
    <t>Single Light Emitting Diode (LED)</t>
  </si>
  <si>
    <t>535T</t>
  </si>
  <si>
    <t>536T</t>
  </si>
  <si>
    <t>541T</t>
  </si>
  <si>
    <t>Double Light Emitting Diode (LED)</t>
  </si>
  <si>
    <t>542T</t>
  </si>
  <si>
    <t>831T</t>
  </si>
  <si>
    <t>Decorative Light Emitting Diode (LED)</t>
  </si>
  <si>
    <t>441T</t>
  </si>
  <si>
    <t>0-800 KWHS</t>
  </si>
  <si>
    <t>801-1500 KWHS</t>
  </si>
  <si>
    <t>OVER 100 KWHS</t>
  </si>
  <si>
    <t>OVER 1500 KWHS</t>
  </si>
  <si>
    <t>SCH. 1,2</t>
  </si>
  <si>
    <t>546T</t>
  </si>
  <si>
    <t>835T</t>
  </si>
  <si>
    <t>Schedule 2 only</t>
  </si>
  <si>
    <t>Sch 89 Rate</t>
  </si>
  <si>
    <t>RIDER 75</t>
  </si>
  <si>
    <t>rev. runs too low</t>
  </si>
  <si>
    <t>Adjust. kWhs to Actual</t>
  </si>
  <si>
    <t>0-800 kWhs</t>
  </si>
  <si>
    <t>801-1500 kWhs</t>
  </si>
  <si>
    <t>over 1500 kWhs</t>
  </si>
  <si>
    <t>Total kWhs</t>
  </si>
  <si>
    <t>kWhs per billing run(1)</t>
  </si>
  <si>
    <t>Total kWhs per Rev. Run(2)</t>
  </si>
  <si>
    <t>0-3,650 kWhs</t>
  </si>
  <si>
    <t>over 3,650 kWhs</t>
  </si>
  <si>
    <t>kWhs per Revenue Run(1)</t>
  </si>
  <si>
    <t>Total Adjusted kWhs</t>
  </si>
  <si>
    <t>0-250,000 kWhs</t>
  </si>
  <si>
    <t>over 250,000 kWhs</t>
  </si>
  <si>
    <t>Total adjusted kWhs</t>
  </si>
  <si>
    <t>0-500,000 kWhs</t>
  </si>
  <si>
    <t>500,001-6M kWhs</t>
  </si>
  <si>
    <t>&gt; 6M kWhs</t>
  </si>
  <si>
    <t>Block 1 kWhs</t>
  </si>
  <si>
    <t>Block 2 kWhs</t>
  </si>
  <si>
    <t>Block 3 kWhs</t>
  </si>
  <si>
    <t>kWhs per billing run (30,31&amp; 32)(1)</t>
  </si>
  <si>
    <t>Adjust kWhs to Actual</t>
  </si>
  <si>
    <t>Schedule 41-48 only Total</t>
  </si>
  <si>
    <t>Schedule 31 to 30 Shifting Adj</t>
  </si>
  <si>
    <t>First 85 kW/kWh</t>
  </si>
  <si>
    <t>Next 80 kW/kWh</t>
  </si>
  <si>
    <t>Rate Adjustment</t>
  </si>
  <si>
    <t>Expiration</t>
  </si>
  <si>
    <t>Adjusted Billed</t>
  </si>
  <si>
    <t>(l)</t>
  </si>
  <si>
    <t>Revenue Requirement</t>
  </si>
  <si>
    <t>Percentage</t>
  </si>
  <si>
    <t>Electric</t>
  </si>
  <si>
    <t>Rate Spread</t>
  </si>
  <si>
    <t>of Base</t>
  </si>
  <si>
    <t>Adjustment</t>
  </si>
  <si>
    <t>Adjusted</t>
  </si>
  <si>
    <t>GRC</t>
  </si>
  <si>
    <t>Andrew's Conversion Factor</t>
  </si>
  <si>
    <t>30' steel pole</t>
  </si>
  <si>
    <t>Total Revenue</t>
  </si>
  <si>
    <t>201801</t>
  </si>
  <si>
    <t>201802</t>
  </si>
  <si>
    <t>201803</t>
  </si>
  <si>
    <t>201804</t>
  </si>
  <si>
    <t>201805</t>
  </si>
  <si>
    <t>201806</t>
  </si>
  <si>
    <t>201807</t>
  </si>
  <si>
    <t>201808</t>
  </si>
  <si>
    <t>201809</t>
  </si>
  <si>
    <t>201810</t>
  </si>
  <si>
    <t>201811</t>
  </si>
  <si>
    <t>201812</t>
  </si>
  <si>
    <t>Unbilled Usage Report by Location Twelve Months Ended for Report Date : '12/31/2018'</t>
  </si>
  <si>
    <t>Unbilled Usage</t>
  </si>
  <si>
    <t>RIDER 74</t>
  </si>
  <si>
    <t>AMI OPT OUT</t>
  </si>
  <si>
    <t>2311008572</t>
  </si>
  <si>
    <t>8920023327</t>
  </si>
  <si>
    <t>9920023116</t>
  </si>
  <si>
    <t>8970099313</t>
  </si>
  <si>
    <t>0080095044</t>
  </si>
  <si>
    <t>1420028876</t>
  </si>
  <si>
    <t>0170122152</t>
  </si>
  <si>
    <t>8640841982</t>
  </si>
  <si>
    <t>0160126924</t>
  </si>
  <si>
    <t>4250473907</t>
  </si>
  <si>
    <t>9060132009</t>
  </si>
  <si>
    <t>0030019644</t>
  </si>
  <si>
    <t>1080099801</t>
  </si>
  <si>
    <t>0070121063</t>
  </si>
  <si>
    <t>2260946595</t>
  </si>
  <si>
    <t>2470070232</t>
  </si>
  <si>
    <t>3730460787</t>
  </si>
  <si>
    <t>6030021572</t>
  </si>
  <si>
    <t>6100609210</t>
  </si>
  <si>
    <t>5030019646</t>
  </si>
  <si>
    <t>7030024549</t>
  </si>
  <si>
    <t>546L</t>
  </si>
  <si>
    <t>241W</t>
  </si>
  <si>
    <t>HAAL</t>
  </si>
  <si>
    <t>HAML</t>
  </si>
  <si>
    <t>HANL</t>
  </si>
  <si>
    <t>HPKL</t>
  </si>
  <si>
    <t>35 ft direct buried steel pole</t>
  </si>
  <si>
    <t>125W</t>
  </si>
  <si>
    <t>Floodlight 35ft wood pole</t>
  </si>
  <si>
    <t>30 steel pole pedestal base</t>
  </si>
  <si>
    <t>832T</t>
  </si>
  <si>
    <t>836T</t>
  </si>
  <si>
    <t>Misc</t>
  </si>
  <si>
    <t>Sch 91 &amp; 92</t>
  </si>
  <si>
    <t>18W</t>
  </si>
  <si>
    <t>26W</t>
  </si>
  <si>
    <t>295L</t>
  </si>
  <si>
    <t>395L</t>
  </si>
  <si>
    <t>Change</t>
  </si>
  <si>
    <t>JDM-E-10</t>
  </si>
  <si>
    <t>JDM-E-20</t>
  </si>
  <si>
    <t>JDM-E-3</t>
  </si>
  <si>
    <t>JDM-E-21</t>
  </si>
  <si>
    <t>JDM-E-22/23</t>
  </si>
  <si>
    <t>JDM-E-29/8</t>
  </si>
  <si>
    <t>JDM-E-11</t>
  </si>
  <si>
    <t>JDM-E-15</t>
  </si>
  <si>
    <t>JDM-E-5/6</t>
  </si>
  <si>
    <t>JDM-E-17</t>
  </si>
  <si>
    <t xml:space="preserve">      Schedule 91 (DSM), Schedule 92 (LIRAP), Schedule 93 (ERM), and Schedule 98 (REC Revenue).</t>
  </si>
  <si>
    <t xml:space="preserve">     Schedule 91 (DSM), Schedule 92 (LIRAP), Schedule 93 (ERM), and Schedule 98 (REC Revenue).</t>
  </si>
  <si>
    <t xml:space="preserve">     and Schedule 98 (REC Revenue).</t>
  </si>
  <si>
    <t xml:space="preserve">     Schedule 75 (Decoupling), Schedule 91 (DSM), Schedule 92 (LIRAP), Schedule 93 (ERM),</t>
  </si>
  <si>
    <t>1.325 * 0.000%</t>
  </si>
  <si>
    <t>1.325 * 4.950%</t>
  </si>
  <si>
    <t>Standard / Dusk to Dawn (046)</t>
  </si>
  <si>
    <t xml:space="preserve">Standard  </t>
  </si>
  <si>
    <t>Standard</t>
  </si>
  <si>
    <t>494L</t>
  </si>
  <si>
    <t>594L</t>
  </si>
  <si>
    <t>30ft Fiberglass Pole</t>
  </si>
  <si>
    <t>35ft Fiberglass Pole</t>
  </si>
  <si>
    <t>HAIL</t>
  </si>
  <si>
    <t>HAOL</t>
  </si>
  <si>
    <t>HAQL</t>
  </si>
  <si>
    <t>70W Kim light w/25ft Fiberglass pole</t>
  </si>
  <si>
    <t>30 ft Fiberglass direct buried</t>
  </si>
  <si>
    <t>35 ft Fiberglass direct buried</t>
  </si>
  <si>
    <t>005L</t>
  </si>
  <si>
    <t>015L</t>
  </si>
  <si>
    <t>025L</t>
  </si>
  <si>
    <t>035L</t>
  </si>
  <si>
    <t>045L</t>
  </si>
  <si>
    <t>Washington</t>
  </si>
  <si>
    <t>Schedule 46 Customer LED Rates</t>
  </si>
  <si>
    <t>LED Wattage</t>
  </si>
  <si>
    <t>Implied</t>
  </si>
  <si>
    <t>kWh Usage</t>
  </si>
  <si>
    <t>Base Rate</t>
  </si>
  <si>
    <t>Code</t>
  </si>
  <si>
    <t>kWh Calc</t>
  </si>
  <si>
    <t>Up to 10W LED</t>
  </si>
  <si>
    <t>11-20W LED</t>
  </si>
  <si>
    <t>21-30W LED</t>
  </si>
  <si>
    <t>31-40W LED</t>
  </si>
  <si>
    <t>41-50W LED</t>
  </si>
  <si>
    <t>51-60W LED</t>
  </si>
  <si>
    <t>055L</t>
  </si>
  <si>
    <t>61-70W LED</t>
  </si>
  <si>
    <t>065L</t>
  </si>
  <si>
    <t>71-80W LED</t>
  </si>
  <si>
    <t>075L</t>
  </si>
  <si>
    <t>81-90W LED</t>
  </si>
  <si>
    <t>085L</t>
  </si>
  <si>
    <t>91-100W LED</t>
  </si>
  <si>
    <t>095L</t>
  </si>
  <si>
    <t>101-110W LED</t>
  </si>
  <si>
    <t>105L</t>
  </si>
  <si>
    <t>111-120W LED</t>
  </si>
  <si>
    <t>115L</t>
  </si>
  <si>
    <t>121-130W LED</t>
  </si>
  <si>
    <t>125L</t>
  </si>
  <si>
    <t>131-140W LED</t>
  </si>
  <si>
    <t>135L</t>
  </si>
  <si>
    <t>141-150W LED</t>
  </si>
  <si>
    <t>145L</t>
  </si>
  <si>
    <t>151-160W LED</t>
  </si>
  <si>
    <t>155L</t>
  </si>
  <si>
    <t>161-170W LED</t>
  </si>
  <si>
    <t>165L</t>
  </si>
  <si>
    <t>171-180W LED</t>
  </si>
  <si>
    <t>175L</t>
  </si>
  <si>
    <t>181-190W LED</t>
  </si>
  <si>
    <t>185L</t>
  </si>
  <si>
    <t>191-200W LED</t>
  </si>
  <si>
    <t>195L</t>
  </si>
  <si>
    <t>201-225W LED</t>
  </si>
  <si>
    <t>212L</t>
  </si>
  <si>
    <t>226-250W LED</t>
  </si>
  <si>
    <t>237L</t>
  </si>
  <si>
    <t>Custom Rate</t>
  </si>
  <si>
    <t>(1) From workpaper JDM-E-22/23</t>
  </si>
  <si>
    <t>(2) From workpaper JDM-E-19</t>
  </si>
  <si>
    <t>(3) From workpaper JDM-E-7/8</t>
  </si>
  <si>
    <t>Note:  Total Base Load for Sch. 1 = Base Load per bill times total billings (base load per bill on JDM-E-18) =</t>
  </si>
  <si>
    <t>Note:  Total Base Load for Sch. 21 = Base Load per bill times total billings (base load per bill on JDM-E-18) =</t>
  </si>
  <si>
    <t>Filed</t>
  </si>
  <si>
    <r>
      <t xml:space="preserve">(1) </t>
    </r>
    <r>
      <rPr>
        <u val="single"/>
        <sz val="10"/>
        <rFont val="Arial"/>
        <family val="2"/>
      </rPr>
      <t>Excludes</t>
    </r>
    <r>
      <rPr>
        <sz val="10"/>
        <rFont val="Arial"/>
        <family val="2"/>
      </rPr>
      <t xml:space="preserve"> all present rate adjustments:  Schedule 59 (BPA Residential Exchange), Schedule 75 (Decoupling),</t>
    </r>
  </si>
  <si>
    <r>
      <t xml:space="preserve">(2) </t>
    </r>
    <r>
      <rPr>
        <u val="single"/>
        <sz val="10"/>
        <rFont val="Arial"/>
        <family val="2"/>
      </rPr>
      <t>Includes</t>
    </r>
    <r>
      <rPr>
        <sz val="10"/>
        <rFont val="Arial"/>
        <family val="2"/>
      </rPr>
      <t xml:space="preserve"> all present rate adjustments:  Schedule 59 (BPA Residential Exchange), Schedule 75 (Decoupling),  </t>
    </r>
  </si>
  <si>
    <r>
      <t xml:space="preserve">(1) </t>
    </r>
    <r>
      <rPr>
        <u val="single"/>
        <sz val="10"/>
        <rFont val="Arial"/>
        <family val="2"/>
      </rPr>
      <t>Includes</t>
    </r>
    <r>
      <rPr>
        <sz val="10"/>
        <rFont val="Arial"/>
        <family val="2"/>
      </rPr>
      <t xml:space="preserve"> all present rate adjustments:  Schedule 59 (BPA Residential Exchange), </t>
    </r>
  </si>
  <si>
    <t>LIRAP</t>
  </si>
  <si>
    <t xml:space="preserve">Incremental </t>
  </si>
  <si>
    <t>LIRAP Funding</t>
  </si>
  <si>
    <t>(m)</t>
  </si>
  <si>
    <t>Net Funding</t>
  </si>
  <si>
    <t>Net Funding Increase</t>
  </si>
  <si>
    <t>Revenue Conversion Factor</t>
  </si>
  <si>
    <t>Present Bill</t>
  </si>
  <si>
    <t>918 kWh's</t>
  </si>
  <si>
    <t>Proposed Bill</t>
  </si>
  <si>
    <t>Bill Change</t>
  </si>
  <si>
    <t>Proposed Street &amp; Area Light Revenue</t>
  </si>
  <si>
    <t>times 2</t>
  </si>
  <si>
    <t>less Oct Increase</t>
  </si>
  <si>
    <t>Incremental Change</t>
  </si>
  <si>
    <t>Sch 001 Base Rate Change</t>
  </si>
  <si>
    <t>ERM Rate</t>
  </si>
  <si>
    <t>Sch. 92</t>
  </si>
  <si>
    <t>LIRAP Rate</t>
  </si>
  <si>
    <t>Sch 93</t>
  </si>
  <si>
    <t>Sch 92</t>
  </si>
  <si>
    <t>Settlement</t>
  </si>
  <si>
    <t>Electric LIRAP Percentage Change</t>
  </si>
  <si>
    <t>All light codes notated with a "T" are not on the tariff sheets.</t>
  </si>
  <si>
    <t>WASHINGTON Street Lights (Schedule 41 - 46 Rates)</t>
  </si>
  <si>
    <t>WASHINGTON Area Lights (Schedule 47)</t>
  </si>
  <si>
    <t xml:space="preserve">Net </t>
  </si>
  <si>
    <t>Sch 94</t>
  </si>
  <si>
    <t>Remand</t>
  </si>
  <si>
    <t xml:space="preserve">Base </t>
  </si>
  <si>
    <t>Present - UE-190334</t>
  </si>
  <si>
    <t>1.325 * 4.95%</t>
  </si>
  <si>
    <t>Proposed - UE- 200___</t>
  </si>
  <si>
    <t>Electric Revenue Meters Report by Location  Twelve Months Ended  for Report Date : '12/31/2019'</t>
  </si>
  <si>
    <t>Electric Revenue Usage Report by Location  Twelve Months Ended  for Report Date : '12/31/2019'</t>
  </si>
  <si>
    <t>Electric Revenue Report by Location  Twelve Months Ended  for Report Date : '12/31/2019'</t>
  </si>
  <si>
    <t>Demand, PF and PVD Calc Support</t>
  </si>
  <si>
    <t>Schedule 11</t>
  </si>
  <si>
    <t>Block 2 Demand Revenue</t>
  </si>
  <si>
    <t>Power Factor Revenue</t>
  </si>
  <si>
    <t>Block 2 Demand Rate</t>
  </si>
  <si>
    <t>Power Factor Rate</t>
  </si>
  <si>
    <t>Schedule 12</t>
  </si>
  <si>
    <t>Schedule 21</t>
  </si>
  <si>
    <t>Prim. Volt. Disc. Revenue</t>
  </si>
  <si>
    <t>Prim. Volt. Disc. Rate</t>
  </si>
  <si>
    <t>Schedule 22</t>
  </si>
  <si>
    <t>Schedule 25</t>
  </si>
  <si>
    <t>Prim. Volt. Disc. &gt;11 Revenue</t>
  </si>
  <si>
    <t>Prim. Volt. Disc. &gt;60 Revenue</t>
  </si>
  <si>
    <t>Prim. Volt. Disc. &gt;115 Revenue</t>
  </si>
  <si>
    <t>Prim. Volt. Disc. &gt;11 Rate</t>
  </si>
  <si>
    <t>Prim. Volt. Disc. &gt;60 Rate</t>
  </si>
  <si>
    <t>Prim. Volt. Disc. &gt;115 Rate</t>
  </si>
  <si>
    <t>Schedule 30</t>
  </si>
  <si>
    <t>Schedule 31</t>
  </si>
  <si>
    <t>Schedule 32</t>
  </si>
  <si>
    <t>5W</t>
  </si>
  <si>
    <t>Dust to 1 AM</t>
  </si>
  <si>
    <t>MDM-10069 Report as of 3/31/20</t>
  </si>
  <si>
    <t>HARL</t>
  </si>
  <si>
    <t>HPZL</t>
  </si>
  <si>
    <t>30 steel pole pedestal base (Dev Contr)</t>
  </si>
  <si>
    <t>on existing standard (Capital Only</t>
  </si>
  <si>
    <t>12 MONTHS ENDED DECEMBER 31, 2019</t>
  </si>
  <si>
    <t>(1) from JDM-E-12/14</t>
  </si>
  <si>
    <t>(2) from JDM-E-13/14</t>
  </si>
  <si>
    <t>Schedule 93 (ERM)</t>
  </si>
  <si>
    <t>Sch 93 Rate</t>
  </si>
  <si>
    <t>Schedule 94 (Remand)</t>
  </si>
  <si>
    <t>Sch 94 Rate</t>
  </si>
  <si>
    <t>Schedule 92 (LIRAP)</t>
  </si>
  <si>
    <t>Sch 92 Rate</t>
  </si>
  <si>
    <t>Sch 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</si>
</sst>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3">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0.000\¢\)"/>
    <numFmt numFmtId="166" formatCode="&quot;$&quot;#,##0.00000_);\(&quot;$&quot;#,##0.00000\)"/>
    <numFmt numFmtId="167" formatCode="&quot;$&quot;#,##0.0000_);\(&quot;$&quot;#,##0.0000\)"/>
    <numFmt numFmtId="168" formatCode="#,##0;\-#,##0;"/>
    <numFmt numFmtId="169" formatCode="_(&quot;$&quot;* #,##0_);_(&quot;$&quot;* \(#,##0\);_(&quot;$&quot;* &quot;-&quot;??_);_(@_)"/>
    <numFmt numFmtId="170" formatCode="&quot;$&quot;#,##0.00"/>
    <numFmt numFmtId="171" formatCode="0.0%"/>
    <numFmt numFmtId="172" formatCode="0.00000"/>
    <numFmt numFmtId="173" formatCode="0.0000"/>
    <numFmt numFmtId="174" formatCode="&quot;$&quot;#,##0.00;\-&quot;$&quot;#,##0.00;"/>
    <numFmt numFmtId="175" formatCode="&quot;$&quot;#,##0;\-&quot;$&quot;#,##0;"/>
    <numFmt numFmtId="176" formatCode="&quot;$&quot;#,##0"/>
    <numFmt numFmtId="177" formatCode=";;;"/>
    <numFmt numFmtId="178" formatCode="#,##0;;"/>
    <numFmt numFmtId="179" formatCode="#,##0.000\¢\ ;\(#,##0.000\¢\);"/>
    <numFmt numFmtId="180" formatCode="&quot;$&quot;#,##0.00000"/>
    <numFmt numFmtId="181" formatCode="0.0%;\-0.0%;"/>
    <numFmt numFmtId="182" formatCode="&quot;$&quot;#,##0.00&quot;/kW &quot;;\-&quot;$&quot;#,##0.00&quot;/kW &quot;;"/>
    <numFmt numFmtId="183" formatCode="&quot;$&quot;#,##0_);\(&quot;$&quot;#,##0\);"/>
    <numFmt numFmtId="184" formatCode="&quot;$&quot;#,##0.00&quot;/kva &quot;;\-&quot;$&quot;#,##0.00&quot;/kva &quot;;"/>
    <numFmt numFmtId="185" formatCode="#,##0_);\(#,##0\);"/>
    <numFmt numFmtId="186" formatCode="0.000%"/>
    <numFmt numFmtId="187" formatCode="&quot;Over&quot;"/>
    <numFmt numFmtId="188" formatCode="mmm\ yy"/>
    <numFmt numFmtId="189" formatCode="#,##0.000_);\(#,##0.000\)"/>
    <numFmt numFmtId="190" formatCode="0.0%;\ \(0.0%\)"/>
    <numFmt numFmtId="191" formatCode="[$-409]mmm/yy;@"/>
    <numFmt numFmtId="192" formatCode="0.00%;\ \(0.00%\)"/>
    <numFmt numFmtId="193" formatCode="_(&quot;$&quot;* #,##0.00000_);_(&quot;$&quot;* \(#,##0.00000\);_(&quot;$&quot;* &quot;-&quot;??_);_(@_)"/>
    <numFmt numFmtId="194" formatCode="&quot;$&quot;#,##0.000_);\(&quot;$&quot;#,##0.000\)"/>
    <numFmt numFmtId="195" formatCode="0.000"/>
    <numFmt numFmtId="196" formatCode="0.0000%"/>
    <numFmt numFmtId="197" formatCode="[$-409]mmm\-yy;@"/>
    <numFmt numFmtId="198" formatCode="[$-F800]dddd\,\ mmmm\ dd\,\ yyyy"/>
    <numFmt numFmtId="199" formatCode="mmmm\ d\,\ yyyy"/>
    <numFmt numFmtId="200" formatCode="[$-409]mmmm\-yy;@"/>
    <numFmt numFmtId="201" formatCode="#,##0_%_);\(#,##0\)_%;#,##0_%_);@_%_)"/>
    <numFmt numFmtId="202" formatCode="_._.* #,##0.0_)_%;_._.* \(#,##0.0\)_%"/>
    <numFmt numFmtId="203" formatCode="_._.* #,##0.00_)_%;_._.* \(#,##0.00\)_%"/>
    <numFmt numFmtId="204" formatCode="_._.* #,##0.000_)_%;_._.* \(#,##0.000\)_%"/>
    <numFmt numFmtId="205" formatCode="_(* #,##0.00_);_(* \(\ #,##0.00\ \);_(* &quot;-&quot;??_);_(\ @_ \)"/>
    <numFmt numFmtId="206" formatCode="_._.* #,##0_)_%;_._.* #,##0_)_%;_._.* 0_)_%;_._.@_)_%"/>
    <numFmt numFmtId="207" formatCode="_._.&quot;$&quot;* #,##0.0_)_%;_._.&quot;$&quot;* \(#,##0.0\)_%"/>
    <numFmt numFmtId="208" formatCode="_._.&quot;$&quot;* #,##0.00_)_%;_._.&quot;$&quot;* \(#,##0.00\)_%"/>
    <numFmt numFmtId="209" formatCode="_._.&quot;$&quot;* #,##0.000_)_%;_._.&quot;$&quot;* \(#,##0.000\)_%"/>
    <numFmt numFmtId="210" formatCode="_._.&quot;$&quot;* #,###_)_%;_._.&quot;$&quot;* #,###_)_%;_._.&quot;$&quot;* 0_)_%;_._.@_)_%"/>
    <numFmt numFmtId="211" formatCode="#,###,##0.00;\(#,###,##0.00\)"/>
    <numFmt numFmtId="212" formatCode="#,###,##0;\(#,###,##0\)"/>
    <numFmt numFmtId="213" formatCode="0.0"/>
    <numFmt numFmtId="214" formatCode="_(&quot;$&quot;* #,##0.0_);_(&quot;$&quot;* \(#,##0.0\);_(&quot;$&quot;* &quot;-&quot;??_);_(@_)"/>
    <numFmt numFmtId="215" formatCode="&quot;$&quot;#,###,##0.00;\(&quot;$&quot;#,###,##0.00\)"/>
    <numFmt numFmtId="216" formatCode="&quot;$&quot;#,###,##0;\(&quot;$&quot;#,###,##0\)"/>
    <numFmt numFmtId="217" formatCode="#,##0.00%;\(#,##0.00%\)"/>
    <numFmt numFmtId="218" formatCode="_(0_)%;\(0\)%"/>
    <numFmt numFmtId="219" formatCode="_._._(* 0_)%;_._.* \(0\)%"/>
    <numFmt numFmtId="220" formatCode="_(0.0_)%;\(0.0\)%"/>
    <numFmt numFmtId="221" formatCode="_._._(* 0.0_)%;_._.* \(0.0\)%"/>
    <numFmt numFmtId="222" formatCode="_(0.00_)%;\(0.00\)%"/>
    <numFmt numFmtId="223" formatCode="_._._(* 0.00_)%;_._.* \(0.00\)%"/>
    <numFmt numFmtId="224" formatCode="_(0.000_)%;\(0.000\)%"/>
    <numFmt numFmtId="225" formatCode="_._._(* 0.000_)%;_._.* \(0.000\)%"/>
    <numFmt numFmtId="226" formatCode="_(0.0000_)%;\(0.0000\)%"/>
    <numFmt numFmtId="227" formatCode="_._._(* 0.0000_)%;_._.* \(0.0000\)%"/>
    <numFmt numFmtId="228" formatCode="_(* #,##0_);_(* \(#,##0\);_(* 0_);_(@_)"/>
    <numFmt numFmtId="229" formatCode="_(* #,##0.0_);_(* \(#,##0.0\)"/>
    <numFmt numFmtId="230" formatCode="_(* #,##0.00_);_(* \(#,##0.00\)"/>
    <numFmt numFmtId="231" formatCode="_(* #,##0.000_);_(* \(#,##0.000\)"/>
    <numFmt numFmtId="232" formatCode="_(&quot;$&quot;* #,##0_);_(&quot;$&quot;* \(#,##0\);_(&quot;$&quot;* 0_);_(@_)"/>
    <numFmt numFmtId="233" formatCode="_(&quot;$&quot;* #,##0.0_);_(&quot;$&quot;* \(#,##0.0\)"/>
    <numFmt numFmtId="234" formatCode="_(&quot;$&quot;* #,##0.00_);_(&quot;$&quot;* \(#,##0.00\)"/>
    <numFmt numFmtId="235" formatCode="_(&quot;$&quot;* #,##0.000_);_(&quot;$&quot;* \(#,##0.000\)"/>
    <numFmt numFmtId="236" formatCode="#,##0.0_x_x"/>
    <numFmt numFmtId="237" formatCode="&quot;$&quot;#,##0\ ;\(&quot;$&quot;#,##0\)"/>
    <numFmt numFmtId="238" formatCode="_(&quot;$&quot;* #,##0.000000_);_(&quot;$&quot;* \(#,##0.000000\);_(&quot;$&quot;* &quot;-&quot;??_);_(@_)"/>
    <numFmt numFmtId="239" formatCode="#,##0;\(#,##0\)"/>
  </numFmts>
  <fonts count="170">
    <font>
      <sz val="10"/>
      <name val="Arial"/>
      <family val="2"/>
    </font>
    <font>
      <sz val="11"/>
      <color theme="1"/>
      <name val="Calibri"/>
      <family val="2"/>
      <scheme val="minor"/>
    </font>
    <font>
      <sz val="8"/>
      <name val="Geneva"/>
      <family val="2"/>
    </font>
    <font>
      <b/>
      <sz val="8"/>
      <name val="Courier"/>
      <family val="3"/>
    </font>
    <font>
      <u val="single"/>
      <sz val="8"/>
      <name val="Geneva"/>
      <family val="2"/>
    </font>
    <font>
      <b/>
      <sz val="8"/>
      <name val="Geneva"/>
      <family val="2"/>
    </font>
    <font>
      <sz val="8"/>
      <color indexed="12"/>
      <name val="Geneva"/>
      <family val="2"/>
    </font>
    <font>
      <sz val="8"/>
      <name val="Arial"/>
      <family val="2"/>
    </font>
    <font>
      <sz val="10"/>
      <color indexed="8"/>
      <name val="Times New Roman"/>
      <family val="1"/>
    </font>
    <font>
      <sz val="9"/>
      <name val="Geneva"/>
      <family val="2"/>
    </font>
    <font>
      <b/>
      <sz val="9"/>
      <name val="Geneva"/>
      <family val="2"/>
    </font>
    <font>
      <u val="single"/>
      <sz val="9"/>
      <name val="Geneva"/>
      <family val="2"/>
    </font>
    <font>
      <u val="singleAccounting"/>
      <sz val="9"/>
      <name val="Geneva"/>
      <family val="2"/>
    </font>
    <font>
      <b/>
      <u val="singleAccounting"/>
      <sz val="9"/>
      <name val="Geneva"/>
      <family val="2"/>
    </font>
    <font>
      <b/>
      <u val="single"/>
      <sz val="9"/>
      <name val="Geneva"/>
      <family val="2"/>
    </font>
    <font>
      <b/>
      <sz val="10"/>
      <name val="Arial"/>
      <family val="2"/>
    </font>
    <font>
      <sz val="8"/>
      <name val="Tahoma"/>
      <family val="2"/>
    </font>
    <font>
      <b/>
      <sz val="10"/>
      <name val="Geneva"/>
      <family val="2"/>
    </font>
    <font>
      <u val="single"/>
      <sz val="10"/>
      <name val="Geneva"/>
      <family val="2"/>
    </font>
    <font>
      <u val="singleAccounting"/>
      <sz val="10"/>
      <name val="Arial"/>
      <family val="2"/>
    </font>
    <font>
      <b/>
      <sz val="12"/>
      <name val="Arial"/>
      <family val="2"/>
    </font>
    <font>
      <b/>
      <sz val="11"/>
      <name val="Arial"/>
      <family val="2"/>
    </font>
    <font>
      <sz val="11"/>
      <name val="Arial"/>
      <family val="2"/>
    </font>
    <font>
      <u val="single"/>
      <sz val="10"/>
      <name val="Arial"/>
      <family val="2"/>
    </font>
    <font>
      <sz val="10"/>
      <name val="Times New Roman"/>
      <family val="1"/>
    </font>
    <font>
      <sz val="10"/>
      <color indexed="39"/>
      <name val="Arial"/>
      <family val="2"/>
    </font>
    <font>
      <sz val="8"/>
      <color indexed="39"/>
      <name val="Geneva"/>
      <family val="2"/>
    </font>
    <font>
      <sz val="9"/>
      <color indexed="39"/>
      <name val="Geneva"/>
      <family val="2"/>
    </font>
    <font>
      <b/>
      <sz val="9"/>
      <name val="Arial"/>
      <family val="2"/>
    </font>
    <font>
      <b/>
      <u val="single"/>
      <sz val="10"/>
      <name val="Arial"/>
      <family val="2"/>
    </font>
    <font>
      <sz val="11"/>
      <name val="Tahoma"/>
      <family val="2"/>
    </font>
    <font>
      <sz val="10"/>
      <color indexed="12"/>
      <name val="Arial"/>
      <family val="2"/>
    </font>
    <font>
      <b/>
      <sz val="10"/>
      <color indexed="12"/>
      <name val="Arial"/>
      <family val="2"/>
    </font>
    <font>
      <sz val="10"/>
      <name val="Symbol"/>
      <family val="1"/>
    </font>
    <font>
      <u val="single"/>
      <sz val="10"/>
      <name val="Symbol"/>
      <family val="1"/>
    </font>
    <font>
      <b/>
      <sz val="10"/>
      <color indexed="10"/>
      <name val="Arial"/>
      <family val="2"/>
    </font>
    <font>
      <b/>
      <sz val="8"/>
      <color indexed="12"/>
      <name val="Geneva"/>
      <family val="2"/>
    </font>
    <font>
      <u val="doubleAccounting"/>
      <sz val="10"/>
      <name val="Arial"/>
      <family val="2"/>
    </font>
    <font>
      <sz val="10"/>
      <color indexed="10"/>
      <name val="Arial"/>
      <family val="2"/>
    </font>
    <font>
      <sz val="8"/>
      <color indexed="10"/>
      <name val="Geneva"/>
      <family val="2"/>
    </font>
    <font>
      <b/>
      <i/>
      <sz val="10"/>
      <name val="Arial"/>
      <family val="2"/>
    </font>
    <font>
      <sz val="10"/>
      <color indexed="8"/>
      <name val="Arial"/>
      <family val="2"/>
    </font>
    <font>
      <u val="doubleAccounting"/>
      <sz val="10"/>
      <color indexed="12"/>
      <name val="Arial"/>
      <family val="2"/>
    </font>
    <font>
      <b/>
      <sz val="8"/>
      <color indexed="10"/>
      <name val="Geneva"/>
      <family val="2"/>
    </font>
    <font>
      <sz val="10"/>
      <color rgb="FF0000FF"/>
      <name val="Arial"/>
      <family val="2"/>
    </font>
    <font>
      <b/>
      <sz val="8"/>
      <name val="Tahoma"/>
      <family val="2"/>
    </font>
    <font>
      <sz val="8"/>
      <color rgb="FF0000FF"/>
      <name val="Geneva"/>
      <family val="2"/>
    </font>
    <font>
      <sz val="10"/>
      <color theme="0"/>
      <name val="Arial"/>
      <family val="2"/>
    </font>
    <font>
      <sz val="10"/>
      <name val="Geneva"/>
      <family val="2"/>
    </font>
    <font>
      <sz val="9"/>
      <color rgb="FF0000FF"/>
      <name val="Geneva"/>
      <family val="2"/>
    </font>
    <font>
      <u val="singleAccounting"/>
      <sz val="9"/>
      <color indexed="39"/>
      <name val="Geneva"/>
      <family val="2"/>
    </font>
    <font>
      <u val="singleAccounting"/>
      <sz val="9"/>
      <color rgb="FF0000FF"/>
      <name val="Geneva"/>
      <family val="2"/>
    </font>
    <font>
      <sz val="12"/>
      <name val="Arial"/>
      <family val="2"/>
    </font>
    <font>
      <sz val="11"/>
      <color indexed="8"/>
      <name val="Calibri"/>
      <family val="2"/>
    </font>
    <font>
      <sz val="12"/>
      <color theme="1"/>
      <name val="Times New Roman"/>
      <family val="2"/>
    </font>
    <font>
      <sz val="12"/>
      <name val="Times New Roman"/>
      <family val="1"/>
    </font>
    <font>
      <sz val="8"/>
      <color indexed="56"/>
      <name val="Arial"/>
      <family val="2"/>
    </font>
    <font>
      <sz val="10"/>
      <name val="MS Sans Serif"/>
      <family val="2"/>
    </font>
    <font>
      <b/>
      <sz val="10"/>
      <name val="MS Sans Serif"/>
      <family val="2"/>
    </font>
    <font>
      <sz val="12"/>
      <color rgb="FF0000FF"/>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6" tint="-0.24997000396251678"/>
      <name val="Arial"/>
      <family val="2"/>
    </font>
    <font>
      <sz val="12"/>
      <color indexed="10"/>
      <name val="Times New Roman"/>
      <family val="1"/>
    </font>
    <font>
      <b/>
      <u val="single"/>
      <sz val="12"/>
      <name val="Arial"/>
      <family val="2"/>
    </font>
    <font>
      <sz val="10"/>
      <color theme="1"/>
      <name val="Arial"/>
      <family val="2"/>
    </font>
    <font>
      <sz val="10"/>
      <color indexed="60"/>
      <name val="Arial"/>
      <family val="2"/>
    </font>
    <font>
      <b/>
      <sz val="14"/>
      <name val="Arial"/>
      <family val="2"/>
    </font>
    <font>
      <sz val="8"/>
      <color rgb="FF00B050"/>
      <name val="Geneva"/>
      <family val="2"/>
    </font>
    <font>
      <sz val="8"/>
      <color theme="1"/>
      <name val="Calibri"/>
      <family val="2"/>
      <scheme val="minor"/>
    </font>
    <font>
      <sz val="9"/>
      <name val="Courier"/>
      <family val="3"/>
    </font>
    <font>
      <sz val="9"/>
      <name val="Tahoma"/>
      <family val="2"/>
    </font>
    <font>
      <b/>
      <sz val="9"/>
      <name val="Tahoma"/>
      <family val="2"/>
    </font>
    <font>
      <b/>
      <sz val="11"/>
      <color theme="3"/>
      <name val="Calibri"/>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b/>
      <sz val="8"/>
      <color indexed="8"/>
      <name val="Arial"/>
      <family val="2"/>
    </font>
    <font>
      <b/>
      <sz val="8"/>
      <color indexed="8"/>
      <name val="Courier New"/>
      <family val="3"/>
    </font>
    <font>
      <u val="single"/>
      <sz val="10"/>
      <color indexed="12"/>
      <name val="Arial"/>
      <family val="2"/>
    </font>
    <font>
      <sz val="11"/>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family val="2"/>
    </font>
    <font>
      <sz val="11"/>
      <color indexed="9"/>
      <name val="Calibri"/>
      <family val="2"/>
    </font>
    <font>
      <sz val="10"/>
      <color indexed="9"/>
      <name val="Arial"/>
      <family val="2"/>
    </font>
    <font>
      <sz val="11"/>
      <color indexed="20"/>
      <name val="Calibri"/>
      <family val="2"/>
      <scheme val="minor"/>
    </font>
    <font>
      <sz val="11"/>
      <color indexed="20"/>
      <name val="Calibri"/>
      <family val="2"/>
    </font>
    <font>
      <b/>
      <sz val="11"/>
      <color indexed="52"/>
      <name val="Calibri"/>
      <family val="2"/>
    </font>
    <font>
      <b/>
      <sz val="8"/>
      <name val="Arial"/>
      <family val="2"/>
    </font>
    <font>
      <b/>
      <sz val="11"/>
      <color indexed="9"/>
      <name val="Calibri"/>
      <family val="2"/>
    </font>
    <font>
      <b/>
      <sz val="9.75"/>
      <name val="Abadi MT Condensed"/>
      <family val="2"/>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sz val="9"/>
      <name val="StoneSerif"/>
      <family val="2"/>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12"/>
      <name val="Arial"/>
      <family val="2"/>
    </font>
    <font>
      <b/>
      <sz val="12"/>
      <color rgb="FF000000"/>
      <name val="Arial"/>
      <family val="2"/>
    </font>
    <font>
      <b/>
      <sz val="16"/>
      <color indexed="63"/>
      <name val="Calibri"/>
      <family val="2"/>
    </font>
    <font>
      <b/>
      <i/>
      <sz val="9"/>
      <color indexed="63"/>
      <name val="Arial"/>
      <family val="2"/>
    </font>
    <font>
      <b/>
      <i/>
      <sz val="10"/>
      <color indexed="63"/>
      <name val="Arial"/>
      <family val="2"/>
    </font>
    <font>
      <b/>
      <sz val="8"/>
      <color rgb="FF000000"/>
      <name val="Arial"/>
      <family val="2"/>
    </font>
    <font>
      <sz val="9"/>
      <color rgb="FF000000"/>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amily val="2"/>
    </font>
    <font>
      <sz val="11"/>
      <color theme="1"/>
      <name val="Calibri"/>
      <family val="2"/>
    </font>
    <font>
      <strike/>
      <sz val="10"/>
      <name val="Arial"/>
      <family val="2"/>
    </font>
    <font>
      <strike/>
      <sz val="10"/>
      <color indexed="39"/>
      <name val="Arial"/>
      <family val="2"/>
    </font>
    <font>
      <strike/>
      <sz val="10"/>
      <color rgb="FF0000FF"/>
      <name val="Arial"/>
      <family val="2"/>
    </font>
    <font>
      <strike/>
      <sz val="10"/>
      <color rgb="FFFF0000"/>
      <name val="Arial"/>
      <family val="2"/>
    </font>
    <font>
      <u val="single"/>
      <strike/>
      <sz val="10"/>
      <name val="Arial"/>
      <family val="2"/>
    </font>
    <font>
      <b/>
      <sz val="12"/>
      <color theme="1"/>
      <name val="Times New Roman"/>
      <family val="1"/>
    </font>
    <font>
      <sz val="8"/>
      <color rgb="FF333333"/>
      <name val="Arial"/>
      <family val="2"/>
    </font>
    <font>
      <sz val="8"/>
      <color rgb="FF454545"/>
      <name val="Arial"/>
      <family val="2"/>
    </font>
    <font>
      <sz val="10"/>
      <color rgb="FF454545"/>
      <name val="Arial"/>
      <family val="2"/>
    </font>
    <font>
      <b/>
      <sz val="8"/>
      <color rgb="FF444444"/>
      <name val="Arial"/>
      <family val="2"/>
    </font>
    <font>
      <b/>
      <sz val="8"/>
      <color rgb="FF31455E"/>
      <name val="Arial"/>
      <family val="2"/>
    </font>
    <font>
      <b/>
      <sz val="8"/>
      <color rgb="FF222222"/>
      <name val="Arial"/>
      <family val="2"/>
    </font>
    <font>
      <sz val="11"/>
      <color rgb="FF0000FF"/>
      <name val="Calibri"/>
      <family val="2"/>
      <scheme val="minor"/>
    </font>
    <font>
      <sz val="11"/>
      <name val="Calibri"/>
      <family val="2"/>
      <scheme val="minor"/>
    </font>
  </fonts>
  <fills count="72">
    <fill>
      <patternFill/>
    </fill>
    <fill>
      <patternFill patternType="gray125"/>
    </fill>
    <fill>
      <patternFill patternType="mediumGray">
        <fgColor indexed="22"/>
      </patternFill>
    </fill>
    <fill>
      <patternFill patternType="solid">
        <fgColor indexed="43"/>
        <bgColor indexed="64"/>
      </patternFill>
    </fill>
    <fill>
      <patternFill patternType="solid">
        <fgColor indexed="57"/>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BFBFBF"/>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rgb="FFEBF19D"/>
        <bgColor indexed="64"/>
      </patternFill>
    </fill>
    <fill>
      <patternFill patternType="solid">
        <fgColor rgb="FFE7E5E5"/>
        <bgColor indexed="64"/>
      </patternFill>
    </fill>
    <fill>
      <patternFill patternType="solid">
        <fgColor rgb="FFFFFFFF"/>
        <bgColor indexed="64"/>
      </patternFill>
    </fill>
    <fill>
      <patternFill patternType="solid">
        <fgColor rgb="FFDEE6F2"/>
        <bgColor indexed="64"/>
      </patternFill>
    </fill>
    <fill>
      <patternFill patternType="solid">
        <fgColor rgb="FFEFF3F7"/>
        <bgColor indexed="64"/>
      </patternFill>
    </fill>
    <fill>
      <patternFill patternType="solid">
        <fgColor rgb="FFBDDAF3"/>
        <bgColor indexed="64"/>
      </patternFill>
    </fill>
  </fills>
  <borders count="77">
    <border>
      <left/>
      <right/>
      <top/>
      <bottom/>
      <diagonal/>
    </border>
    <border>
      <left/>
      <right/>
      <top/>
      <bottom style="mediu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hair"/>
      <right style="hair"/>
      <top style="hair"/>
      <bottom style="hair"/>
    </border>
    <border>
      <left style="thin">
        <color rgb="FFB2B2B2"/>
      </left>
      <right style="thin">
        <color rgb="FFB2B2B2"/>
      </right>
      <top style="thin">
        <color rgb="FFB2B2B2"/>
      </top>
      <bottom style="thin">
        <color rgb="FFB2B2B2"/>
      </bottom>
    </border>
    <border>
      <left/>
      <right style="thin"/>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ck"/>
    </border>
    <border>
      <left style="thin"/>
      <right/>
      <top style="thin"/>
      <bottom style="thick"/>
    </border>
    <border>
      <left/>
      <right/>
      <top style="thin">
        <color indexed="62"/>
      </top>
      <bottom style="double">
        <color indexed="62"/>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top style="thin"/>
      <bottom style="thin"/>
    </border>
    <border>
      <left/>
      <right/>
      <top style="thin"/>
      <bottom style="double"/>
    </border>
    <border>
      <left/>
      <right/>
      <top/>
      <bottom style="double"/>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thin">
        <color indexed="8"/>
      </top>
      <bottom/>
    </border>
    <border>
      <left style="thin">
        <color indexed="8"/>
      </left>
      <right style="thin">
        <color indexed="8"/>
      </right>
      <top style="thin">
        <color indexed="8"/>
      </top>
      <bottom/>
    </border>
    <border>
      <left/>
      <right style="thin">
        <color indexed="8"/>
      </right>
      <top style="thin">
        <color indexed="8"/>
      </top>
      <bottom/>
    </border>
    <border>
      <left/>
      <right style="medium">
        <color indexed="8"/>
      </right>
      <top style="thin">
        <color indexed="8"/>
      </top>
      <bottom/>
    </border>
    <border>
      <left style="medium">
        <color indexed="8"/>
      </left>
      <right/>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medium">
        <color indexed="8"/>
      </right>
      <top/>
      <bottom style="thin">
        <color indexed="8"/>
      </bottom>
    </border>
    <border>
      <left style="medium">
        <color indexed="8"/>
      </left>
      <right/>
      <top/>
      <bottom/>
    </border>
    <border>
      <left style="thin">
        <color indexed="8"/>
      </left>
      <right style="thin">
        <color indexed="8"/>
      </right>
      <top/>
      <bottom/>
    </border>
    <border>
      <left/>
      <right style="thin">
        <color indexed="8"/>
      </right>
      <top/>
      <bottom/>
    </border>
    <border>
      <left/>
      <right style="medium">
        <color indexed="8"/>
      </right>
      <top/>
      <bottom/>
    </border>
    <border>
      <left style="medium">
        <color indexed="8"/>
      </left>
      <right/>
      <top style="double">
        <color indexed="8"/>
      </top>
      <bottom style="medium">
        <color indexed="8"/>
      </bottom>
    </border>
    <border>
      <left style="thin">
        <color indexed="8"/>
      </left>
      <right style="thin">
        <color indexed="8"/>
      </right>
      <top style="double">
        <color indexed="8"/>
      </top>
      <bottom style="medium">
        <color indexed="8"/>
      </bottom>
    </border>
    <border>
      <left/>
      <right style="thin">
        <color indexed="8"/>
      </right>
      <top style="double">
        <color indexed="8"/>
      </top>
      <bottom style="medium">
        <color indexed="8"/>
      </bottom>
    </border>
    <border>
      <left/>
      <right style="medium">
        <color indexed="8"/>
      </right>
      <top style="double">
        <color indexed="8"/>
      </top>
      <bottom style="medium">
        <color indexed="8"/>
      </bottom>
    </border>
    <border>
      <left/>
      <right/>
      <top style="double">
        <color indexed="8"/>
      </top>
      <bottom style="medium">
        <color indexed="8"/>
      </bottom>
    </border>
    <border>
      <left style="medium"/>
      <right/>
      <top style="medium"/>
      <bottom/>
    </border>
    <border>
      <left style="thin">
        <color indexed="8"/>
      </left>
      <right style="thin">
        <color indexed="8"/>
      </right>
      <top style="medium"/>
      <bottom/>
    </border>
    <border>
      <left style="medium"/>
      <right/>
      <top/>
      <bottom/>
    </border>
    <border>
      <left style="medium"/>
      <right/>
      <top/>
      <bottom style="medium"/>
    </border>
    <border>
      <left style="thin">
        <color indexed="8"/>
      </left>
      <right style="thin">
        <color indexed="8"/>
      </right>
      <top/>
      <bottom style="medium"/>
    </border>
    <border>
      <left style="medium">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medium"/>
      <top style="medium"/>
      <bottom style="medium"/>
    </border>
    <border>
      <left/>
      <right/>
      <top style="medium"/>
      <bottom style="medium"/>
    </border>
    <border>
      <left/>
      <right style="medium"/>
      <top style="medium"/>
      <bottom style="double"/>
    </border>
    <border>
      <left/>
      <right/>
      <top style="medium"/>
      <bottom style="double"/>
    </border>
    <border>
      <left style="medium"/>
      <right/>
      <top style="medium"/>
      <bottom style="double"/>
    </border>
    <border>
      <left/>
      <right style="medium"/>
      <top/>
      <bottom style="medium"/>
    </border>
    <border>
      <left style="medium"/>
      <right/>
      <top style="medium"/>
      <bottom style="medium"/>
    </border>
    <border>
      <left/>
      <right style="medium"/>
      <top/>
      <bottom/>
    </border>
    <border>
      <left style="medium">
        <color rgb="FFC0C0C0"/>
      </left>
      <right style="medium">
        <color rgb="FFC0C0C0"/>
      </right>
      <top/>
      <bottom style="medium">
        <color rgb="FFC0C0C0"/>
      </bottom>
    </border>
    <border>
      <left style="medium">
        <color rgb="FFEFEFEF"/>
      </left>
      <right style="medium">
        <color rgb="FFEFEFEF"/>
      </right>
      <top/>
      <bottom style="medium">
        <color rgb="FFEFEFEF"/>
      </bottom>
    </border>
    <border>
      <left style="medium">
        <color rgb="FFD5D5D5"/>
      </left>
      <right style="medium">
        <color rgb="FFD5D5D5"/>
      </right>
      <top/>
      <bottom style="medium">
        <color rgb="FFD5D5D5"/>
      </bottom>
    </border>
    <border>
      <left style="medium">
        <color rgb="FFE1E6EC"/>
      </left>
      <right style="medium">
        <color rgb="FFE1E6EC"/>
      </right>
      <top/>
      <bottom style="medium">
        <color rgb="FFE1E6EC"/>
      </bottom>
    </border>
    <border>
      <left style="medium">
        <color rgb="FF93B1CD"/>
      </left>
      <right style="medium">
        <color rgb="FF93B1CD"/>
      </right>
      <top/>
      <bottom style="medium">
        <color rgb="FF93B1CD"/>
      </bottom>
    </border>
    <border>
      <left/>
      <right/>
      <top/>
      <bottom style="medium">
        <color rgb="FF93B1CD"/>
      </bottom>
    </border>
    <border>
      <left/>
      <right style="medium">
        <color rgb="FF93B1CD"/>
      </right>
      <top/>
      <bottom style="medium">
        <color rgb="FF93B1CD"/>
      </bottom>
    </border>
    <border>
      <left style="medium">
        <color rgb="FFC0C0C0"/>
      </left>
      <right style="medium">
        <color rgb="FFC0C0C0"/>
      </right>
      <top/>
      <bottom/>
    </border>
  </borders>
  <cellStyleXfs count="43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readingOrder="1"/>
      <protection/>
    </xf>
    <xf numFmtId="0" fontId="48" fillId="0" borderId="0">
      <alignment/>
      <protection/>
    </xf>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4" fillId="0" borderId="0">
      <alignment/>
      <protection/>
    </xf>
    <xf numFmtId="43" fontId="0" fillId="0" borderId="0" applyFont="0" applyFill="0" applyBorder="0" applyAlignment="0" applyProtection="0"/>
    <xf numFmtId="44" fontId="0" fillId="0" borderId="0" applyFont="0" applyFill="0" applyBorder="0" applyAlignment="0" applyProtection="0"/>
    <xf numFmtId="9" fontId="24" fillId="0" borderId="0" applyFont="0" applyFill="0" applyBorder="0" applyAlignment="0" applyProtection="0"/>
    <xf numFmtId="43" fontId="52" fillId="0" borderId="0" applyFont="0" applyFill="0" applyBorder="0" applyAlignment="0" applyProtection="0"/>
    <xf numFmtId="44" fontId="0" fillId="0" borderId="0" applyFont="0" applyFill="0" applyBorder="0" applyAlignment="0" applyProtection="0"/>
    <xf numFmtId="44" fontId="52" fillId="0" borderId="0" applyFont="0" applyFill="0" applyBorder="0" applyAlignment="0" applyProtection="0"/>
    <xf numFmtId="44" fontId="24" fillId="0" borderId="0" applyFont="0" applyFill="0" applyBorder="0" applyAlignment="0" applyProtection="0"/>
    <xf numFmtId="44" fontId="0" fillId="0" borderId="0" applyFont="0" applyFill="0" applyBorder="0" applyAlignment="0" applyProtection="0"/>
    <xf numFmtId="0" fontId="52" fillId="0" borderId="0">
      <alignment/>
      <protection/>
    </xf>
    <xf numFmtId="0" fontId="53" fillId="0" borderId="0">
      <alignment/>
      <protection/>
    </xf>
    <xf numFmtId="0" fontId="24" fillId="0" borderId="0">
      <alignment/>
      <protection/>
    </xf>
    <xf numFmtId="0" fontId="52" fillId="0" borderId="0">
      <alignment/>
      <protection/>
    </xf>
    <xf numFmtId="0" fontId="24"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9" fontId="24"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6" fillId="0" borderId="0" applyNumberFormat="0" applyFont="0" applyFill="0" applyBorder="0">
      <alignment horizontal="left" indent="4"/>
      <protection locked="0"/>
    </xf>
    <xf numFmtId="0" fontId="57" fillId="0" borderId="0" applyNumberFormat="0" applyFont="0" applyFill="0" applyBorder="0" applyProtection="0">
      <alignment/>
    </xf>
    <xf numFmtId="15" fontId="57" fillId="0" borderId="0" applyFont="0" applyFill="0" applyBorder="0" applyAlignment="0" applyProtection="0"/>
    <xf numFmtId="4" fontId="57" fillId="0" borderId="0" applyFont="0" applyFill="0" applyBorder="0" applyAlignment="0" applyProtection="0"/>
    <xf numFmtId="0" fontId="58" fillId="0" borderId="1">
      <alignment horizontal="center"/>
      <protection/>
    </xf>
    <xf numFmtId="3" fontId="57" fillId="0" borderId="0" applyFont="0" applyFill="0" applyBorder="0" applyAlignment="0" applyProtection="0"/>
    <xf numFmtId="0" fontId="57" fillId="2" borderId="0" applyNumberFormat="0" applyFont="0" applyBorder="0" applyAlignment="0" applyProtection="0"/>
    <xf numFmtId="164" fontId="52" fillId="3" borderId="0" applyFont="0" applyFill="0" applyBorder="0" applyProtection="0">
      <alignment/>
    </xf>
    <xf numFmtId="0" fontId="0" fillId="4" borderId="0" applyNumberFormat="0" applyFon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5" borderId="0" applyNumberFormat="0" applyBorder="0" applyAlignment="0" applyProtection="0"/>
    <xf numFmtId="0" fontId="65" fillId="6" borderId="0" applyNumberFormat="0" applyBorder="0" applyAlignment="0" applyProtection="0"/>
    <xf numFmtId="0" fontId="66" fillId="7" borderId="0" applyNumberFormat="0" applyBorder="0" applyAlignment="0" applyProtection="0"/>
    <xf numFmtId="0" fontId="67" fillId="8" borderId="5" applyNumberFormat="0" applyAlignment="0" applyProtection="0"/>
    <xf numFmtId="0" fontId="68" fillId="9" borderId="6" applyNumberFormat="0" applyAlignment="0" applyProtection="0"/>
    <xf numFmtId="0" fontId="69" fillId="9" borderId="5" applyNumberFormat="0" applyAlignment="0" applyProtection="0"/>
    <xf numFmtId="0" fontId="70" fillId="0" borderId="7" applyNumberFormat="0" applyFill="0" applyAlignment="0" applyProtection="0"/>
    <xf numFmtId="0" fontId="71" fillId="10" borderId="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5" fillId="34" borderId="0" applyNumberFormat="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76" fillId="0" borderId="0">
      <alignment/>
      <protection/>
    </xf>
    <xf numFmtId="43" fontId="52" fillId="0" borderId="0" applyFont="0" applyFill="0" applyBorder="0" applyAlignment="0" applyProtection="0"/>
    <xf numFmtId="44" fontId="52" fillId="0" borderId="0" applyFont="0" applyFill="0" applyBorder="0" applyAlignment="0" applyProtection="0"/>
    <xf numFmtId="9" fontId="24"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xf numFmtId="43"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5" fillId="0" borderId="0">
      <alignment/>
      <protection/>
    </xf>
    <xf numFmtId="0" fontId="78" fillId="35"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lignment/>
      <protection/>
    </xf>
    <xf numFmtId="9" fontId="0" fillId="0" borderId="0" applyFont="0" applyFill="0" applyBorder="0" applyAlignment="0" applyProtection="0"/>
    <xf numFmtId="0" fontId="48" fillId="0" borderId="0">
      <alignment/>
      <protection/>
    </xf>
    <xf numFmtId="9" fontId="48" fillId="0" borderId="0" applyFont="0" applyFill="0" applyBorder="0" applyAlignment="0" applyProtection="0"/>
    <xf numFmtId="43" fontId="48" fillId="0" borderId="0" applyFont="0" applyFill="0" applyBorder="0" applyAlignment="0" applyProtection="0"/>
    <xf numFmtId="9" fontId="0" fillId="0" borderId="0" applyFont="0" applyFill="0" applyBorder="0" applyAlignment="0" applyProtection="0"/>
    <xf numFmtId="0" fontId="80" fillId="0" borderId="0">
      <alignment/>
      <protection/>
    </xf>
    <xf numFmtId="9" fontId="8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4" fillId="0" borderId="0">
      <alignment/>
      <protection/>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3" fontId="0" fillId="36" borderId="0" applyFont="0" applyFill="0" applyBorder="0" applyAlignment="0" applyProtection="0"/>
    <xf numFmtId="5" fontId="0" fillId="36" borderId="0" applyFont="0" applyFill="0" applyBorder="0" applyAlignment="0" applyProtection="0"/>
    <xf numFmtId="0" fontId="0" fillId="36" borderId="0" applyFont="0" applyFill="0" applyBorder="0" applyAlignment="0" applyProtection="0"/>
    <xf numFmtId="2" fontId="0" fillId="36" borderId="0" applyFont="0" applyFill="0" applyBorder="0" applyAlignment="0" applyProtection="0"/>
    <xf numFmtId="41" fontId="81" fillId="3" borderId="10">
      <alignment horizontal="left"/>
      <protection locked="0"/>
    </xf>
    <xf numFmtId="0" fontId="24" fillId="0" borderId="0">
      <alignment/>
      <protection/>
    </xf>
    <xf numFmtId="44" fontId="24" fillId="0" borderId="0" applyFont="0" applyFill="0" applyBorder="0" applyAlignment="0" applyProtection="0"/>
    <xf numFmtId="44" fontId="0" fillId="0" borderId="0" applyFont="0" applyFill="0" applyBorder="0" applyAlignment="0" applyProtection="0"/>
    <xf numFmtId="9" fontId="48" fillId="0" borderId="0" applyFont="0" applyFill="0" applyBorder="0" applyAlignment="0" applyProtection="0"/>
    <xf numFmtId="9" fontId="80" fillId="0" borderId="0" applyFont="0" applyFill="0" applyBorder="0" applyAlignment="0" applyProtection="0"/>
    <xf numFmtId="43" fontId="48" fillId="0" borderId="0" applyFont="0" applyFill="0" applyBorder="0" applyAlignment="0" applyProtection="0"/>
    <xf numFmtId="0" fontId="80" fillId="0" borderId="0">
      <alignment/>
      <protection/>
    </xf>
    <xf numFmtId="44" fontId="0" fillId="0" borderId="0" applyFont="0" applyFill="0" applyBorder="0" applyAlignment="0" applyProtection="0"/>
    <xf numFmtId="9" fontId="8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80" fillId="0" borderId="0">
      <alignment/>
      <protection/>
    </xf>
    <xf numFmtId="9" fontId="24" fillId="0" borderId="0" applyFont="0" applyFill="0" applyBorder="0" applyAlignment="0" applyProtection="0"/>
    <xf numFmtId="43" fontId="48"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24" fillId="0" borderId="0" applyFont="0" applyFill="0" applyBorder="0" applyAlignment="0" applyProtection="0"/>
    <xf numFmtId="0" fontId="48" fillId="0" borderId="0">
      <alignment/>
      <protection/>
    </xf>
    <xf numFmtId="44" fontId="0" fillId="0" borderId="0" applyFont="0" applyFill="0" applyBorder="0" applyAlignment="0" applyProtection="0"/>
    <xf numFmtId="9" fontId="24" fillId="0" borderId="0" applyFont="0" applyFill="0" applyBorder="0" applyAlignment="0" applyProtection="0"/>
    <xf numFmtId="43" fontId="0" fillId="0" borderId="0" applyFont="0" applyFill="0" applyBorder="0" applyAlignment="0" applyProtection="0"/>
    <xf numFmtId="9" fontId="80" fillId="0" borderId="0" applyFont="0" applyFill="0" applyBorder="0" applyAlignment="0" applyProtection="0"/>
    <xf numFmtId="44" fontId="0" fillId="0" borderId="0" applyFont="0" applyFill="0" applyBorder="0" applyAlignment="0" applyProtection="0"/>
    <xf numFmtId="0" fontId="24" fillId="0" borderId="0">
      <alignment/>
      <protection/>
    </xf>
    <xf numFmtId="9" fontId="8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80" fillId="0" borderId="0">
      <alignment/>
      <protection/>
    </xf>
    <xf numFmtId="43" fontId="24" fillId="0" borderId="0" applyFont="0" applyFill="0" applyBorder="0" applyAlignment="0" applyProtection="0"/>
    <xf numFmtId="43" fontId="48"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43" fontId="48" fillId="0" borderId="0" applyFont="0" applyFill="0" applyBorder="0" applyAlignment="0" applyProtection="0"/>
    <xf numFmtId="9" fontId="80" fillId="0" borderId="0" applyFont="0" applyFill="0" applyBorder="0" applyAlignment="0" applyProtection="0"/>
    <xf numFmtId="0" fontId="24" fillId="0" borderId="0">
      <alignment/>
      <protection/>
    </xf>
    <xf numFmtId="44" fontId="24" fillId="0" borderId="0" applyFont="0" applyFill="0" applyBorder="0" applyAlignment="0" applyProtection="0"/>
    <xf numFmtId="9" fontId="0" fillId="0" borderId="0" applyFont="0" applyFill="0" applyBorder="0" applyAlignment="0" applyProtection="0"/>
    <xf numFmtId="0" fontId="24" fillId="0" borderId="0">
      <alignment/>
      <protection/>
    </xf>
    <xf numFmtId="44" fontId="24" fillId="0" borderId="0" applyFont="0" applyFill="0" applyBorder="0" applyAlignment="0" applyProtection="0"/>
    <xf numFmtId="0" fontId="80" fillId="0" borderId="0">
      <alignment/>
      <protection/>
    </xf>
    <xf numFmtId="9" fontId="48" fillId="0" borderId="0" applyFont="0" applyFill="0" applyBorder="0" applyAlignment="0" applyProtection="0"/>
    <xf numFmtId="0" fontId="48" fillId="0" borderId="0">
      <alignment/>
      <protection/>
    </xf>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4" fontId="24" fillId="0" borderId="0" applyFont="0" applyFill="0" applyBorder="0" applyAlignment="0" applyProtection="0"/>
    <xf numFmtId="0" fontId="80" fillId="0" borderId="0">
      <alignment/>
      <protection/>
    </xf>
    <xf numFmtId="44" fontId="0" fillId="0" borderId="0" applyFont="0" applyFill="0" applyBorder="0" applyAlignment="0" applyProtection="0"/>
    <xf numFmtId="0" fontId="80" fillId="0" borderId="0">
      <alignment/>
      <protection/>
    </xf>
    <xf numFmtId="0" fontId="80" fillId="0" borderId="0">
      <alignment/>
      <protection/>
    </xf>
    <xf numFmtId="44" fontId="0" fillId="0" borderId="0" applyFont="0" applyFill="0" applyBorder="0" applyAlignment="0" applyProtection="0"/>
    <xf numFmtId="0" fontId="1" fillId="0" borderId="0">
      <alignment/>
      <protection/>
    </xf>
    <xf numFmtId="9" fontId="4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9" fontId="48" fillId="0" borderId="0" applyFont="0" applyFill="0" applyBorder="0" applyAlignment="0" applyProtection="0"/>
    <xf numFmtId="43" fontId="24" fillId="0" borderId="0" applyFont="0" applyFill="0" applyBorder="0" applyAlignment="0" applyProtection="0"/>
    <xf numFmtId="0" fontId="24" fillId="0" borderId="0">
      <alignment/>
      <protection/>
    </xf>
    <xf numFmtId="44" fontId="24" fillId="0" borderId="0" applyFont="0" applyFill="0" applyBorder="0" applyAlignment="0" applyProtection="0"/>
    <xf numFmtId="9" fontId="0" fillId="0" borderId="0" applyFont="0" applyFill="0" applyBorder="0" applyAlignment="0" applyProtection="0"/>
    <xf numFmtId="44" fontId="24" fillId="0" borderId="0" applyFont="0" applyFill="0" applyBorder="0" applyAlignment="0" applyProtection="0"/>
    <xf numFmtId="0" fontId="80" fillId="0" borderId="0">
      <alignment/>
      <protection/>
    </xf>
    <xf numFmtId="9" fontId="80" fillId="0" borderId="0" applyFont="0" applyFill="0" applyBorder="0" applyAlignment="0" applyProtection="0"/>
    <xf numFmtId="9" fontId="48" fillId="0" borderId="0" applyFont="0" applyFill="0" applyBorder="0" applyAlignment="0" applyProtection="0"/>
    <xf numFmtId="0" fontId="1" fillId="0" borderId="0">
      <alignment/>
      <protection/>
    </xf>
    <xf numFmtId="9" fontId="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0" fillId="0" borderId="0">
      <alignment/>
      <protection/>
    </xf>
    <xf numFmtId="44" fontId="0" fillId="0" borderId="0" applyFont="0" applyFill="0" applyBorder="0" applyAlignment="0" applyProtection="0"/>
    <xf numFmtId="9" fontId="24" fillId="0" borderId="0" applyFont="0" applyFill="0" applyBorder="0" applyAlignment="0" applyProtection="0"/>
    <xf numFmtId="0" fontId="80" fillId="0" borderId="0">
      <alignment/>
      <protection/>
    </xf>
    <xf numFmtId="43" fontId="48" fillId="0" borderId="0" applyFont="0" applyFill="0" applyBorder="0" applyAlignment="0" applyProtection="0"/>
    <xf numFmtId="43" fontId="0" fillId="0" borderId="0" applyFont="0" applyFill="0" applyBorder="0" applyAlignment="0" applyProtection="0"/>
    <xf numFmtId="9" fontId="48" fillId="0" borderId="0" applyFont="0" applyFill="0" applyBorder="0" applyAlignment="0" applyProtection="0"/>
    <xf numFmtId="43" fontId="24" fillId="0" borderId="0" applyFont="0" applyFill="0" applyBorder="0" applyAlignment="0" applyProtection="0"/>
    <xf numFmtId="0" fontId="24" fillId="0" borderId="0">
      <alignment/>
      <protection/>
    </xf>
    <xf numFmtId="44" fontId="24"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9" fontId="24" fillId="0" borderId="0" applyFont="0" applyFill="0" applyBorder="0" applyAlignment="0" applyProtection="0"/>
    <xf numFmtId="0" fontId="80" fillId="0" borderId="0">
      <alignment/>
      <protection/>
    </xf>
    <xf numFmtId="43" fontId="48" fillId="0" borderId="0" applyFont="0" applyFill="0" applyBorder="0" applyAlignment="0" applyProtection="0"/>
    <xf numFmtId="43" fontId="0" fillId="0" borderId="0" applyFont="0" applyFill="0" applyBorder="0" applyAlignment="0" applyProtection="0"/>
    <xf numFmtId="9" fontId="48" fillId="0" borderId="0" applyFont="0" applyFill="0" applyBorder="0" applyAlignment="0" applyProtection="0"/>
    <xf numFmtId="43" fontId="24" fillId="0" borderId="0" applyFont="0" applyFill="0" applyBorder="0" applyAlignment="0" applyProtection="0"/>
    <xf numFmtId="0" fontId="24" fillId="0" borderId="0">
      <alignment/>
      <protection/>
    </xf>
    <xf numFmtId="44" fontId="24"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9" fontId="24" fillId="0" borderId="0" applyFont="0" applyFill="0" applyBorder="0" applyAlignment="0" applyProtection="0"/>
    <xf numFmtId="9" fontId="48" fillId="0" borderId="0" applyFont="0" applyFill="0" applyBorder="0" applyAlignment="0" applyProtection="0"/>
    <xf numFmtId="43" fontId="24" fillId="0" borderId="0" applyFont="0" applyFill="0" applyBorder="0" applyAlignment="0" applyProtection="0"/>
    <xf numFmtId="0" fontId="24" fillId="0" borderId="0">
      <alignment/>
      <protection/>
    </xf>
    <xf numFmtId="0" fontId="24"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9" fontId="24"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9" fontId="48" fillId="0" borderId="0" applyFont="0" applyFill="0" applyBorder="0" applyAlignment="0" applyProtection="0"/>
    <xf numFmtId="43" fontId="24" fillId="0" borderId="0" applyFont="0" applyFill="0" applyBorder="0" applyAlignment="0" applyProtection="0"/>
    <xf numFmtId="0" fontId="24"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0" fontId="48" fillId="0" borderId="0">
      <alignment/>
      <protection/>
    </xf>
    <xf numFmtId="43" fontId="24" fillId="0" borderId="0" applyFont="0" applyFill="0" applyBorder="0" applyAlignment="0" applyProtection="0"/>
    <xf numFmtId="0" fontId="24" fillId="0" borderId="0">
      <alignment/>
      <protection/>
    </xf>
    <xf numFmtId="0" fontId="0" fillId="0" borderId="0">
      <alignment/>
      <protection/>
    </xf>
    <xf numFmtId="43" fontId="48" fillId="0" borderId="0" applyFont="0" applyFill="0" applyBorder="0" applyAlignment="0" applyProtection="0"/>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48" fillId="0" borderId="0" applyFont="0" applyFill="0" applyBorder="0" applyAlignment="0" applyProtection="0"/>
    <xf numFmtId="43" fontId="0" fillId="0" borderId="0" applyFont="0" applyFill="0" applyBorder="0" applyAlignment="0" applyProtection="0"/>
    <xf numFmtId="9" fontId="80" fillId="0" borderId="0" applyFont="0" applyFill="0" applyBorder="0" applyAlignment="0" applyProtection="0"/>
    <xf numFmtId="44" fontId="24" fillId="0" borderId="0" applyFont="0" applyFill="0" applyBorder="0" applyAlignment="0" applyProtection="0"/>
    <xf numFmtId="0" fontId="24" fillId="0" borderId="0">
      <alignment/>
      <protection/>
    </xf>
    <xf numFmtId="0" fontId="0" fillId="0" borderId="0">
      <alignment/>
      <protection/>
    </xf>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80" fillId="0" borderId="0">
      <alignment/>
      <protection/>
    </xf>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48"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48" fillId="0" borderId="0">
      <alignment/>
      <protection/>
    </xf>
    <xf numFmtId="43" fontId="48" fillId="0" borderId="0" applyFont="0" applyFill="0" applyBorder="0" applyAlignment="0" applyProtection="0"/>
    <xf numFmtId="0" fontId="48" fillId="0" borderId="0">
      <alignment/>
      <protection/>
    </xf>
    <xf numFmtId="9" fontId="48" fillId="0" borderId="0" applyFont="0" applyFill="0" applyBorder="0" applyAlignment="0" applyProtection="0"/>
    <xf numFmtId="43" fontId="48" fillId="0" borderId="0" applyFont="0" applyFill="0" applyBorder="0" applyAlignment="0" applyProtection="0"/>
    <xf numFmtId="9" fontId="0" fillId="0" borderId="0" applyFont="0" applyFill="0" applyBorder="0" applyAlignment="0" applyProtection="0"/>
    <xf numFmtId="0" fontId="80" fillId="0" borderId="0">
      <alignment/>
      <protection/>
    </xf>
    <xf numFmtId="9" fontId="8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4" fillId="0" borderId="0">
      <alignment/>
      <protection/>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48"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24" fillId="0" borderId="0">
      <alignment/>
      <protection/>
    </xf>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48" fillId="0" borderId="0">
      <alignment/>
      <protection/>
    </xf>
    <xf numFmtId="44" fontId="0" fillId="0" borderId="0" applyFont="0" applyFill="0" applyBorder="0" applyAlignment="0" applyProtection="0"/>
    <xf numFmtId="0" fontId="48" fillId="0" borderId="0">
      <alignment/>
      <protection/>
    </xf>
    <xf numFmtId="9" fontId="80" fillId="0" borderId="0" applyFont="0" applyFill="0" applyBorder="0" applyAlignment="0" applyProtection="0"/>
    <xf numFmtId="9" fontId="48" fillId="0" borderId="0" applyFont="0" applyFill="0" applyBorder="0" applyAlignment="0" applyProtection="0"/>
    <xf numFmtId="43" fontId="0" fillId="0" borderId="0" applyFont="0" applyFill="0" applyBorder="0" applyAlignment="0" applyProtection="0"/>
    <xf numFmtId="9" fontId="24" fillId="0" borderId="0" applyFont="0" applyFill="0" applyBorder="0" applyAlignment="0" applyProtection="0"/>
    <xf numFmtId="9" fontId="48" fillId="0" borderId="0" applyFont="0" applyFill="0" applyBorder="0" applyAlignment="0" applyProtection="0"/>
    <xf numFmtId="0" fontId="80" fillId="0" borderId="0">
      <alignment/>
      <protection/>
    </xf>
    <xf numFmtId="43" fontId="48" fillId="0" borderId="0" applyFont="0" applyFill="0" applyBorder="0" applyAlignment="0" applyProtection="0"/>
    <xf numFmtId="9" fontId="48" fillId="0" borderId="0" applyFont="0" applyFill="0" applyBorder="0" applyAlignment="0" applyProtection="0"/>
    <xf numFmtId="43" fontId="48"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0" fontId="0" fillId="0" borderId="0">
      <alignment/>
      <protection/>
    </xf>
    <xf numFmtId="44"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48" fillId="0" borderId="0">
      <alignment/>
      <protection/>
    </xf>
    <xf numFmtId="43" fontId="0"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3" fontId="48" fillId="0" borderId="0" applyFont="0" applyFill="0" applyBorder="0" applyAlignment="0" applyProtection="0"/>
    <xf numFmtId="0" fontId="24" fillId="0" borderId="0">
      <alignment/>
      <protection/>
    </xf>
    <xf numFmtId="0" fontId="1" fillId="20" borderId="0" applyNumberFormat="0" applyBorder="0" applyAlignment="0" applyProtection="0"/>
    <xf numFmtId="0" fontId="1" fillId="21" borderId="0" applyNumberFormat="0" applyBorder="0" applyAlignment="0" applyProtection="0"/>
    <xf numFmtId="9" fontId="80" fillId="0" borderId="0" applyFont="0" applyFill="0" applyBorder="0" applyAlignment="0" applyProtection="0"/>
    <xf numFmtId="44" fontId="24"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9" fontId="0" fillId="0" borderId="0" applyFont="0" applyFill="0" applyBorder="0" applyAlignment="0" applyProtection="0"/>
    <xf numFmtId="0" fontId="48" fillId="0" borderId="0">
      <alignment/>
      <protection/>
    </xf>
    <xf numFmtId="0" fontId="1" fillId="28" borderId="0" applyNumberFormat="0" applyBorder="0" applyAlignment="0" applyProtection="0"/>
    <xf numFmtId="0" fontId="1" fillId="29" borderId="0" applyNumberFormat="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24"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80" fillId="0" borderId="0">
      <alignment/>
      <protection/>
    </xf>
    <xf numFmtId="9" fontId="24"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44"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9" fontId="80" fillId="0" borderId="0" applyFont="0" applyFill="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9" fontId="48" fillId="0" borderId="0" applyFont="0" applyFill="0" applyBorder="0" applyAlignment="0" applyProtection="0"/>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48" fillId="0" borderId="0" applyFont="0" applyFill="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48" fillId="0" borderId="0" applyFont="0" applyFill="0" applyBorder="0" applyAlignment="0" applyProtection="0"/>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44"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9" fontId="0" fillId="0" borderId="0" applyFont="0" applyFill="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43"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3" fontId="48" fillId="0" borderId="0" applyFont="0" applyFill="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48" fillId="0" borderId="0">
      <alignment/>
      <protection/>
    </xf>
    <xf numFmtId="0" fontId="0" fillId="0" borderId="0">
      <alignment/>
      <protection/>
    </xf>
    <xf numFmtId="0" fontId="80" fillId="0" borderId="0">
      <alignment/>
      <protection/>
    </xf>
    <xf numFmtId="0" fontId="1" fillId="12" borderId="0" applyNumberFormat="0" applyBorder="0" applyAlignment="0" applyProtection="0"/>
    <xf numFmtId="0" fontId="1" fillId="13" borderId="0" applyNumberFormat="0" applyBorder="0" applyAlignment="0" applyProtection="0"/>
    <xf numFmtId="9" fontId="48"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9"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43"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48" fillId="0" borderId="0">
      <alignment/>
      <protection/>
    </xf>
    <xf numFmtId="0" fontId="24" fillId="0" borderId="0">
      <alignment/>
      <protection/>
    </xf>
    <xf numFmtId="0" fontId="1" fillId="28" borderId="0" applyNumberFormat="0" applyBorder="0" applyAlignment="0" applyProtection="0"/>
    <xf numFmtId="0" fontId="1" fillId="29" borderId="0" applyNumberFormat="0" applyBorder="0" applyAlignment="0" applyProtection="0"/>
    <xf numFmtId="0" fontId="48" fillId="0" borderId="0">
      <alignment/>
      <protection/>
    </xf>
    <xf numFmtId="44" fontId="2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80" fillId="0" borderId="0">
      <alignment/>
      <protection/>
    </xf>
    <xf numFmtId="0" fontId="1" fillId="12" borderId="0" applyNumberFormat="0" applyBorder="0" applyAlignment="0" applyProtection="0"/>
    <xf numFmtId="0" fontId="1" fillId="13" borderId="0" applyNumberFormat="0" applyBorder="0" applyAlignment="0" applyProtection="0"/>
    <xf numFmtId="43" fontId="48"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0" borderId="0">
      <alignment/>
      <protection/>
    </xf>
    <xf numFmtId="0" fontId="1" fillId="20" borderId="0" applyNumberFormat="0" applyBorder="0" applyAlignment="0" applyProtection="0"/>
    <xf numFmtId="0" fontId="1" fillId="21" borderId="0" applyNumberFormat="0" applyBorder="0" applyAlignment="0" applyProtection="0"/>
    <xf numFmtId="44" fontId="0" fillId="0" borderId="0" applyFont="0" applyFill="0" applyBorder="0" applyAlignment="0" applyProtection="0"/>
    <xf numFmtId="0" fontId="48" fillId="0" borderId="0">
      <alignment/>
      <protection/>
    </xf>
    <xf numFmtId="0" fontId="1" fillId="24" borderId="0" applyNumberFormat="0" applyBorder="0" applyAlignment="0" applyProtection="0"/>
    <xf numFmtId="0" fontId="1" fillId="25" borderId="0" applyNumberFormat="0" applyBorder="0" applyAlignment="0" applyProtection="0"/>
    <xf numFmtId="0" fontId="0" fillId="0" borderId="0">
      <alignment/>
      <protection/>
    </xf>
    <xf numFmtId="0" fontId="1" fillId="28" borderId="0" applyNumberFormat="0" applyBorder="0" applyAlignment="0" applyProtection="0"/>
    <xf numFmtId="0" fontId="1" fillId="29" borderId="0" applyNumberFormat="0" applyBorder="0" applyAlignment="0" applyProtection="0"/>
    <xf numFmtId="43" fontId="0" fillId="0" borderId="0" applyFont="0" applyFill="0" applyBorder="0" applyAlignment="0" applyProtection="0"/>
    <xf numFmtId="9" fontId="80"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0" borderId="0">
      <alignment/>
      <protection/>
    </xf>
    <xf numFmtId="0" fontId="1" fillId="16" borderId="0" applyNumberFormat="0" applyBorder="0" applyAlignment="0" applyProtection="0"/>
    <xf numFmtId="0" fontId="1" fillId="17" borderId="0" applyNumberFormat="0" applyBorder="0" applyAlignment="0" applyProtection="0"/>
    <xf numFmtId="0" fontId="0" fillId="0" borderId="0">
      <alignment/>
      <protection/>
    </xf>
    <xf numFmtId="9"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9" fontId="48" fillId="0" borderId="0" applyFont="0" applyFill="0" applyBorder="0" applyAlignment="0" applyProtection="0"/>
    <xf numFmtId="9" fontId="24"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24"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80" fillId="0" borderId="0">
      <alignment/>
      <protection/>
    </xf>
    <xf numFmtId="44" fontId="2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24"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48" fillId="0" borderId="0">
      <alignment/>
      <protection/>
    </xf>
    <xf numFmtId="44" fontId="24" fillId="0" borderId="0" applyFont="0" applyFill="0" applyBorder="0" applyAlignment="0" applyProtection="0"/>
    <xf numFmtId="0" fontId="48" fillId="0" borderId="0">
      <alignment/>
      <protection/>
    </xf>
    <xf numFmtId="43" fontId="48" fillId="0" borderId="0" applyFont="0" applyFill="0" applyBorder="0" applyAlignment="0" applyProtection="0"/>
    <xf numFmtId="9" fontId="48" fillId="0" borderId="0" applyFont="0" applyFill="0" applyBorder="0" applyAlignment="0" applyProtection="0"/>
    <xf numFmtId="43" fontId="48"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80" fillId="0" borderId="0">
      <alignment/>
      <protection/>
    </xf>
    <xf numFmtId="44" fontId="0"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48" fillId="0" borderId="0">
      <alignment/>
      <protection/>
    </xf>
    <xf numFmtId="43"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48" fillId="0" borderId="0" applyFont="0" applyFill="0" applyBorder="0" applyAlignment="0" applyProtection="0"/>
    <xf numFmtId="0" fontId="24" fillId="0" borderId="0">
      <alignment/>
      <protection/>
    </xf>
    <xf numFmtId="0" fontId="1" fillId="28" borderId="0" applyNumberFormat="0" applyBorder="0" applyAlignment="0" applyProtection="0"/>
    <xf numFmtId="0" fontId="1" fillId="29" borderId="0" applyNumberFormat="0" applyBorder="0" applyAlignment="0" applyProtection="0"/>
    <xf numFmtId="9" fontId="80" fillId="0" borderId="0" applyFont="0" applyFill="0" applyBorder="0" applyAlignment="0" applyProtection="0"/>
    <xf numFmtId="44" fontId="2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9" fontId="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44"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48" fillId="0" borderId="0">
      <alignment/>
      <protection/>
    </xf>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48" fillId="0" borderId="0" applyFont="0" applyFill="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44"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48" fillId="0" borderId="0" applyFont="0" applyFill="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44" fontId="2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43" fontId="24"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80" fillId="0" borderId="0">
      <alignment/>
      <protection/>
    </xf>
    <xf numFmtId="44" fontId="0"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0"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lignment/>
      <protection/>
    </xf>
    <xf numFmtId="0" fontId="1" fillId="32" borderId="0" applyNumberFormat="0" applyBorder="0" applyAlignment="0" applyProtection="0"/>
    <xf numFmtId="0" fontId="1" fillId="33" borderId="0" applyNumberFormat="0" applyBorder="0" applyAlignment="0" applyProtection="0"/>
    <xf numFmtId="9" fontId="80"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43" fontId="52" fillId="0" borderId="0" applyFont="0" applyFill="0" applyBorder="0" applyAlignment="0" applyProtection="0"/>
    <xf numFmtId="44" fontId="52"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85" fillId="0" borderId="0">
      <alignment/>
      <protection/>
    </xf>
    <xf numFmtId="44" fontId="0" fillId="0" borderId="0" applyFont="0" applyFill="0" applyBorder="0" applyAlignment="0" applyProtection="0"/>
    <xf numFmtId="0" fontId="1" fillId="2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0" fillId="0" borderId="0">
      <alignment readingOrder="1"/>
      <protection/>
    </xf>
    <xf numFmtId="43" fontId="0" fillId="0" borderId="0" applyFont="0" applyFill="0" applyBorder="0" applyAlignment="0" applyProtection="0"/>
    <xf numFmtId="43" fontId="0" fillId="0" borderId="0" applyFont="0" applyFill="0" applyBorder="0" applyAlignment="0" applyProtection="0"/>
    <xf numFmtId="3" fontId="80" fillId="0" borderId="0">
      <alignment/>
      <protection/>
    </xf>
    <xf numFmtId="3" fontId="8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0" fillId="0" borderId="0">
      <alignment/>
      <protection/>
    </xf>
    <xf numFmtId="3" fontId="80" fillId="0" borderId="0">
      <alignment/>
      <protection/>
    </xf>
    <xf numFmtId="0" fontId="88" fillId="0" borderId="4" applyNumberFormat="0" applyFill="0" applyAlignment="0" applyProtection="0"/>
    <xf numFmtId="3" fontId="80" fillId="0" borderId="0">
      <alignment/>
      <protection/>
    </xf>
    <xf numFmtId="3" fontId="80" fillId="0" borderId="0">
      <alignment/>
      <protection/>
    </xf>
    <xf numFmtId="3" fontId="80" fillId="0" borderId="0">
      <alignment/>
      <protection/>
    </xf>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42" fontId="80" fillId="0" borderId="0" applyFont="0" applyFill="0" applyBorder="0" applyAlignment="0" applyProtection="0"/>
    <xf numFmtId="0" fontId="89" fillId="0" borderId="0" applyBorder="0">
      <alignment horizontal="centerContinuous"/>
      <protection/>
    </xf>
    <xf numFmtId="0" fontId="90" fillId="0" borderId="0" applyBorder="0">
      <alignment horizontal="centerContinuous"/>
      <protection/>
    </xf>
    <xf numFmtId="0" fontId="91" fillId="38" borderId="0">
      <alignment horizontal="right"/>
      <protection/>
    </xf>
    <xf numFmtId="0" fontId="90" fillId="38" borderId="12">
      <alignment/>
      <protection/>
    </xf>
    <xf numFmtId="44" fontId="80" fillId="0" borderId="0" applyFont="0" applyFill="0" applyBorder="0" applyAlignment="0" applyProtection="0"/>
    <xf numFmtId="42" fontId="0" fillId="0" borderId="0" applyFont="0" applyFill="0" applyBorder="0" applyAlignment="0" applyProtection="0"/>
    <xf numFmtId="43" fontId="80" fillId="0" borderId="0" applyFont="0" applyFill="0" applyBorder="0" applyAlignment="0" applyProtection="0"/>
    <xf numFmtId="0" fontId="92" fillId="38" borderId="0">
      <alignment horizontal="left"/>
      <protection/>
    </xf>
    <xf numFmtId="0" fontId="93" fillId="38" borderId="0">
      <alignment horizontal="right"/>
      <protection/>
    </xf>
    <xf numFmtId="0" fontId="93" fillId="38" borderId="0">
      <alignment horizontal="center"/>
      <protection/>
    </xf>
    <xf numFmtId="0" fontId="93" fillId="38" borderId="0">
      <alignment horizontal="right"/>
      <protection/>
    </xf>
    <xf numFmtId="0" fontId="94" fillId="38" borderId="0">
      <alignment horizontal="left"/>
      <protection/>
    </xf>
    <xf numFmtId="41" fontId="5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2" fontId="55" fillId="0" borderId="0" applyFont="0" applyFill="0" applyBorder="0" applyAlignment="0" applyProtection="0"/>
    <xf numFmtId="9" fontId="80" fillId="0" borderId="0" applyFont="0" applyFill="0" applyBorder="0" applyAlignment="0" applyProtection="0"/>
    <xf numFmtId="0" fontId="1" fillId="17" borderId="0" applyNumberFormat="0" applyBorder="0" applyAlignment="0" applyProtection="0"/>
    <xf numFmtId="44" fontId="55" fillId="0" borderId="0" applyFont="0" applyFill="0" applyBorder="0" applyAlignment="0" applyProtection="0"/>
    <xf numFmtId="44" fontId="1" fillId="0" borderId="0" applyFont="0" applyFill="0" applyBorder="0" applyAlignment="0" applyProtection="0"/>
    <xf numFmtId="0" fontId="95" fillId="0" borderId="0" applyNumberFormat="0" applyFill="0" applyBorder="0">
      <alignment/>
      <protection locked="0"/>
    </xf>
    <xf numFmtId="0" fontId="95" fillId="0" borderId="0" applyNumberFormat="0" applyFill="0" applyBorder="0">
      <alignment/>
      <protection locked="0"/>
    </xf>
    <xf numFmtId="0" fontId="95" fillId="0" borderId="0" applyNumberFormat="0" applyFill="0" applyBorder="0">
      <alignment/>
      <protection locked="0"/>
    </xf>
    <xf numFmtId="0" fontId="92" fillId="38" borderId="0">
      <alignment horizontal="left"/>
      <protection/>
    </xf>
    <xf numFmtId="0" fontId="92" fillId="38"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96" fillId="38" borderId="0">
      <alignment horizontal="righ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0" fontId="92" fillId="38" borderId="0">
      <alignment horizontal="center"/>
      <protection/>
    </xf>
    <xf numFmtId="49" fontId="97" fillId="38" borderId="0">
      <alignment horizontal="center"/>
      <protection/>
    </xf>
    <xf numFmtId="0" fontId="93" fillId="38" borderId="0">
      <alignment horizontal="center"/>
      <protection/>
    </xf>
    <xf numFmtId="0" fontId="93" fillId="38" borderId="0">
      <alignment horizontal="centerContinuous"/>
      <protection/>
    </xf>
    <xf numFmtId="0" fontId="98" fillId="38" borderId="0">
      <alignment horizontal="left"/>
      <protection/>
    </xf>
    <xf numFmtId="49" fontId="98" fillId="38" borderId="0">
      <alignment horizontal="center"/>
      <protection/>
    </xf>
    <xf numFmtId="0" fontId="92" fillId="38" borderId="0">
      <alignment horizontal="left"/>
      <protection/>
    </xf>
    <xf numFmtId="49" fontId="98" fillId="38" borderId="0">
      <alignment horizontal="left"/>
      <protection/>
    </xf>
    <xf numFmtId="0" fontId="92" fillId="38" borderId="0">
      <alignment horizontal="centerContinuous"/>
      <protection/>
    </xf>
    <xf numFmtId="0" fontId="92" fillId="38" borderId="0">
      <alignment horizontal="right"/>
      <protection/>
    </xf>
    <xf numFmtId="49" fontId="92" fillId="38" borderId="0">
      <alignment horizontal="left"/>
      <protection/>
    </xf>
    <xf numFmtId="0" fontId="93" fillId="38" borderId="0">
      <alignment horizontal="right"/>
      <protection/>
    </xf>
    <xf numFmtId="0" fontId="98" fillId="39" borderId="0">
      <alignment horizontal="center"/>
      <protection/>
    </xf>
    <xf numFmtId="0" fontId="99" fillId="39" borderId="0">
      <alignment horizontal="center"/>
      <protection/>
    </xf>
    <xf numFmtId="0" fontId="100" fillId="38" borderId="0">
      <alignment horizontal="center"/>
      <protection/>
    </xf>
    <xf numFmtId="0" fontId="0"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63" fillId="0" borderId="4" applyNumberFormat="0" applyFill="0" applyAlignment="0" applyProtection="0"/>
    <xf numFmtId="43" fontId="1" fillId="0" borderId="0" applyFont="0" applyFill="0" applyBorder="0" applyAlignment="0" applyProtection="0"/>
    <xf numFmtId="197" fontId="24" fillId="40" borderId="0" applyFont="0" applyFill="0" applyBorder="0" applyAlignment="0" applyProtection="0"/>
    <xf numFmtId="0" fontId="1" fillId="0" borderId="0">
      <alignment/>
      <protection/>
    </xf>
    <xf numFmtId="0" fontId="80" fillId="0" borderId="0">
      <alignment/>
      <protection/>
    </xf>
    <xf numFmtId="0" fontId="88" fillId="0" borderId="4" applyNumberFormat="0" applyFill="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42" fontId="80"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55" fillId="0" borderId="0">
      <alignment/>
      <protection/>
    </xf>
    <xf numFmtId="43" fontId="55" fillId="0" borderId="0" applyFont="0" applyFill="0" applyBorder="0" applyAlignment="0" applyProtection="0"/>
    <xf numFmtId="41" fontId="55"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9" fontId="55" fillId="0" borderId="0" applyFont="0" applyFill="0" applyBorder="0" applyAlignment="0" applyProtection="0"/>
    <xf numFmtId="0" fontId="1" fillId="0" borderId="0">
      <alignment/>
      <protection/>
    </xf>
    <xf numFmtId="0" fontId="41" fillId="0" borderId="0">
      <alignment vertical="top"/>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53"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53"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3"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3"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53"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53"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3"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50" borderId="0" applyNumberFormat="0" applyBorder="0" applyAlignment="0" applyProtection="0"/>
    <xf numFmtId="0" fontId="101" fillId="50"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101" fillId="47"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48" borderId="0" applyNumberFormat="0" applyBorder="0" applyAlignment="0" applyProtection="0"/>
    <xf numFmtId="0" fontId="101" fillId="48"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101"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101" fillId="52"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53" borderId="0" applyNumberFormat="0" applyBorder="0" applyAlignment="0" applyProtection="0"/>
    <xf numFmtId="0" fontId="101" fillId="53"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54" borderId="0" applyNumberFormat="0" applyBorder="0" applyAlignment="0" applyProtection="0"/>
    <xf numFmtId="0" fontId="101" fillId="54"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5" borderId="0" applyNumberFormat="0" applyBorder="0" applyAlignment="0" applyProtection="0"/>
    <xf numFmtId="0" fontId="101" fillId="55"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4" borderId="0" applyNumberFormat="0" applyBorder="0" applyAlignment="0" applyProtection="0"/>
    <xf numFmtId="0" fontId="101" fillId="4"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1" borderId="0" applyNumberFormat="0" applyBorder="0" applyAlignment="0" applyProtection="0"/>
    <xf numFmtId="0" fontId="101" fillId="51"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101" fillId="52"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101" fillId="56" borderId="0" applyNumberFormat="0" applyBorder="0" applyAlignment="0" applyProtection="0"/>
    <xf numFmtId="0" fontId="102" fillId="55"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03" fillId="6" borderId="0" applyNumberFormat="0" applyBorder="0" applyAlignment="0" applyProtection="0"/>
    <xf numFmtId="0" fontId="104" fillId="42" borderId="0" applyNumberFormat="0" applyBorder="0" applyAlignment="0" applyProtection="0"/>
    <xf numFmtId="0" fontId="24" fillId="0" borderId="0" applyFill="0" applyBorder="0" applyAlignment="0" applyProtection="0"/>
    <xf numFmtId="0" fontId="69" fillId="9" borderId="5" applyNumberFormat="0" applyAlignment="0" applyProtection="0"/>
    <xf numFmtId="0" fontId="69" fillId="9" borderId="5" applyNumberFormat="0" applyAlignment="0" applyProtection="0"/>
    <xf numFmtId="0" fontId="69" fillId="9" borderId="5" applyNumberFormat="0" applyAlignment="0" applyProtection="0"/>
    <xf numFmtId="0" fontId="69" fillId="58" borderId="5" applyNumberFormat="0" applyAlignment="0" applyProtection="0"/>
    <xf numFmtId="0" fontId="105" fillId="58" borderId="13" applyNumberFormat="0" applyAlignment="0" applyProtection="0"/>
    <xf numFmtId="0" fontId="106" fillId="0" borderId="0" applyFill="0" applyBorder="0" applyProtection="0">
      <alignment horizontal="center" vertical="center"/>
    </xf>
    <xf numFmtId="0" fontId="28" fillId="0" borderId="0" applyFill="0" applyBorder="0">
      <alignment horizontal="center"/>
      <protection locked="0"/>
    </xf>
    <xf numFmtId="0" fontId="106" fillId="0" borderId="0" applyFill="0" applyBorder="0" applyProtection="0">
      <alignment horizontal="center" vertical="center"/>
    </xf>
    <xf numFmtId="0" fontId="71" fillId="10" borderId="8" applyNumberFormat="0" applyAlignment="0" applyProtection="0"/>
    <xf numFmtId="0" fontId="71" fillId="10" borderId="8" applyNumberFormat="0" applyAlignment="0" applyProtection="0"/>
    <xf numFmtId="0" fontId="71" fillId="10" borderId="8" applyNumberFormat="0" applyAlignment="0" applyProtection="0"/>
    <xf numFmtId="0" fontId="107" fillId="59" borderId="14" applyNumberFormat="0" applyAlignment="0" applyProtection="0"/>
    <xf numFmtId="0" fontId="108" fillId="0" borderId="1">
      <alignment horizontal="center"/>
      <protection/>
    </xf>
    <xf numFmtId="201" fontId="109" fillId="0" borderId="0" applyFont="0" applyFill="0" applyBorder="0" applyProtection="0">
      <alignment/>
    </xf>
    <xf numFmtId="202" fontId="110" fillId="0" borderId="0" applyFont="0" applyFill="0" applyBorder="0" applyAlignment="0" applyProtection="0"/>
    <xf numFmtId="203" fontId="111" fillId="0" borderId="0" applyFont="0" applyFill="0" applyBorder="0" applyAlignment="0" applyProtection="0"/>
    <xf numFmtId="204" fontId="1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43" fontId="112" fillId="0" borderId="0" applyFont="0" applyFill="0" applyBorder="0" applyAlignment="0" applyProtection="0"/>
    <xf numFmtId="43" fontId="0" fillId="0" borderId="0" applyFont="0" applyFill="0" applyBorder="0" applyAlignment="0" applyProtection="0"/>
    <xf numFmtId="43" fontId="11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5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0" fillId="0" borderId="0" applyFont="0" applyFill="0" applyBorder="0" applyAlignment="0" applyProtection="0"/>
    <xf numFmtId="43" fontId="41" fillId="0" borderId="0" applyFont="0" applyFill="0" applyBorder="0" applyProtection="0">
      <alignment/>
    </xf>
    <xf numFmtId="43" fontId="41" fillId="0" borderId="0" applyFont="0" applyFill="0" applyBorder="0" applyProtection="0">
      <alignment/>
    </xf>
    <xf numFmtId="43" fontId="41"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3"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5" fontId="11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05" fontId="114"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5" fontId="1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10" fillId="0" borderId="0">
      <alignment/>
      <protection locked="0"/>
    </xf>
    <xf numFmtId="0" fontId="115" fillId="0" borderId="0" applyFill="0" applyBorder="0" applyAlignment="0" applyProtection="0"/>
    <xf numFmtId="0" fontId="82" fillId="0" borderId="0" applyFill="0" applyBorder="0" applyAlignment="0">
      <protection locked="0"/>
    </xf>
    <xf numFmtId="0" fontId="115" fillId="0" borderId="0" applyFill="0" applyBorder="0" applyAlignment="0" applyProtection="0"/>
    <xf numFmtId="207" fontId="111" fillId="0" borderId="0" applyFont="0" applyFill="0" applyBorder="0" applyAlignment="0" applyProtection="0"/>
    <xf numFmtId="208" fontId="111" fillId="0" borderId="0" applyFont="0" applyFill="0" applyBorder="0" applyAlignment="0" applyProtection="0"/>
    <xf numFmtId="209" fontId="1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112"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10" fontId="110" fillId="0" borderId="0">
      <alignment/>
      <protection locked="0"/>
    </xf>
    <xf numFmtId="199" fontId="116" fillId="0" borderId="0" applyFont="0" applyFill="0" applyBorder="0" applyAlignment="0" applyProtection="0"/>
    <xf numFmtId="0" fontId="11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18" fillId="0" borderId="0" applyNumberFormat="0" applyFill="0" applyBorder="0" applyAlignment="0" applyProtection="0"/>
    <xf numFmtId="211" fontId="119" fillId="0" borderId="0">
      <alignment/>
      <protection/>
    </xf>
    <xf numFmtId="212" fontId="119" fillId="0" borderId="0">
      <alignment/>
      <protection/>
    </xf>
    <xf numFmtId="164" fontId="119" fillId="0" borderId="0">
      <alignment/>
      <protection/>
    </xf>
    <xf numFmtId="212" fontId="119" fillId="0" borderId="0">
      <alignment/>
      <protection/>
    </xf>
    <xf numFmtId="213" fontId="119" fillId="0" borderId="0">
      <alignment/>
      <protection/>
    </xf>
    <xf numFmtId="213" fontId="119" fillId="0" borderId="0">
      <alignment/>
      <protection/>
    </xf>
    <xf numFmtId="211" fontId="119" fillId="0" borderId="0">
      <alignment/>
      <protection/>
    </xf>
    <xf numFmtId="214" fontId="119" fillId="0" borderId="0">
      <alignment/>
      <protection/>
    </xf>
    <xf numFmtId="215" fontId="119" fillId="0" borderId="0">
      <alignment/>
      <protection/>
    </xf>
    <xf numFmtId="216" fontId="119" fillId="0" borderId="0">
      <alignment/>
      <protection/>
    </xf>
    <xf numFmtId="217" fontId="119" fillId="0" borderId="0">
      <alignment/>
      <protection/>
    </xf>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20" fillId="40" borderId="0" applyNumberFormat="0" applyBorder="0" applyAlignment="0" applyProtection="0"/>
    <xf numFmtId="0" fontId="61" fillId="0" borderId="2" applyNumberFormat="0" applyFill="0" applyAlignment="0" applyProtection="0"/>
    <xf numFmtId="0" fontId="61" fillId="0" borderId="2" applyNumberFormat="0" applyFill="0" applyAlignment="0" applyProtection="0"/>
    <xf numFmtId="0" fontId="61" fillId="0" borderId="2" applyNumberFormat="0" applyFill="0" applyAlignment="0" applyProtection="0"/>
    <xf numFmtId="0" fontId="121" fillId="0" borderId="15" applyNumberFormat="0" applyFill="0" applyAlignment="0" applyProtection="0"/>
    <xf numFmtId="0" fontId="122" fillId="0" borderId="15"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123" fillId="0" borderId="3" applyNumberFormat="0" applyFill="0" applyAlignment="0" applyProtection="0"/>
    <xf numFmtId="0" fontId="124" fillId="0" borderId="16"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125" fillId="0" borderId="17" applyNumberFormat="0" applyFill="0" applyAlignment="0" applyProtection="0"/>
    <xf numFmtId="0" fontId="126" fillId="0" borderId="1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5" fillId="0" borderId="0" applyFill="0" applyAlignment="0" applyProtection="0"/>
    <xf numFmtId="0" fontId="28" fillId="0" borderId="0" applyFill="0" applyAlignment="0">
      <protection locked="0"/>
    </xf>
    <xf numFmtId="0" fontId="15" fillId="0" borderId="0" applyFill="0" applyAlignment="0" applyProtection="0"/>
    <xf numFmtId="0" fontId="15" fillId="0" borderId="18" applyFill="0" applyAlignment="0" applyProtection="0"/>
    <xf numFmtId="0" fontId="28" fillId="0" borderId="18" applyFill="0" applyAlignment="0">
      <protection locked="0"/>
    </xf>
    <xf numFmtId="0" fontId="15" fillId="0" borderId="18" applyFill="0" applyAlignment="0" applyProtection="0"/>
    <xf numFmtId="0" fontId="28" fillId="0" borderId="0" applyFill="0" applyAlignment="0" applyProtection="0"/>
    <xf numFmtId="0" fontId="127" fillId="38" borderId="0" applyNumberFormat="0" applyBorder="0" applyAlignment="0" applyProtection="0"/>
    <xf numFmtId="0" fontId="67" fillId="8" borderId="5" applyNumberFormat="0" applyAlignment="0" applyProtection="0"/>
    <xf numFmtId="0" fontId="67" fillId="8" borderId="5" applyNumberFormat="0" applyAlignment="0" applyProtection="0"/>
    <xf numFmtId="0" fontId="67" fillId="8" borderId="5" applyNumberFormat="0" applyAlignment="0" applyProtection="0"/>
    <xf numFmtId="0" fontId="128" fillId="45" borderId="13" applyNumberFormat="0" applyAlignment="0" applyProtection="0"/>
    <xf numFmtId="0" fontId="31" fillId="3" borderId="0" applyNumberFormat="0" applyBorder="0" applyAlignment="0" applyProtection="0"/>
    <xf numFmtId="0" fontId="31" fillId="3" borderId="0" applyNumberFormat="0" applyBorder="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29" fillId="0" borderId="19" applyNumberFormat="0" applyFill="0" applyAlignment="0" applyProtection="0"/>
    <xf numFmtId="0" fontId="66" fillId="7"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0" fontId="130" fillId="3" borderId="0" applyNumberFormat="0" applyBorder="0" applyAlignment="0" applyProtection="0"/>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1" fillId="0" borderId="0">
      <alignment/>
      <protection/>
    </xf>
    <xf numFmtId="0" fontId="1"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1" fillId="0" borderId="0">
      <alignment/>
      <protection/>
    </xf>
    <xf numFmtId="198" fontId="80" fillId="0" borderId="0">
      <alignment/>
      <protection/>
    </xf>
    <xf numFmtId="198" fontId="80" fillId="0" borderId="0">
      <alignment/>
      <protection/>
    </xf>
    <xf numFmtId="198" fontId="80" fillId="0" borderId="0">
      <alignment/>
      <protection/>
    </xf>
    <xf numFmtId="198" fontId="8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200" fontId="0" fillId="0" borderId="0">
      <alignment/>
      <protection/>
    </xf>
    <xf numFmtId="0" fontId="84" fillId="0" borderId="0">
      <alignment/>
      <protection/>
    </xf>
    <xf numFmtId="0" fontId="1"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0" fillId="0" borderId="0">
      <alignment/>
      <protection/>
    </xf>
    <xf numFmtId="0" fontId="1" fillId="0" borderId="0">
      <alignment/>
      <protection/>
    </xf>
    <xf numFmtId="0" fontId="1" fillId="0" borderId="0">
      <alignment/>
      <protection/>
    </xf>
    <xf numFmtId="20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1" fillId="0" borderId="0">
      <alignment/>
      <protection/>
    </xf>
    <xf numFmtId="0" fontId="0" fillId="0" borderId="0">
      <alignment/>
      <protection/>
    </xf>
    <xf numFmtId="0" fontId="41" fillId="0" borderId="0">
      <alignment vertical="top"/>
      <protection/>
    </xf>
    <xf numFmtId="0" fontId="0" fillId="0" borderId="0">
      <alignment/>
      <protection/>
    </xf>
    <xf numFmtId="0" fontId="0" fillId="0" borderId="0">
      <alignment/>
      <protection/>
    </xf>
    <xf numFmtId="200" fontId="0" fillId="0" borderId="0">
      <alignment/>
      <protection/>
    </xf>
    <xf numFmtId="0" fontId="1" fillId="0" borderId="0">
      <alignment/>
      <protection/>
    </xf>
    <xf numFmtId="0" fontId="1" fillId="0" borderId="0">
      <alignment/>
      <protection/>
    </xf>
    <xf numFmtId="0" fontId="1" fillId="0" borderId="0">
      <alignment/>
      <protection/>
    </xf>
    <xf numFmtId="20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vertical="top"/>
      <protection/>
    </xf>
    <xf numFmtId="0" fontId="41" fillId="0" borderId="0">
      <alignment vertical="top"/>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41" fillId="0" borderId="0">
      <alignment vertical="top"/>
      <protection/>
    </xf>
    <xf numFmtId="0" fontId="41" fillId="0" borderId="0">
      <alignment vertical="top"/>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9" fillId="0" borderId="0">
      <alignment/>
      <protection/>
    </xf>
    <xf numFmtId="198" fontId="80" fillId="0" borderId="0">
      <alignment/>
      <protection/>
    </xf>
    <xf numFmtId="198" fontId="80" fillId="0" borderId="0">
      <alignment/>
      <protection/>
    </xf>
    <xf numFmtId="198" fontId="80" fillId="0" borderId="0">
      <alignment/>
      <protection/>
    </xf>
    <xf numFmtId="198"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98" fontId="0" fillId="0" borderId="0">
      <alignment/>
      <protection/>
    </xf>
    <xf numFmtId="0" fontId="41" fillId="0" borderId="0">
      <alignment vertical="top"/>
      <protection/>
    </xf>
    <xf numFmtId="0" fontId="41" fillId="0" borderId="0">
      <alignment vertical="top"/>
      <protection/>
    </xf>
    <xf numFmtId="0" fontId="80" fillId="0" borderId="0">
      <alignment/>
      <protection/>
    </xf>
    <xf numFmtId="0" fontId="1" fillId="0" borderId="0">
      <alignment/>
      <protection/>
    </xf>
    <xf numFmtId="0" fontId="80" fillId="0" borderId="0">
      <alignment/>
      <protection/>
    </xf>
    <xf numFmtId="0" fontId="80" fillId="0" borderId="0">
      <alignment/>
      <protection/>
    </xf>
    <xf numFmtId="0" fontId="80" fillId="0" borderId="0">
      <alignment/>
      <protection/>
    </xf>
    <xf numFmtId="200" fontId="80" fillId="0" borderId="0">
      <alignment/>
      <protection/>
    </xf>
    <xf numFmtId="200" fontId="80" fillId="0" borderId="0">
      <alignment/>
      <protection/>
    </xf>
    <xf numFmtId="0" fontId="41" fillId="0" borderId="0">
      <alignment vertical="top"/>
      <protection/>
    </xf>
    <xf numFmtId="200" fontId="80" fillId="0" borderId="0">
      <alignment/>
      <protection/>
    </xf>
    <xf numFmtId="200" fontId="80" fillId="0" borderId="0">
      <alignment/>
      <protection/>
    </xf>
    <xf numFmtId="0" fontId="0" fillId="0" borderId="0">
      <alignment/>
      <protection/>
    </xf>
    <xf numFmtId="0" fontId="1" fillId="0" borderId="0">
      <alignment/>
      <protection/>
    </xf>
    <xf numFmtId="0" fontId="80" fillId="0" borderId="0">
      <alignment/>
      <protection/>
    </xf>
    <xf numFmtId="0" fontId="41"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200" fontId="1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200" fontId="80" fillId="0" borderId="0">
      <alignment/>
      <protection/>
    </xf>
    <xf numFmtId="200" fontId="80" fillId="0" borderId="0">
      <alignment/>
      <protection/>
    </xf>
    <xf numFmtId="200" fontId="80" fillId="0" borderId="0">
      <alignment/>
      <protection/>
    </xf>
    <xf numFmtId="20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53" fillId="37" borderId="11" applyNumberFormat="0" applyFont="0" applyAlignment="0" applyProtection="0"/>
    <xf numFmtId="0" fontId="0" fillId="60" borderId="20" applyNumberFormat="0" applyFont="0" applyAlignment="0" applyProtection="0"/>
    <xf numFmtId="0" fontId="1" fillId="37" borderId="11" applyNumberFormat="0" applyFont="0" applyAlignment="0" applyProtection="0"/>
    <xf numFmtId="0" fontId="68" fillId="9" borderId="6" applyNumberFormat="0" applyAlignment="0" applyProtection="0"/>
    <xf numFmtId="0" fontId="68" fillId="9" borderId="6" applyNumberFormat="0" applyAlignment="0" applyProtection="0"/>
    <xf numFmtId="0" fontId="68" fillId="9" borderId="6" applyNumberFormat="0" applyAlignment="0" applyProtection="0"/>
    <xf numFmtId="0" fontId="68" fillId="58" borderId="6" applyNumberFormat="0" applyAlignment="0" applyProtection="0"/>
    <xf numFmtId="0" fontId="132" fillId="58" borderId="21" applyNumberFormat="0" applyAlignment="0" applyProtection="0"/>
    <xf numFmtId="0" fontId="0" fillId="40" borderId="0" applyNumberFormat="0" applyBorder="0" applyAlignment="0" applyProtection="0"/>
    <xf numFmtId="0" fontId="0" fillId="40" borderId="0" applyNumberFormat="0" applyBorder="0" applyAlignment="0" applyProtection="0"/>
    <xf numFmtId="218" fontId="111" fillId="0" borderId="0" applyFont="0" applyFill="0" applyBorder="0" applyAlignment="0" applyProtection="0"/>
    <xf numFmtId="219" fontId="110" fillId="0" borderId="0" applyFont="0" applyFill="0" applyBorder="0" applyAlignment="0" applyProtection="0"/>
    <xf numFmtId="220" fontId="111" fillId="0" borderId="0" applyFont="0" applyFill="0" applyBorder="0" applyAlignment="0" applyProtection="0"/>
    <xf numFmtId="221" fontId="110" fillId="0" borderId="0" applyFont="0" applyFill="0" applyBorder="0" applyAlignment="0" applyProtection="0"/>
    <xf numFmtId="222" fontId="111" fillId="0" borderId="0" applyFont="0" applyFill="0" applyBorder="0" applyAlignment="0" applyProtection="0"/>
    <xf numFmtId="223" fontId="110" fillId="0" borderId="0" applyFont="0" applyFill="0" applyBorder="0" applyAlignment="0" applyProtection="0"/>
    <xf numFmtId="224" fontId="111" fillId="0" borderId="0" applyFont="0" applyFill="0" applyBorder="0" applyAlignment="0" applyProtection="0"/>
    <xf numFmtId="225" fontId="110" fillId="0" borderId="0" applyFont="0" applyFill="0" applyBorder="0" applyAlignment="0" applyProtection="0"/>
    <xf numFmtId="226" fontId="110" fillId="0" borderId="0" applyFont="0" applyFill="0" applyBorder="0" applyAlignment="0" applyProtection="0"/>
    <xf numFmtId="227" fontId="1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4" fillId="0" borderId="0" applyFont="0" applyFill="0" applyBorder="0" applyAlignment="0" applyProtection="0"/>
    <xf numFmtId="9" fontId="41" fillId="0" borderId="0" applyFont="0" applyFill="0" applyBorder="0" applyAlignment="0" applyProtection="0"/>
    <xf numFmtId="9" fontId="84" fillId="0" borderId="0" applyFont="0" applyFill="0" applyBorder="0" applyAlignment="0" applyProtection="0"/>
    <xf numFmtId="9" fontId="4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11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2" fillId="55" borderId="0" applyNumberFormat="0" applyBorder="0" applyAlignment="0" applyProtection="0"/>
    <xf numFmtId="0" fontId="133" fillId="0" borderId="0">
      <alignment horizontal="right"/>
      <protection/>
    </xf>
    <xf numFmtId="0" fontId="134" fillId="0" borderId="0">
      <alignment horizontal="right"/>
      <protection/>
    </xf>
    <xf numFmtId="0" fontId="119" fillId="0" borderId="0">
      <alignment/>
      <protection/>
    </xf>
    <xf numFmtId="0" fontId="135" fillId="0" borderId="0" applyNumberFormat="0" applyBorder="0" applyAlignment="0">
      <protection/>
    </xf>
    <xf numFmtId="0" fontId="135" fillId="0" borderId="0" applyNumberFormat="0" applyBorder="0" applyAlignment="0">
      <protection/>
    </xf>
    <xf numFmtId="0" fontId="41" fillId="0" borderId="0" applyNumberFormat="0" applyBorder="0" applyAlignment="0">
      <protection/>
    </xf>
    <xf numFmtId="0" fontId="41" fillId="0" borderId="0" applyNumberFormat="0" applyBorder="0" applyAlignment="0">
      <protection/>
    </xf>
    <xf numFmtId="0" fontId="119" fillId="0" borderId="0">
      <alignment/>
      <protection/>
    </xf>
    <xf numFmtId="0" fontId="41" fillId="0" borderId="0" applyNumberFormat="0" applyBorder="0" applyAlignment="0">
      <protection/>
    </xf>
    <xf numFmtId="0" fontId="136" fillId="0" borderId="0">
      <alignment/>
      <protection/>
    </xf>
    <xf numFmtId="0" fontId="137" fillId="0" borderId="0" applyNumberFormat="0" applyBorder="0" applyAlignment="0">
      <protection/>
    </xf>
    <xf numFmtId="0" fontId="137" fillId="0" borderId="0" applyNumberFormat="0" applyBorder="0" applyAlignment="0">
      <protection/>
    </xf>
    <xf numFmtId="0" fontId="136" fillId="0" borderId="0">
      <alignment/>
      <protection/>
    </xf>
    <xf numFmtId="0" fontId="138" fillId="0" borderId="0">
      <alignment/>
      <protection/>
    </xf>
    <xf numFmtId="200" fontId="139" fillId="0" borderId="0">
      <alignment/>
      <protection/>
    </xf>
    <xf numFmtId="0" fontId="140" fillId="0" borderId="0">
      <alignment/>
      <protection/>
    </xf>
    <xf numFmtId="0" fontId="141" fillId="0" borderId="0" applyNumberFormat="0" applyBorder="0" applyAlignment="0">
      <protection/>
    </xf>
    <xf numFmtId="0" fontId="141" fillId="0" borderId="0" applyNumberFormat="0" applyBorder="0" applyAlignment="0">
      <protection/>
    </xf>
    <xf numFmtId="0" fontId="140" fillId="0" borderId="0">
      <alignment/>
      <protection/>
    </xf>
    <xf numFmtId="0" fontId="142" fillId="0" borderId="0" applyNumberFormat="0" applyBorder="0" applyAlignment="0">
      <protection/>
    </xf>
    <xf numFmtId="0" fontId="143" fillId="0" borderId="0">
      <alignment/>
      <protection/>
    </xf>
    <xf numFmtId="200" fontId="144" fillId="0" borderId="0">
      <alignment/>
      <protection/>
    </xf>
    <xf numFmtId="0" fontId="145" fillId="0" borderId="0">
      <alignment/>
      <protection/>
    </xf>
    <xf numFmtId="0" fontId="141" fillId="61" borderId="0" applyNumberFormat="0" applyBorder="0" applyAlignment="0">
      <protection/>
    </xf>
    <xf numFmtId="0" fontId="146" fillId="0" borderId="0">
      <alignment/>
      <protection/>
    </xf>
    <xf numFmtId="0" fontId="147" fillId="0" borderId="0">
      <alignment/>
      <protection/>
    </xf>
    <xf numFmtId="0" fontId="148" fillId="0" borderId="0">
      <alignment/>
      <protection/>
    </xf>
    <xf numFmtId="0" fontId="147" fillId="62" borderId="0">
      <alignment/>
      <protection/>
    </xf>
    <xf numFmtId="0" fontId="60" fillId="0" borderId="0" applyNumberFormat="0" applyFill="0" applyBorder="0" applyAlignment="0" applyProtection="0"/>
    <xf numFmtId="0" fontId="149" fillId="58" borderId="22" applyNumberFormat="0">
      <alignment horizontal="left"/>
      <protection/>
    </xf>
    <xf numFmtId="0" fontId="60" fillId="0" borderId="0" applyNumberFormat="0" applyFill="0" applyBorder="0" applyAlignment="0" applyProtection="0"/>
    <xf numFmtId="0" fontId="6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49" fillId="58" borderId="23">
      <alignment horizontal="left"/>
      <protection/>
    </xf>
    <xf numFmtId="0" fontId="74" fillId="0" borderId="9" applyNumberFormat="0" applyFill="0" applyAlignment="0" applyProtection="0"/>
    <xf numFmtId="0" fontId="74" fillId="0" borderId="9" applyNumberFormat="0" applyFill="0" applyAlignment="0" applyProtection="0"/>
    <xf numFmtId="0" fontId="74" fillId="0" borderId="9" applyNumberFormat="0" applyFill="0" applyAlignment="0" applyProtection="0"/>
    <xf numFmtId="0" fontId="74" fillId="0" borderId="24" applyNumberFormat="0" applyFill="0" applyAlignment="0" applyProtection="0"/>
    <xf numFmtId="0" fontId="152" fillId="0" borderId="24"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53" fillId="0" borderId="0" applyNumberFormat="0" applyFill="0" applyBorder="0" applyAlignment="0" applyProtection="0"/>
    <xf numFmtId="0" fontId="15" fillId="49" borderId="0" applyNumberFormat="0" applyBorder="0" applyAlignment="0" applyProtection="0"/>
    <xf numFmtId="228" fontId="110" fillId="0" borderId="0" applyFont="0" applyFill="0" applyBorder="0" applyAlignment="0" applyProtection="0"/>
    <xf numFmtId="229" fontId="110" fillId="0" borderId="0" applyFont="0" applyFill="0" applyBorder="0" applyAlignment="0" applyProtection="0"/>
    <xf numFmtId="230" fontId="110" fillId="0" borderId="0" applyFont="0" applyFill="0" applyBorder="0" applyAlignment="0" applyProtection="0"/>
    <xf numFmtId="231" fontId="110" fillId="0" borderId="0" applyFont="0" applyFill="0" applyBorder="0" applyAlignment="0" applyProtection="0"/>
    <xf numFmtId="232" fontId="110" fillId="0" borderId="0" applyFont="0" applyFill="0" applyBorder="0" applyAlignment="0" applyProtection="0"/>
    <xf numFmtId="233" fontId="110" fillId="0" borderId="0" applyFont="0" applyFill="0" applyBorder="0" applyAlignment="0" applyProtection="0"/>
    <xf numFmtId="234" fontId="110" fillId="0" borderId="0" applyFont="0" applyFill="0" applyBorder="0" applyAlignment="0" applyProtection="0"/>
    <xf numFmtId="235" fontId="110" fillId="0" borderId="0" applyFont="0" applyFill="0" applyBorder="0" applyAlignment="0" applyProtection="0"/>
    <xf numFmtId="236" fontId="24" fillId="0" borderId="0" applyFont="0" applyFill="0" applyBorder="0" applyProtection="0">
      <alignment/>
    </xf>
    <xf numFmtId="3" fontId="80" fillId="0" borderId="0">
      <alignment/>
      <protection/>
    </xf>
    <xf numFmtId="0" fontId="88" fillId="0" borderId="4" applyNumberFormat="0" applyFill="0" applyAlignment="0" applyProtection="0"/>
    <xf numFmtId="3" fontId="80" fillId="0" borderId="0">
      <alignment/>
      <protection/>
    </xf>
    <xf numFmtId="3" fontId="80" fillId="0" borderId="0">
      <alignment/>
      <protection/>
    </xf>
    <xf numFmtId="3" fontId="80" fillId="0" borderId="0">
      <alignment/>
      <protection/>
    </xf>
    <xf numFmtId="3" fontId="80" fillId="0" borderId="0">
      <alignment/>
      <protection/>
    </xf>
    <xf numFmtId="3" fontId="80" fillId="0" borderId="0">
      <alignment/>
      <protection/>
    </xf>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42" fontId="80" fillId="0" borderId="0" applyFont="0" applyFill="0" applyBorder="0" applyAlignment="0" applyProtection="0"/>
    <xf numFmtId="4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0" fontId="95"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0" fontId="0"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8" fillId="0" borderId="4" applyNumberFormat="0" applyFill="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80" fillId="0" borderId="0" applyFont="0" applyFill="0" applyBorder="0" applyAlignment="0" applyProtection="0"/>
    <xf numFmtId="41"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0" fontId="88" fillId="0" borderId="4" applyNumberFormat="0" applyFill="0" applyAlignment="0" applyProtection="0"/>
    <xf numFmtId="0" fontId="80" fillId="0" borderId="0">
      <alignment/>
      <protection/>
    </xf>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132" fillId="58" borderId="21" applyNumberFormat="0" applyAlignment="0" applyProtection="0"/>
    <xf numFmtId="0" fontId="105" fillId="58" borderId="13" applyNumberFormat="0" applyAlignment="0" applyProtection="0"/>
    <xf numFmtId="44"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0" fontId="105" fillId="58" borderId="13" applyNumberFormat="0" applyAlignment="0" applyProtection="0"/>
    <xf numFmtId="43" fontId="80" fillId="0" borderId="0" applyFont="0" applyFill="0" applyBorder="0" applyAlignment="0" applyProtection="0"/>
    <xf numFmtId="0" fontId="0" fillId="60" borderId="20" applyNumberFormat="0" applyFont="0" applyAlignment="0" applyProtection="0"/>
    <xf numFmtId="9" fontId="80" fillId="0" borderId="0" applyFont="0" applyFill="0" applyBorder="0" applyAlignment="0" applyProtection="0"/>
    <xf numFmtId="0" fontId="152" fillId="0" borderId="24" applyNumberFormat="0" applyFill="0" applyAlignment="0" applyProtection="0"/>
    <xf numFmtId="43" fontId="80" fillId="0" borderId="0" applyFont="0" applyFill="0" applyBorder="0" applyAlignment="0" applyProtection="0"/>
    <xf numFmtId="9"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44" fontId="80" fillId="0" borderId="0" applyFont="0" applyFill="0" applyBorder="0" applyAlignment="0" applyProtection="0"/>
    <xf numFmtId="0" fontId="152" fillId="0" borderId="24" applyNumberFormat="0" applyFill="0" applyAlignment="0" applyProtection="0"/>
    <xf numFmtId="9" fontId="80" fillId="0" borderId="0" applyFont="0" applyFill="0" applyBorder="0" applyAlignment="0" applyProtection="0"/>
    <xf numFmtId="44" fontId="80" fillId="0" borderId="0" applyFont="0" applyFill="0" applyBorder="0" applyAlignment="0" applyProtection="0"/>
    <xf numFmtId="0" fontId="105" fillId="58" borderId="13" applyNumberFormat="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0" fontId="128" fillId="45" borderId="13" applyNumberFormat="0" applyAlignment="0" applyProtection="0"/>
    <xf numFmtId="0" fontId="128" fillId="45" borderId="13" applyNumberFormat="0" applyAlignment="0" applyProtection="0"/>
    <xf numFmtId="0" fontId="128" fillId="45" borderId="13" applyNumberFormat="0" applyAlignment="0" applyProtection="0"/>
    <xf numFmtId="0" fontId="0" fillId="60" borderId="20" applyNumberFormat="0" applyFont="0" applyAlignment="0" applyProtection="0"/>
    <xf numFmtId="0" fontId="74" fillId="0" borderId="24" applyNumberFormat="0" applyFill="0" applyAlignment="0" applyProtection="0"/>
    <xf numFmtId="43" fontId="80" fillId="0" borderId="0" applyFont="0" applyFill="0" applyBorder="0" applyAlignment="0" applyProtection="0"/>
    <xf numFmtId="43" fontId="80" fillId="0" borderId="0" applyFont="0" applyFill="0" applyBorder="0" applyAlignment="0" applyProtection="0"/>
    <xf numFmtId="9" fontId="80" fillId="0" borderId="0" applyFont="0" applyFill="0" applyBorder="0" applyAlignment="0" applyProtection="0"/>
    <xf numFmtId="0" fontId="0" fillId="60" borderId="20" applyNumberFormat="0" applyFont="0" applyAlignment="0" applyProtection="0"/>
    <xf numFmtId="0" fontId="132" fillId="58" borderId="21" applyNumberFormat="0" applyAlignment="0" applyProtection="0"/>
    <xf numFmtId="44" fontId="80" fillId="0" borderId="0" applyFont="0" applyFill="0" applyBorder="0" applyAlignment="0" applyProtection="0"/>
    <xf numFmtId="0" fontId="74" fillId="0" borderId="24" applyNumberFormat="0" applyFill="0" applyAlignment="0" applyProtection="0"/>
    <xf numFmtId="43" fontId="80" fillId="0" borderId="0" applyFont="0" applyFill="0" applyBorder="0" applyAlignment="0" applyProtection="0"/>
    <xf numFmtId="44" fontId="80" fillId="0" borderId="0" applyFont="0" applyFill="0" applyBorder="0" applyAlignment="0" applyProtection="0"/>
    <xf numFmtId="0" fontId="152" fillId="0" borderId="24" applyNumberFormat="0" applyFill="0" applyAlignment="0" applyProtection="0"/>
    <xf numFmtId="9"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0" fontId="0" fillId="60" borderId="20" applyNumberFormat="0" applyFont="0" applyAlignment="0" applyProtection="0"/>
    <xf numFmtId="0" fontId="132" fillId="58" borderId="21" applyNumberFormat="0" applyAlignment="0" applyProtection="0"/>
    <xf numFmtId="0" fontId="105" fillId="58" borderId="13" applyNumberFormat="0" applyAlignment="0" applyProtection="0"/>
    <xf numFmtId="9" fontId="80" fillId="0" borderId="0" applyFont="0" applyFill="0" applyBorder="0" applyAlignment="0" applyProtection="0"/>
    <xf numFmtId="0" fontId="132" fillId="58" borderId="21" applyNumberFormat="0" applyAlignment="0" applyProtection="0"/>
    <xf numFmtId="0" fontId="74" fillId="0" borderId="24" applyNumberFormat="0" applyFill="0" applyAlignment="0" applyProtection="0"/>
    <xf numFmtId="43"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43" fontId="80" fillId="0" borderId="0" applyFont="0" applyFill="0" applyBorder="0" applyAlignment="0" applyProtection="0"/>
    <xf numFmtId="0" fontId="74" fillId="0" borderId="24" applyNumberFormat="0" applyFill="0" applyAlignment="0" applyProtection="0"/>
    <xf numFmtId="0" fontId="152" fillId="0" borderId="24" applyNumberFormat="0" applyFill="0" applyAlignment="0" applyProtection="0"/>
    <xf numFmtId="43"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0" fontId="128" fillId="45" borderId="13" applyNumberFormat="0" applyAlignment="0" applyProtection="0"/>
    <xf numFmtId="0" fontId="1" fillId="0" borderId="0">
      <alignment/>
      <protection/>
    </xf>
    <xf numFmtId="43" fontId="1" fillId="0" borderId="0" applyFont="0" applyFill="0" applyBorder="0" applyAlignment="0" applyProtection="0"/>
    <xf numFmtId="0" fontId="0"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4" fillId="0" borderId="24" applyNumberFormat="0" applyFill="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60" borderId="20" applyNumberFormat="0" applyFont="0" applyAlignment="0" applyProtection="0"/>
    <xf numFmtId="0" fontId="132" fillId="58" borderId="21"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2" fillId="0" borderId="24"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5" fillId="58" borderId="13" applyNumberFormat="0" applyAlignment="0" applyProtection="0"/>
    <xf numFmtId="0" fontId="152" fillId="0" borderId="24" applyNumberFormat="0" applyFill="0" applyAlignment="0" applyProtection="0"/>
    <xf numFmtId="0" fontId="152" fillId="0" borderId="24" applyNumberFormat="0" applyFill="0" applyAlignment="0" applyProtection="0"/>
    <xf numFmtId="0" fontId="105" fillId="58"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8" fillId="45"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60"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74" fillId="0" borderId="2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60"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60" borderId="20" applyNumberFormat="0" applyFont="0" applyAlignment="0" applyProtection="0"/>
    <xf numFmtId="0" fontId="105" fillId="58"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4" fillId="0" borderId="2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2" fillId="0" borderId="2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8" fillId="45"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0" fillId="60" borderId="20"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4" fillId="0" borderId="24" applyNumberFormat="0" applyFill="0" applyAlignment="0" applyProtection="0"/>
    <xf numFmtId="0" fontId="132" fillId="58" borderId="21" applyNumberFormat="0" applyAlignment="0" applyProtection="0"/>
    <xf numFmtId="0" fontId="132" fillId="58" borderId="21" applyNumberFormat="0" applyAlignment="0" applyProtection="0"/>
    <xf numFmtId="0" fontId="152" fillId="0" borderId="24" applyNumberFormat="0" applyFill="0" applyAlignment="0" applyProtection="0"/>
    <xf numFmtId="0" fontId="74" fillId="0" borderId="24" applyNumberFormat="0" applyFill="0" applyAlignment="0" applyProtection="0"/>
    <xf numFmtId="0" fontId="132" fillId="58" borderId="21" applyNumberFormat="0" applyAlignment="0" applyProtection="0"/>
    <xf numFmtId="0" fontId="128" fillId="45" borderId="13" applyNumberFormat="0" applyAlignment="0" applyProtection="0"/>
    <xf numFmtId="0" fontId="128" fillId="45" borderId="13" applyNumberFormat="0" applyAlignment="0" applyProtection="0"/>
    <xf numFmtId="0" fontId="105" fillId="58" borderId="13" applyNumberFormat="0" applyAlignment="0" applyProtection="0"/>
    <xf numFmtId="0" fontId="132" fillId="58" borderId="21" applyNumberFormat="0" applyAlignment="0" applyProtection="0"/>
    <xf numFmtId="0" fontId="128" fillId="45" borderId="13" applyNumberFormat="0" applyAlignment="0" applyProtection="0"/>
    <xf numFmtId="0" fontId="105" fillId="58" borderId="13" applyNumberFormat="0" applyAlignment="0" applyProtection="0"/>
    <xf numFmtId="0" fontId="1" fillId="0" borderId="0">
      <alignment/>
      <protection/>
    </xf>
    <xf numFmtId="0" fontId="80" fillId="0" borderId="0">
      <alignment/>
      <protection/>
    </xf>
    <xf numFmtId="0" fontId="88" fillId="0" borderId="4" applyNumberFormat="0" applyFill="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42" fontId="80"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39" fontId="154" fillId="0" borderId="0">
      <alignment/>
      <protection/>
    </xf>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55" fillId="0" borderId="0">
      <alignment/>
      <protection/>
    </xf>
    <xf numFmtId="44" fontId="155" fillId="0" borderId="0" applyFont="0" applyFill="0" applyBorder="0" applyAlignment="0" applyProtection="0"/>
    <xf numFmtId="43" fontId="155"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44" fontId="8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37"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7" fillId="0" borderId="0">
      <alignment/>
      <protection/>
    </xf>
    <xf numFmtId="0" fontId="80" fillId="0" borderId="0">
      <alignment/>
      <protection/>
    </xf>
    <xf numFmtId="0" fontId="1" fillId="0" borderId="0">
      <alignment/>
      <protection/>
    </xf>
    <xf numFmtId="10" fontId="7"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lignment/>
      <protection/>
    </xf>
    <xf numFmtId="0" fontId="48" fillId="0" borderId="0">
      <alignment/>
      <protection/>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43" fontId="80" fillId="0" borderId="0" applyFont="0" applyFill="0" applyBorder="0" applyAlignment="0" applyProtection="0"/>
    <xf numFmtId="44" fontId="80" fillId="0" borderId="0" applyFont="0" applyFill="0" applyBorder="0" applyAlignment="0" applyProtection="0"/>
    <xf numFmtId="44" fontId="0" fillId="0" borderId="0" applyFont="0" applyFill="0" applyBorder="0" applyAlignment="0" applyProtection="0"/>
    <xf numFmtId="0" fontId="80" fillId="0" borderId="0">
      <alignment/>
      <protection/>
    </xf>
    <xf numFmtId="9" fontId="80" fillId="0" borderId="0" applyFon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43" fontId="1" fillId="0" borderId="0" applyFont="0" applyFill="0" applyBorder="0" applyAlignment="0" applyProtection="0"/>
    <xf numFmtId="44" fontId="155" fillId="0" borderId="0" applyFont="0" applyFill="0" applyBorder="0" applyAlignment="0" applyProtection="0"/>
    <xf numFmtId="9" fontId="155" fillId="0" borderId="0" applyFont="0" applyFill="0" applyBorder="0" applyAlignment="0" applyProtection="0"/>
    <xf numFmtId="43" fontId="1" fillId="0" borderId="0" applyFont="0" applyFill="0" applyBorder="0" applyAlignment="0" applyProtection="0"/>
    <xf numFmtId="0" fontId="1" fillId="0" borderId="0">
      <alignment/>
      <protection/>
    </xf>
    <xf numFmtId="0" fontId="80" fillId="0" borderId="0">
      <alignment/>
      <protection/>
    </xf>
    <xf numFmtId="0" fontId="88" fillId="0" borderId="4" applyNumberFormat="0" applyFill="0" applyAlignment="0" applyProtection="0"/>
    <xf numFmtId="9" fontId="80" fillId="0" borderId="0" applyFont="0" applyFill="0" applyBorder="0" applyAlignment="0" applyProtection="0"/>
    <xf numFmtId="44"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42" fontId="80"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43" fontId="80" fillId="0" borderId="0" applyFont="0" applyFill="0" applyBorder="0" applyAlignment="0" applyProtection="0"/>
    <xf numFmtId="9"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9" fontId="80"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7" borderId="11" applyNumberFormat="0" applyFont="0" applyAlignment="0" applyProtection="0"/>
    <xf numFmtId="0" fontId="1" fillId="28" borderId="0" applyNumberFormat="0" applyBorder="0" applyAlignment="0" applyProtection="0"/>
    <xf numFmtId="0" fontId="1" fillId="0" borderId="0">
      <alignment/>
      <protection/>
    </xf>
    <xf numFmtId="0" fontId="1" fillId="1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0" borderId="0">
      <alignment/>
      <protection/>
    </xf>
    <xf numFmtId="0" fontId="1" fillId="0" borderId="0">
      <alignment/>
      <protection/>
    </xf>
    <xf numFmtId="0" fontId="1" fillId="1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37" borderId="11" applyNumberFormat="0" applyFont="0" applyAlignment="0" applyProtection="0"/>
    <xf numFmtId="0" fontId="1" fillId="25" borderId="0" applyNumberFormat="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7" borderId="0" applyNumberFormat="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1" fillId="21"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1"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3" borderId="0" applyNumberFormat="0" applyBorder="0" applyAlignment="0" applyProtection="0"/>
    <xf numFmtId="0" fontId="1" fillId="37" borderId="11" applyNumberFormat="0" applyFont="0" applyAlignment="0" applyProtection="0"/>
    <xf numFmtId="43" fontId="1" fillId="0" borderId="0" applyFont="0" applyFill="0" applyBorder="0" applyAlignment="0" applyProtection="0"/>
    <xf numFmtId="0" fontId="1" fillId="37" borderId="11" applyNumberFormat="0" applyFont="0" applyAlignment="0" applyProtection="0"/>
    <xf numFmtId="0" fontId="1" fillId="20"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2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4" borderId="0" applyNumberFormat="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0" borderId="0">
      <alignment/>
      <protection/>
    </xf>
    <xf numFmtId="0" fontId="1" fillId="25"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0" borderId="0">
      <alignment/>
      <protection/>
    </xf>
    <xf numFmtId="0" fontId="1" fillId="32" borderId="0" applyNumberFormat="0" applyBorder="0" applyAlignment="0" applyProtection="0"/>
    <xf numFmtId="0" fontId="1" fillId="32"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1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43" fontId="1" fillId="0" borderId="0" applyFont="0" applyFill="0" applyBorder="0" applyAlignment="0" applyProtection="0"/>
    <xf numFmtId="0" fontId="1" fillId="17" borderId="0" applyNumberFormat="0" applyBorder="0" applyAlignment="0" applyProtection="0"/>
    <xf numFmtId="0" fontId="1" fillId="25" borderId="0" applyNumberFormat="0" applyBorder="0" applyAlignment="0" applyProtection="0"/>
    <xf numFmtId="9" fontId="1" fillId="0" borderId="0" applyFont="0" applyFill="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0" borderId="0">
      <alignment/>
      <protection/>
    </xf>
    <xf numFmtId="0" fontId="1" fillId="32" borderId="0" applyNumberFormat="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11" applyNumberFormat="0" applyFont="0" applyAlignment="0" applyProtection="0"/>
    <xf numFmtId="43" fontId="1" fillId="0" borderId="0" applyFont="0" applyFill="0" applyBorder="0" applyAlignment="0" applyProtection="0"/>
    <xf numFmtId="0" fontId="1" fillId="28"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2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12" borderId="0" applyNumberFormat="0" applyBorder="0" applyAlignment="0" applyProtection="0"/>
    <xf numFmtId="9" fontId="1" fillId="0" borderId="0" applyFont="0" applyFill="0" applyBorder="0" applyAlignment="0" applyProtection="0"/>
    <xf numFmtId="0" fontId="1" fillId="12" borderId="0" applyNumberFormat="0" applyBorder="0" applyAlignment="0" applyProtection="0"/>
    <xf numFmtId="9" fontId="1" fillId="0" borderId="0" applyFont="0" applyFill="0" applyBorder="0" applyAlignment="0" applyProtection="0"/>
    <xf numFmtId="0" fontId="1" fillId="37" borderId="11"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9" fontId="1" fillId="0" borderId="0" applyFont="0" applyFill="0" applyBorder="0" applyAlignment="0" applyProtection="0"/>
    <xf numFmtId="0" fontId="1" fillId="37" borderId="11" applyNumberFormat="0" applyFont="0" applyAlignment="0" applyProtection="0"/>
    <xf numFmtId="0" fontId="1" fillId="0" borderId="0">
      <alignment/>
      <protection/>
    </xf>
    <xf numFmtId="0" fontId="1" fillId="3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0" borderId="0">
      <alignment/>
      <protection/>
    </xf>
    <xf numFmtId="43" fontId="1" fillId="0" borderId="0" applyFont="0" applyFill="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3" borderId="0" applyNumberFormat="0" applyBorder="0" applyAlignment="0" applyProtection="0"/>
    <xf numFmtId="0" fontId="1" fillId="0" borderId="0">
      <alignment/>
      <protection/>
    </xf>
    <xf numFmtId="0" fontId="1" fillId="2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alignment/>
      <protection/>
    </xf>
    <xf numFmtId="0" fontId="1" fillId="17"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9" fontId="1" fillId="0" borderId="0" applyFont="0" applyFill="0" applyBorder="0" applyAlignment="0" applyProtection="0"/>
    <xf numFmtId="0" fontId="1" fillId="24" borderId="0" applyNumberFormat="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9" borderId="0" applyNumberFormat="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0" borderId="0">
      <alignment/>
      <protection/>
    </xf>
    <xf numFmtId="0" fontId="1" fillId="29"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37" borderId="11" applyNumberFormat="0" applyFont="0" applyAlignment="0" applyProtection="0"/>
    <xf numFmtId="0" fontId="1" fillId="28" borderId="0" applyNumberFormat="0" applyBorder="0" applyAlignment="0" applyProtection="0"/>
    <xf numFmtId="0" fontId="1" fillId="1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0" borderId="0">
      <alignment/>
      <protection/>
    </xf>
    <xf numFmtId="0" fontId="1" fillId="33"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4"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9"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17" borderId="0" applyNumberFormat="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0" fontId="1" fillId="37" borderId="1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37" borderId="11" applyNumberFormat="0" applyFont="0" applyAlignment="0" applyProtection="0"/>
    <xf numFmtId="0" fontId="1" fillId="28" borderId="0" applyNumberFormat="0" applyBorder="0" applyAlignment="0" applyProtection="0"/>
    <xf numFmtId="0" fontId="1" fillId="0" borderId="0">
      <alignment/>
      <protection/>
    </xf>
    <xf numFmtId="0" fontId="1" fillId="1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0" borderId="0">
      <alignment/>
      <protection/>
    </xf>
    <xf numFmtId="0" fontId="1" fillId="0" borderId="0">
      <alignment/>
      <protection/>
    </xf>
    <xf numFmtId="0" fontId="1" fillId="1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9"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37" borderId="11" applyNumberFormat="0" applyFont="0" applyAlignment="0" applyProtection="0"/>
    <xf numFmtId="0" fontId="1" fillId="25" borderId="0" applyNumberFormat="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7" borderId="0" applyNumberFormat="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1" fillId="21"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1"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3" borderId="0" applyNumberFormat="0" applyBorder="0" applyAlignment="0" applyProtection="0"/>
    <xf numFmtId="0" fontId="1" fillId="37" borderId="11" applyNumberFormat="0" applyFont="0" applyAlignment="0" applyProtection="0"/>
    <xf numFmtId="43" fontId="1" fillId="0" borderId="0" applyFont="0" applyFill="0" applyBorder="0" applyAlignment="0" applyProtection="0"/>
    <xf numFmtId="0" fontId="1" fillId="37" borderId="11" applyNumberFormat="0" applyFont="0" applyAlignment="0" applyProtection="0"/>
    <xf numFmtId="0" fontId="1" fillId="20"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24"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4" borderId="0" applyNumberFormat="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0" borderId="0">
      <alignment/>
      <protection/>
    </xf>
    <xf numFmtId="0" fontId="1" fillId="25"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0" borderId="0">
      <alignment/>
      <protection/>
    </xf>
    <xf numFmtId="0" fontId="1" fillId="32" borderId="0" applyNumberFormat="0" applyBorder="0" applyAlignment="0" applyProtection="0"/>
    <xf numFmtId="0" fontId="1" fillId="32"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1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43" fontId="1" fillId="0" borderId="0" applyFont="0" applyFill="0" applyBorder="0" applyAlignment="0" applyProtection="0"/>
    <xf numFmtId="0" fontId="1" fillId="17" borderId="0" applyNumberFormat="0" applyBorder="0" applyAlignment="0" applyProtection="0"/>
    <xf numFmtId="0" fontId="1" fillId="25" borderId="0" applyNumberFormat="0" applyBorder="0" applyAlignment="0" applyProtection="0"/>
    <xf numFmtId="9" fontId="1" fillId="0" borderId="0" applyFont="0" applyFill="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0" borderId="0">
      <alignment/>
      <protection/>
    </xf>
    <xf numFmtId="0" fontId="1" fillId="32" borderId="0" applyNumberFormat="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11" applyNumberFormat="0" applyFont="0" applyAlignment="0" applyProtection="0"/>
    <xf numFmtId="43" fontId="1" fillId="0" borderId="0" applyFont="0" applyFill="0" applyBorder="0" applyAlignment="0" applyProtection="0"/>
    <xf numFmtId="0" fontId="1" fillId="28"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2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12" borderId="0" applyNumberFormat="0" applyBorder="0" applyAlignment="0" applyProtection="0"/>
    <xf numFmtId="9" fontId="1" fillId="0" borderId="0" applyFont="0" applyFill="0" applyBorder="0" applyAlignment="0" applyProtection="0"/>
    <xf numFmtId="0" fontId="1" fillId="12" borderId="0" applyNumberFormat="0" applyBorder="0" applyAlignment="0" applyProtection="0"/>
    <xf numFmtId="9" fontId="1" fillId="0" borderId="0" applyFont="0" applyFill="0" applyBorder="0" applyAlignment="0" applyProtection="0"/>
    <xf numFmtId="0" fontId="1" fillId="37" borderId="11" applyNumberFormat="0" applyFont="0" applyAlignment="0" applyProtection="0"/>
    <xf numFmtId="0" fontId="1" fillId="21"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9" fontId="1" fillId="0" borderId="0" applyFont="0" applyFill="0" applyBorder="0" applyAlignment="0" applyProtection="0"/>
    <xf numFmtId="0" fontId="1" fillId="37" borderId="11" applyNumberFormat="0" applyFont="0" applyAlignment="0" applyProtection="0"/>
    <xf numFmtId="0" fontId="1" fillId="0" borderId="0">
      <alignment/>
      <protection/>
    </xf>
    <xf numFmtId="0" fontId="1" fillId="3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0" borderId="0">
      <alignment/>
      <protection/>
    </xf>
    <xf numFmtId="43" fontId="1" fillId="0" borderId="0" applyFont="0" applyFill="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3" borderId="0" applyNumberFormat="0" applyBorder="0" applyAlignment="0" applyProtection="0"/>
    <xf numFmtId="0" fontId="1" fillId="0" borderId="0">
      <alignment/>
      <protection/>
    </xf>
    <xf numFmtId="0" fontId="1" fillId="2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alignment/>
      <protection/>
    </xf>
    <xf numFmtId="0" fontId="1" fillId="17"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9" fontId="1" fillId="0" borderId="0" applyFont="0" applyFill="0" applyBorder="0" applyAlignment="0" applyProtection="0"/>
    <xf numFmtId="0" fontId="1" fillId="24" borderId="0" applyNumberFormat="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9" borderId="0" applyNumberFormat="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0" borderId="0">
      <alignment/>
      <protection/>
    </xf>
    <xf numFmtId="0" fontId="1" fillId="29"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37" borderId="11" applyNumberFormat="0" applyFont="0" applyAlignment="0" applyProtection="0"/>
    <xf numFmtId="0" fontId="1" fillId="28" borderId="0" applyNumberFormat="0" applyBorder="0" applyAlignment="0" applyProtection="0"/>
    <xf numFmtId="0" fontId="1" fillId="1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0" borderId="0">
      <alignment/>
      <protection/>
    </xf>
    <xf numFmtId="0" fontId="1" fillId="33"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4"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alignment/>
      <protection/>
    </xf>
    <xf numFmtId="0" fontId="1" fillId="37" borderId="1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788">
    <xf numFmtId="0" fontId="0" fillId="0" borderId="0" xfId="0"/>
    <xf numFmtId="0" fontId="2" fillId="0" borderId="0" xfId="0" applyFont="1" applyAlignment="1">
      <alignment horizontal="left"/>
    </xf>
    <xf numFmtId="0" fontId="2" fillId="0" borderId="0" xfId="0" applyFont="1" applyAlignment="1">
      <alignment horizontal="center"/>
    </xf>
    <xf numFmtId="0" fontId="2" fillId="0" borderId="18" xfId="0" applyFont="1" applyBorder="1" applyAlignment="1">
      <alignment horizontal="center"/>
    </xf>
    <xf numFmtId="0" fontId="3" fillId="0" borderId="18" xfId="0" applyFont="1" applyBorder="1"/>
    <xf numFmtId="0" fontId="2" fillId="0" borderId="0" xfId="0" applyFont="1"/>
    <xf numFmtId="0" fontId="2" fillId="0" borderId="18" xfId="0" applyFont="1" applyBorder="1"/>
    <xf numFmtId="3" fontId="2" fillId="0" borderId="0" xfId="0" applyNumberFormat="1" applyFont="1"/>
    <xf numFmtId="164" fontId="2" fillId="0" borderId="0" xfId="18" applyNumberFormat="1" applyFont="1"/>
    <xf numFmtId="7" fontId="2" fillId="0" borderId="0" xfId="0" applyNumberFormat="1" applyFont="1"/>
    <xf numFmtId="165" fontId="2" fillId="0" borderId="0" xfId="0" applyNumberFormat="1" applyFont="1"/>
    <xf numFmtId="5" fontId="2" fillId="0" borderId="0" xfId="0" applyNumberFormat="1" applyFont="1"/>
    <xf numFmtId="37" fontId="2" fillId="0" borderId="0" xfId="0" applyNumberFormat="1" applyFont="1"/>
    <xf numFmtId="0" fontId="5" fillId="0" borderId="0" xfId="0" applyFont="1" applyAlignment="1">
      <alignment horizontal="left"/>
    </xf>
    <xf numFmtId="0" fontId="5" fillId="0" borderId="0" xfId="0" applyFont="1"/>
    <xf numFmtId="5" fontId="5" fillId="0" borderId="0" xfId="0" applyNumberFormat="1" applyFont="1"/>
    <xf numFmtId="10" fontId="5" fillId="0" borderId="0" xfId="0" applyNumberFormat="1" applyFont="1"/>
    <xf numFmtId="10" fontId="2" fillId="0" borderId="0" xfId="0" applyNumberFormat="1" applyFont="1"/>
    <xf numFmtId="5" fontId="6" fillId="0" borderId="0" xfId="0" applyNumberFormat="1" applyFont="1"/>
    <xf numFmtId="0" fontId="0" fillId="0" borderId="0" xfId="0" applyFill="1"/>
    <xf numFmtId="0" fontId="9" fillId="0" borderId="0" xfId="0" applyFont="1"/>
    <xf numFmtId="164" fontId="9" fillId="0" borderId="0" xfId="18" applyNumberFormat="1" applyFont="1" applyFill="1"/>
    <xf numFmtId="0" fontId="9" fillId="0" borderId="0" xfId="0" applyFont="1" applyFill="1"/>
    <xf numFmtId="0" fontId="9" fillId="0" borderId="0" xfId="0" applyFont="1" applyFill="1" applyAlignment="1">
      <alignment horizontal="left"/>
    </xf>
    <xf numFmtId="0" fontId="10" fillId="0" borderId="0" xfId="0" applyFont="1" applyFill="1" applyAlignment="1">
      <alignment horizontal="centerContinuous"/>
    </xf>
    <xf numFmtId="0" fontId="9"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164" fontId="13" fillId="0" borderId="0" xfId="18" applyNumberFormat="1" applyFont="1" applyFill="1"/>
    <xf numFmtId="164" fontId="9" fillId="0" borderId="0" xfId="0" applyNumberFormat="1" applyFont="1" applyFill="1"/>
    <xf numFmtId="10" fontId="9" fillId="0" borderId="0" xfId="0" applyNumberFormat="1" applyFont="1" applyFill="1"/>
    <xf numFmtId="164" fontId="12" fillId="0" borderId="0" xfId="18" applyNumberFormat="1" applyFont="1" applyFill="1"/>
    <xf numFmtId="43" fontId="9" fillId="0" borderId="0" xfId="18" applyFont="1" applyFill="1"/>
    <xf numFmtId="0" fontId="9" fillId="0" borderId="0" xfId="0" applyFont="1" applyFill="1" applyAlignment="1">
      <alignment horizontal="left" indent="1"/>
    </xf>
    <xf numFmtId="164" fontId="2" fillId="0" borderId="0" xfId="18" applyNumberFormat="1" applyFont="1" applyAlignment="1">
      <alignment horizontal="left"/>
    </xf>
    <xf numFmtId="0" fontId="0" fillId="0" borderId="0" xfId="0" applyAlignment="1">
      <alignment horizontal="center"/>
    </xf>
    <xf numFmtId="0" fontId="0" fillId="0" borderId="0" xfId="0" applyAlignment="1">
      <alignment horizontal="left"/>
    </xf>
    <xf numFmtId="164" fontId="0" fillId="0" borderId="0" xfId="18" applyNumberFormat="1"/>
    <xf numFmtId="164" fontId="0" fillId="0" borderId="25" xfId="18" applyNumberFormat="1" applyBorder="1"/>
    <xf numFmtId="164" fontId="0" fillId="0" borderId="25" xfId="0" applyNumberFormat="1" applyBorder="1"/>
    <xf numFmtId="164" fontId="0" fillId="0" borderId="0" xfId="18" applyNumberFormat="1" applyFont="1" applyFill="1" applyBorder="1"/>
    <xf numFmtId="0" fontId="0" fillId="0" borderId="0" xfId="0" applyAlignment="1">
      <alignment vertical="justify"/>
    </xf>
    <xf numFmtId="164" fontId="0" fillId="0" borderId="0" xfId="0" applyNumberFormat="1" applyAlignment="1">
      <alignment horizontal="centerContinuous" vertical="justify"/>
    </xf>
    <xf numFmtId="164" fontId="0" fillId="0" borderId="0" xfId="0" applyNumberFormat="1"/>
    <xf numFmtId="0" fontId="0" fillId="0" borderId="0" xfId="0" applyFont="1"/>
    <xf numFmtId="0" fontId="15" fillId="0" borderId="0" xfId="0" applyFont="1" applyAlignment="1">
      <alignment horizontal="center"/>
    </xf>
    <xf numFmtId="164" fontId="0" fillId="0" borderId="0" xfId="0" applyNumberFormat="1" applyBorder="1"/>
    <xf numFmtId="164" fontId="0" fillId="0" borderId="0" xfId="18" applyNumberFormat="1" applyBorder="1"/>
    <xf numFmtId="164" fontId="0" fillId="0" borderId="0" xfId="18" applyNumberFormat="1" applyFont="1"/>
    <xf numFmtId="169" fontId="0" fillId="0" borderId="0" xfId="16" applyNumberFormat="1"/>
    <xf numFmtId="43" fontId="0" fillId="0" borderId="0" xfId="18"/>
    <xf numFmtId="43" fontId="0" fillId="0" borderId="0" xfId="18" applyFont="1"/>
    <xf numFmtId="43" fontId="0" fillId="0" borderId="25" xfId="0" applyNumberFormat="1" applyBorder="1"/>
    <xf numFmtId="172" fontId="0" fillId="0" borderId="0" xfId="0" applyNumberFormat="1"/>
    <xf numFmtId="170" fontId="0" fillId="0" borderId="0" xfId="0" applyNumberFormat="1"/>
    <xf numFmtId="0" fontId="0" fillId="0" borderId="0" xfId="0" applyAlignment="1">
      <alignment horizontal="centerContinuous"/>
    </xf>
    <xf numFmtId="0" fontId="17" fillId="0" borderId="0" xfId="0" applyFont="1" applyAlignment="1">
      <alignment horizontal="centerContinuous"/>
    </xf>
    <xf numFmtId="0" fontId="18" fillId="0" borderId="0" xfId="0" applyFont="1" applyAlignment="1">
      <alignment horizontal="center"/>
    </xf>
    <xf numFmtId="169" fontId="0" fillId="0" borderId="0" xfId="0" applyNumberFormat="1"/>
    <xf numFmtId="0" fontId="0" fillId="0" borderId="0" xfId="0" applyAlignment="1">
      <alignment horizontal="right"/>
    </xf>
    <xf numFmtId="169" fontId="0" fillId="0" borderId="0" xfId="16" applyNumberFormat="1" applyFont="1"/>
    <xf numFmtId="0" fontId="20" fillId="0" borderId="0" xfId="0" applyFont="1"/>
    <xf numFmtId="0" fontId="21" fillId="0" borderId="0" xfId="0" applyFont="1"/>
    <xf numFmtId="0" fontId="22" fillId="0" borderId="0" xfId="0" applyFont="1"/>
    <xf numFmtId="0" fontId="21" fillId="0" borderId="18" xfId="0" applyFont="1" applyBorder="1" applyAlignment="1">
      <alignment horizontal="centerContinuous"/>
    </xf>
    <xf numFmtId="0" fontId="0" fillId="0" borderId="18" xfId="0" applyBorder="1" applyAlignment="1">
      <alignment horizontal="centerContinuous"/>
    </xf>
    <xf numFmtId="0" fontId="15" fillId="0" borderId="1" xfId="0" applyFont="1" applyBorder="1" applyAlignment="1">
      <alignment horizontal="center"/>
    </xf>
    <xf numFmtId="0" fontId="15" fillId="0" borderId="1" xfId="0" applyFont="1" applyBorder="1" applyAlignment="1">
      <alignment horizontal="right"/>
    </xf>
    <xf numFmtId="0" fontId="15" fillId="0" borderId="1" xfId="0" applyFont="1" applyBorder="1" applyAlignment="1" quotePrefix="1">
      <alignment horizontal="center"/>
    </xf>
    <xf numFmtId="168" fontId="0" fillId="0" borderId="0" xfId="0" applyNumberFormat="1"/>
    <xf numFmtId="175" fontId="0" fillId="0" borderId="0" xfId="0" applyNumberFormat="1"/>
    <xf numFmtId="0" fontId="15" fillId="0" borderId="0" xfId="0" applyFont="1" applyAlignment="1">
      <alignment horizontal="right"/>
    </xf>
    <xf numFmtId="0" fontId="0" fillId="0" borderId="0" xfId="0" applyAlignment="1" quotePrefix="1">
      <alignment horizontal="center"/>
    </xf>
    <xf numFmtId="3" fontId="0" fillId="0" borderId="0" xfId="0" applyNumberFormat="1"/>
    <xf numFmtId="3" fontId="0" fillId="0" borderId="25" xfId="0" applyNumberFormat="1" applyBorder="1"/>
    <xf numFmtId="3" fontId="0" fillId="0" borderId="0" xfId="0" applyNumberFormat="1" applyBorder="1"/>
    <xf numFmtId="0" fontId="0" fillId="0" borderId="0" xfId="0" applyAlignment="1" quotePrefix="1">
      <alignment horizontal="right"/>
    </xf>
    <xf numFmtId="168" fontId="0" fillId="0" borderId="25" xfId="0" applyNumberFormat="1" applyBorder="1"/>
    <xf numFmtId="175" fontId="0" fillId="0" borderId="25" xfId="0" applyNumberFormat="1" applyBorder="1"/>
    <xf numFmtId="175" fontId="0" fillId="0" borderId="0" xfId="0" applyNumberFormat="1" applyFont="1"/>
    <xf numFmtId="0" fontId="23" fillId="0" borderId="0" xfId="0" applyFont="1"/>
    <xf numFmtId="0" fontId="21" fillId="0" borderId="0" xfId="0" applyFont="1" applyAlignment="1">
      <alignment horizontal="centerContinuous"/>
    </xf>
    <xf numFmtId="168" fontId="0" fillId="0" borderId="0" xfId="0" applyNumberFormat="1" applyFill="1"/>
    <xf numFmtId="174" fontId="0" fillId="0" borderId="0" xfId="0" applyNumberFormat="1" applyFont="1"/>
    <xf numFmtId="10" fontId="21" fillId="0" borderId="0" xfId="0" applyNumberFormat="1" applyFont="1"/>
    <xf numFmtId="10" fontId="0" fillId="0" borderId="0" xfId="0" applyNumberFormat="1"/>
    <xf numFmtId="0" fontId="0" fillId="0" borderId="0" xfId="0" applyFill="1" applyAlignment="1">
      <alignment horizontal="right"/>
    </xf>
    <xf numFmtId="0" fontId="8" fillId="0" borderId="0" xfId="0" applyFont="1" applyFill="1" applyBorder="1" applyAlignment="1">
      <alignment vertical="center"/>
    </xf>
    <xf numFmtId="0" fontId="2" fillId="0" borderId="0" xfId="18" applyNumberFormat="1" applyFont="1"/>
    <xf numFmtId="0" fontId="2" fillId="0" borderId="0" xfId="0" applyFont="1" applyAlignment="1">
      <alignment horizontal="left" indent="1"/>
    </xf>
    <xf numFmtId="37" fontId="2" fillId="0" borderId="0" xfId="0" applyNumberFormat="1" applyFont="1" applyAlignment="1">
      <alignment horizontal="left" indent="1"/>
    </xf>
    <xf numFmtId="165" fontId="2" fillId="0" borderId="0" xfId="0" applyNumberFormat="1" applyFont="1" applyAlignment="1">
      <alignment horizontal="left" indent="1"/>
    </xf>
    <xf numFmtId="5" fontId="2" fillId="0" borderId="0" xfId="0" applyNumberFormat="1" applyFont="1" applyAlignment="1">
      <alignment horizontal="left" indent="1"/>
    </xf>
    <xf numFmtId="3" fontId="2" fillId="0" borderId="0" xfId="0" applyNumberFormat="1" applyFont="1" applyAlignment="1">
      <alignment horizontal="left" indent="1"/>
    </xf>
    <xf numFmtId="5" fontId="2" fillId="0" borderId="0" xfId="0" applyNumberFormat="1" applyFont="1" applyBorder="1"/>
    <xf numFmtId="0" fontId="0" fillId="0" borderId="0" xfId="0" quotePrefix="1"/>
    <xf numFmtId="3" fontId="25" fillId="0" borderId="0" xfId="0" applyNumberFormat="1" applyFont="1"/>
    <xf numFmtId="0" fontId="25" fillId="0" borderId="0" xfId="0" applyFont="1" applyAlignment="1">
      <alignment horizontal="center"/>
    </xf>
    <xf numFmtId="170" fontId="25" fillId="0" borderId="0" xfId="0" applyNumberFormat="1" applyFont="1"/>
    <xf numFmtId="176" fontId="25" fillId="0" borderId="0" xfId="0" applyNumberFormat="1" applyFont="1"/>
    <xf numFmtId="164" fontId="26" fillId="0" borderId="0" xfId="18" applyNumberFormat="1" applyFont="1"/>
    <xf numFmtId="164" fontId="27" fillId="0" borderId="0" xfId="18" applyNumberFormat="1" applyFont="1" applyFill="1"/>
    <xf numFmtId="0" fontId="27" fillId="0" borderId="0" xfId="0" applyFont="1" applyFill="1"/>
    <xf numFmtId="10" fontId="26" fillId="0" borderId="0" xfId="0" applyNumberFormat="1" applyFont="1"/>
    <xf numFmtId="37" fontId="2" fillId="0" borderId="18" xfId="0" applyNumberFormat="1" applyFont="1" applyBorder="1"/>
    <xf numFmtId="37" fontId="6" fillId="0" borderId="0" xfId="0" applyNumberFormat="1" applyFont="1"/>
    <xf numFmtId="37" fontId="2" fillId="0" borderId="0" xfId="0" applyNumberFormat="1" applyFont="1" applyBorder="1"/>
    <xf numFmtId="37" fontId="2" fillId="0" borderId="25" xfId="0" applyNumberFormat="1" applyFont="1" applyBorder="1"/>
    <xf numFmtId="37" fontId="2" fillId="0" borderId="0" xfId="18" applyNumberFormat="1" applyFont="1"/>
    <xf numFmtId="37" fontId="26" fillId="0" borderId="0" xfId="18" applyNumberFormat="1" applyFont="1"/>
    <xf numFmtId="37" fontId="26" fillId="0" borderId="0" xfId="0" applyNumberFormat="1" applyFont="1"/>
    <xf numFmtId="0" fontId="4" fillId="0" borderId="0" xfId="0" applyFont="1"/>
    <xf numFmtId="37" fontId="2" fillId="0" borderId="0" xfId="0" applyNumberFormat="1" applyFont="1" applyFill="1"/>
    <xf numFmtId="5" fontId="2" fillId="0" borderId="0" xfId="0" applyNumberFormat="1" applyFont="1" applyFill="1"/>
    <xf numFmtId="0" fontId="2" fillId="0" borderId="0" xfId="0" applyFont="1" applyAlignment="1">
      <alignment/>
    </xf>
    <xf numFmtId="0" fontId="2" fillId="0" borderId="0" xfId="0" applyFont="1" applyAlignment="1">
      <alignment horizontal="right"/>
    </xf>
    <xf numFmtId="0" fontId="4" fillId="0" borderId="0" xfId="0" applyFont="1" applyAlignment="1">
      <alignment/>
    </xf>
    <xf numFmtId="0" fontId="15" fillId="0" borderId="0" xfId="0" applyFont="1"/>
    <xf numFmtId="0" fontId="26" fillId="0" borderId="0" xfId="0" applyFont="1"/>
    <xf numFmtId="177" fontId="2" fillId="0" borderId="0" xfId="0" applyNumberFormat="1" applyFont="1"/>
    <xf numFmtId="178" fontId="2" fillId="0" borderId="0" xfId="0" applyNumberFormat="1" applyFont="1" applyAlignment="1">
      <alignment horizontal="center"/>
    </xf>
    <xf numFmtId="170" fontId="25" fillId="3" borderId="0" xfId="0" applyNumberFormat="1" applyFont="1" applyFill="1"/>
    <xf numFmtId="0" fontId="0" fillId="3" borderId="0" xfId="0" applyFill="1"/>
    <xf numFmtId="165" fontId="25" fillId="3" borderId="0" xfId="0" applyNumberFormat="1" applyFont="1" applyFill="1"/>
    <xf numFmtId="170" fontId="0" fillId="40" borderId="0" xfId="0" applyNumberFormat="1" applyFont="1" applyFill="1"/>
    <xf numFmtId="0" fontId="0" fillId="40" borderId="0" xfId="0" applyFill="1"/>
    <xf numFmtId="165" fontId="25" fillId="40" borderId="0" xfId="0" applyNumberFormat="1" applyFont="1" applyFill="1"/>
    <xf numFmtId="170" fontId="25" fillId="40" borderId="0" xfId="0" applyNumberFormat="1" applyFont="1" applyFill="1"/>
    <xf numFmtId="170" fontId="0" fillId="35" borderId="0" xfId="0" applyNumberFormat="1" applyFont="1" applyFill="1"/>
    <xf numFmtId="0" fontId="0" fillId="35" borderId="0" xfId="0" applyFill="1"/>
    <xf numFmtId="165" fontId="0" fillId="35" borderId="0" xfId="0" applyNumberFormat="1" applyFont="1" applyFill="1"/>
    <xf numFmtId="170" fontId="0" fillId="45" borderId="0" xfId="0" applyNumberFormat="1" applyFont="1" applyFill="1"/>
    <xf numFmtId="0" fontId="0" fillId="45" borderId="0" xfId="0" applyFill="1"/>
    <xf numFmtId="165" fontId="0" fillId="45" borderId="0" xfId="0" applyNumberFormat="1" applyFont="1" applyFill="1"/>
    <xf numFmtId="0" fontId="23" fillId="0" borderId="0" xfId="0" applyFont="1" applyAlignment="1">
      <alignment/>
    </xf>
    <xf numFmtId="0" fontId="2" fillId="0" borderId="0" xfId="0" applyFont="1" quotePrefix="1"/>
    <xf numFmtId="174" fontId="2" fillId="0" borderId="0" xfId="0" applyNumberFormat="1" applyFont="1"/>
    <xf numFmtId="179" fontId="2" fillId="0" borderId="0" xfId="0" applyNumberFormat="1" applyFont="1"/>
    <xf numFmtId="0" fontId="15" fillId="0" borderId="0" xfId="0" applyFont="1" applyAlignment="1">
      <alignment horizontal="centerContinuous"/>
    </xf>
    <xf numFmtId="0" fontId="29" fillId="0" borderId="0" xfId="0" applyFont="1" applyAlignment="1">
      <alignment horizontal="center"/>
    </xf>
    <xf numFmtId="170" fontId="25" fillId="0" borderId="0" xfId="0" applyNumberFormat="1" applyFont="1" applyFill="1"/>
    <xf numFmtId="174" fontId="25" fillId="0" borderId="0" xfId="0" applyNumberFormat="1" applyFont="1" applyFill="1"/>
    <xf numFmtId="175" fontId="0" fillId="0" borderId="25" xfId="0" applyNumberFormat="1" applyFill="1" applyBorder="1"/>
    <xf numFmtId="0" fontId="15" fillId="0" borderId="0" xfId="0" applyFont="1" applyAlignment="1">
      <alignment horizontal="left" indent="1"/>
    </xf>
    <xf numFmtId="0" fontId="0" fillId="0" borderId="0" xfId="0" applyAlignment="1">
      <alignment horizontal="left" indent="1"/>
    </xf>
    <xf numFmtId="176" fontId="0" fillId="0" borderId="0" xfId="0" applyNumberFormat="1"/>
    <xf numFmtId="0" fontId="0" fillId="0" borderId="26" xfId="0" applyBorder="1"/>
    <xf numFmtId="174" fontId="0" fillId="0" borderId="25" xfId="0" applyNumberFormat="1" applyBorder="1"/>
    <xf numFmtId="0" fontId="0" fillId="0" borderId="27" xfId="0" applyBorder="1"/>
    <xf numFmtId="0" fontId="0" fillId="0" borderId="28" xfId="0" applyBorder="1"/>
    <xf numFmtId="0" fontId="0" fillId="0" borderId="29" xfId="0" applyBorder="1"/>
    <xf numFmtId="0" fontId="0" fillId="0" borderId="26" xfId="0" applyBorder="1" applyAlignment="1">
      <alignment/>
    </xf>
    <xf numFmtId="176" fontId="0" fillId="0" borderId="27" xfId="0" applyNumberFormat="1" applyBorder="1"/>
    <xf numFmtId="0" fontId="0" fillId="0" borderId="0" xfId="0" applyAlignment="1">
      <alignment/>
    </xf>
    <xf numFmtId="179" fontId="0" fillId="0" borderId="0" xfId="0" applyNumberFormat="1"/>
    <xf numFmtId="3" fontId="32" fillId="0" borderId="0" xfId="0" applyNumberFormat="1" applyFont="1" applyAlignment="1">
      <alignment horizontal="center"/>
    </xf>
    <xf numFmtId="179" fontId="31" fillId="0" borderId="0" xfId="0" applyNumberFormat="1" applyFont="1"/>
    <xf numFmtId="10" fontId="31" fillId="0" borderId="0" xfId="0" applyNumberFormat="1" applyFont="1"/>
    <xf numFmtId="171" fontId="0" fillId="0" borderId="0" xfId="0" applyNumberFormat="1"/>
    <xf numFmtId="0" fontId="0" fillId="0" borderId="0" xfId="0" applyBorder="1"/>
    <xf numFmtId="170" fontId="31" fillId="0" borderId="0" xfId="0" applyNumberFormat="1" applyFont="1" applyBorder="1"/>
    <xf numFmtId="0" fontId="0" fillId="0" borderId="30" xfId="0" applyBorder="1"/>
    <xf numFmtId="0" fontId="0" fillId="0" borderId="12" xfId="0" applyBorder="1"/>
    <xf numFmtId="0" fontId="0" fillId="0" borderId="28" xfId="0" applyFill="1" applyBorder="1"/>
    <xf numFmtId="181" fontId="0" fillId="0" borderId="18" xfId="0" applyNumberFormat="1" applyFont="1" applyBorder="1"/>
    <xf numFmtId="0" fontId="31" fillId="0" borderId="0" xfId="0" applyFont="1"/>
    <xf numFmtId="0" fontId="29" fillId="0" borderId="0" xfId="0" applyFont="1" applyAlignment="1">
      <alignment horizontal="centerContinuous"/>
    </xf>
    <xf numFmtId="3" fontId="32" fillId="0" borderId="0" xfId="0" applyNumberFormat="1" applyFont="1" applyAlignment="1">
      <alignment horizontal="right"/>
    </xf>
    <xf numFmtId="179" fontId="31" fillId="0" borderId="18" xfId="0" applyNumberFormat="1" applyFont="1" applyBorder="1"/>
    <xf numFmtId="0" fontId="0" fillId="0" borderId="25" xfId="0" applyBorder="1"/>
    <xf numFmtId="0" fontId="0" fillId="0" borderId="18" xfId="0" applyFill="1" applyBorder="1"/>
    <xf numFmtId="0" fontId="0" fillId="0" borderId="25" xfId="0" applyBorder="1" applyAlignment="1">
      <alignment/>
    </xf>
    <xf numFmtId="0" fontId="0" fillId="0" borderId="18" xfId="0" applyBorder="1"/>
    <xf numFmtId="178" fontId="0" fillId="0" borderId="0" xfId="0" applyNumberFormat="1"/>
    <xf numFmtId="0" fontId="0" fillId="0" borderId="25" xfId="0" applyBorder="1" applyAlignment="1">
      <alignment horizontal="centerContinuous"/>
    </xf>
    <xf numFmtId="3" fontId="31" fillId="0" borderId="0" xfId="0" applyNumberFormat="1" applyFont="1"/>
    <xf numFmtId="0" fontId="32" fillId="0" borderId="0" xfId="0" applyFont="1"/>
    <xf numFmtId="0" fontId="15" fillId="0" borderId="25" xfId="0" applyFont="1" applyBorder="1" applyAlignment="1">
      <alignment horizontal="left" indent="7"/>
    </xf>
    <xf numFmtId="0" fontId="32" fillId="0" borderId="0" xfId="0" applyFont="1" applyAlignment="1">
      <alignment horizontal="center"/>
    </xf>
    <xf numFmtId="3" fontId="0" fillId="0" borderId="0" xfId="0" applyNumberFormat="1" applyFont="1"/>
    <xf numFmtId="0" fontId="23" fillId="0" borderId="0" xfId="0" applyFont="1" applyAlignment="1">
      <alignment horizontal="centerContinuous"/>
    </xf>
    <xf numFmtId="165" fontId="0" fillId="0" borderId="0" xfId="0" applyNumberFormat="1"/>
    <xf numFmtId="171" fontId="15" fillId="0" borderId="0" xfId="0" applyNumberFormat="1" applyFont="1"/>
    <xf numFmtId="0" fontId="15" fillId="0" borderId="0" xfId="0" applyFont="1" applyAlignment="1">
      <alignment/>
    </xf>
    <xf numFmtId="170" fontId="31" fillId="48" borderId="0" xfId="0" applyNumberFormat="1" applyFont="1" applyFill="1" applyBorder="1"/>
    <xf numFmtId="0" fontId="0" fillId="48" borderId="0" xfId="0" applyFill="1"/>
    <xf numFmtId="0" fontId="0" fillId="57" borderId="0" xfId="0" applyFill="1"/>
    <xf numFmtId="179" fontId="31" fillId="0" borderId="27" xfId="0" applyNumberFormat="1" applyFont="1" applyBorder="1"/>
    <xf numFmtId="179" fontId="31" fillId="0" borderId="12" xfId="0" applyNumberFormat="1" applyFont="1" applyBorder="1"/>
    <xf numFmtId="179" fontId="31" fillId="0" borderId="29" xfId="0" applyNumberFormat="1" applyFont="1" applyBorder="1"/>
    <xf numFmtId="179" fontId="31" fillId="48" borderId="25" xfId="0" applyNumberFormat="1" applyFont="1" applyFill="1" applyBorder="1"/>
    <xf numFmtId="179" fontId="31" fillId="48" borderId="0" xfId="0" applyNumberFormat="1" applyFont="1" applyFill="1" applyBorder="1"/>
    <xf numFmtId="179" fontId="31" fillId="48" borderId="18" xfId="0" applyNumberFormat="1" applyFont="1" applyFill="1" applyBorder="1"/>
    <xf numFmtId="0" fontId="2" fillId="0" borderId="31" xfId="0" applyFont="1" applyBorder="1"/>
    <xf numFmtId="165" fontId="2" fillId="0" borderId="0" xfId="0" applyNumberFormat="1" applyFont="1" applyFill="1"/>
    <xf numFmtId="5" fontId="2" fillId="0" borderId="25" xfId="0" applyNumberFormat="1" applyFont="1" applyBorder="1"/>
    <xf numFmtId="5" fontId="4" fillId="0" borderId="25" xfId="0" applyNumberFormat="1" applyFont="1" applyBorder="1"/>
    <xf numFmtId="5" fontId="2" fillId="0" borderId="25" xfId="0" applyNumberFormat="1" applyFont="1" applyFill="1" applyBorder="1"/>
    <xf numFmtId="37" fontId="2" fillId="0" borderId="0" xfId="18" applyNumberFormat="1" applyFont="1" applyAlignment="1">
      <alignment/>
    </xf>
    <xf numFmtId="0" fontId="2" fillId="0" borderId="25" xfId="0" applyFont="1" applyBorder="1"/>
    <xf numFmtId="0" fontId="15" fillId="0" borderId="0" xfId="0" applyFont="1" applyBorder="1" applyAlignment="1">
      <alignment horizontal="center"/>
    </xf>
    <xf numFmtId="10" fontId="15" fillId="0" borderId="0" xfId="0" applyNumberFormat="1" applyFont="1" applyAlignment="1">
      <alignment horizontal="center"/>
    </xf>
    <xf numFmtId="10" fontId="15" fillId="0" borderId="0" xfId="0" applyNumberFormat="1" applyFont="1" applyBorder="1" applyAlignment="1">
      <alignment horizontal="center"/>
    </xf>
    <xf numFmtId="10" fontId="15" fillId="0" borderId="18" xfId="0" applyNumberFormat="1" applyFont="1" applyBorder="1" applyAlignment="1">
      <alignment horizontal="center"/>
    </xf>
    <xf numFmtId="0" fontId="15" fillId="0" borderId="18" xfId="0" applyFont="1" applyBorder="1" applyAlignment="1">
      <alignment horizontal="center"/>
    </xf>
    <xf numFmtId="10" fontId="15" fillId="0" borderId="0" xfId="0" applyNumberFormat="1" applyFont="1"/>
    <xf numFmtId="0" fontId="29" fillId="0" borderId="0" xfId="0" applyFont="1"/>
    <xf numFmtId="7" fontId="15" fillId="0" borderId="0" xfId="0" applyNumberFormat="1" applyFont="1"/>
    <xf numFmtId="166" fontId="15" fillId="0" borderId="0" xfId="0" applyNumberFormat="1" applyFont="1"/>
    <xf numFmtId="176" fontId="15" fillId="0" borderId="0" xfId="0" applyNumberFormat="1" applyFont="1"/>
    <xf numFmtId="166" fontId="0" fillId="0" borderId="0" xfId="0" applyNumberFormat="1" applyFont="1"/>
    <xf numFmtId="174" fontId="0" fillId="0" borderId="0" xfId="0" applyNumberFormat="1" applyFont="1" applyAlignment="1">
      <alignment horizontal="center"/>
    </xf>
    <xf numFmtId="7" fontId="0" fillId="0" borderId="0" xfId="0" applyNumberFormat="1" applyFont="1"/>
    <xf numFmtId="182" fontId="0" fillId="0" borderId="0" xfId="0" applyNumberFormat="1" applyFont="1" applyAlignment="1">
      <alignment horizontal="right"/>
    </xf>
    <xf numFmtId="0" fontId="0" fillId="0" borderId="0" xfId="0" applyFont="1" applyAlignment="1">
      <alignment horizontal="center"/>
    </xf>
    <xf numFmtId="0" fontId="0" fillId="0" borderId="0" xfId="0" applyFont="1" applyAlignment="1">
      <alignment horizontal="right"/>
    </xf>
    <xf numFmtId="183" fontId="0" fillId="0" borderId="0" xfId="0" applyNumberFormat="1" applyFont="1"/>
    <xf numFmtId="183" fontId="15" fillId="0" borderId="0" xfId="0" applyNumberFormat="1" applyFont="1"/>
    <xf numFmtId="184" fontId="0" fillId="0" borderId="0" xfId="0" applyNumberFormat="1" applyFont="1" applyAlignment="1">
      <alignment horizontal="right"/>
    </xf>
    <xf numFmtId="4" fontId="0" fillId="0" borderId="0" xfId="0" applyNumberFormat="1"/>
    <xf numFmtId="167" fontId="2" fillId="0" borderId="0" xfId="0" applyNumberFormat="1" applyFont="1"/>
    <xf numFmtId="43" fontId="0" fillId="0" borderId="0" xfId="0" applyNumberFormat="1"/>
    <xf numFmtId="0" fontId="35" fillId="0" borderId="0" xfId="0" applyFont="1"/>
    <xf numFmtId="173" fontId="2" fillId="0" borderId="0" xfId="0" applyNumberFormat="1" applyFont="1"/>
    <xf numFmtId="5" fontId="15" fillId="0" borderId="0" xfId="0" applyNumberFormat="1" applyFont="1" applyBorder="1"/>
    <xf numFmtId="0" fontId="15" fillId="0" borderId="0" xfId="0" applyFont="1" applyBorder="1"/>
    <xf numFmtId="176" fontId="0" fillId="0" borderId="0" xfId="0" applyNumberFormat="1" applyFont="1"/>
    <xf numFmtId="176" fontId="0" fillId="0" borderId="25" xfId="0" applyNumberFormat="1" applyFont="1" applyBorder="1"/>
    <xf numFmtId="176" fontId="0" fillId="0" borderId="25" xfId="0" applyNumberFormat="1" applyBorder="1"/>
    <xf numFmtId="0" fontId="11" fillId="0" borderId="0" xfId="0" applyFont="1" applyFill="1" applyAlignment="1">
      <alignment horizontal="right"/>
    </xf>
    <xf numFmtId="5" fontId="0" fillId="0" borderId="0" xfId="0" applyNumberFormat="1"/>
    <xf numFmtId="174" fontId="0" fillId="0" borderId="0" xfId="0" applyNumberFormat="1" applyFont="1" applyFill="1"/>
    <xf numFmtId="0" fontId="9" fillId="0" borderId="0" xfId="0" applyFont="1" applyFill="1" applyAlignment="1">
      <alignment horizontal="centerContinuous"/>
    </xf>
    <xf numFmtId="164" fontId="0" fillId="0" borderId="25" xfId="18" applyNumberFormat="1" applyFont="1" applyFill="1" applyBorder="1"/>
    <xf numFmtId="3" fontId="15" fillId="0" borderId="0" xfId="0" applyNumberFormat="1" applyFont="1" applyAlignment="1">
      <alignment horizontal="center"/>
    </xf>
    <xf numFmtId="187" fontId="32" fillId="0" borderId="0" xfId="0" applyNumberFormat="1" applyFont="1" applyAlignment="1">
      <alignment horizontal="center"/>
    </xf>
    <xf numFmtId="3" fontId="29" fillId="0" borderId="0" xfId="0" applyNumberFormat="1" applyFont="1" applyAlignment="1">
      <alignment horizontal="center"/>
    </xf>
    <xf numFmtId="3" fontId="0" fillId="0" borderId="25" xfId="18" applyNumberFormat="1" applyFont="1" applyFill="1" applyBorder="1"/>
    <xf numFmtId="164" fontId="0" fillId="0" borderId="32" xfId="18" applyNumberFormat="1" applyFont="1" applyFill="1" applyBorder="1"/>
    <xf numFmtId="164" fontId="0" fillId="0" borderId="32" xfId="18" applyNumberFormat="1" applyBorder="1"/>
    <xf numFmtId="164" fontId="9" fillId="0" borderId="33" xfId="0" applyNumberFormat="1" applyFont="1" applyFill="1" applyBorder="1"/>
    <xf numFmtId="164" fontId="9" fillId="0" borderId="32" xfId="0" applyNumberFormat="1" applyFont="1" applyFill="1" applyBorder="1"/>
    <xf numFmtId="37" fontId="9" fillId="0" borderId="0" xfId="0" applyNumberFormat="1" applyFont="1"/>
    <xf numFmtId="164" fontId="9" fillId="0" borderId="0" xfId="0" applyNumberFormat="1" applyFont="1"/>
    <xf numFmtId="164" fontId="9" fillId="0" borderId="25" xfId="0" applyNumberFormat="1" applyFont="1" applyFill="1" applyBorder="1"/>
    <xf numFmtId="0" fontId="2" fillId="0" borderId="0" xfId="0" applyFont="1" applyFill="1" applyAlignment="1">
      <alignment horizontal="left" indent="1"/>
    </xf>
    <xf numFmtId="164" fontId="9" fillId="0" borderId="0" xfId="0" applyNumberFormat="1" applyFont="1" applyFill="1" applyBorder="1"/>
    <xf numFmtId="37" fontId="9" fillId="0" borderId="33" xfId="0" applyNumberFormat="1" applyFont="1" applyBorder="1"/>
    <xf numFmtId="37" fontId="4" fillId="0" borderId="18" xfId="0" applyNumberFormat="1" applyFont="1" applyBorder="1"/>
    <xf numFmtId="37" fontId="4" fillId="0" borderId="18" xfId="0" applyNumberFormat="1" applyFont="1" applyFill="1" applyBorder="1"/>
    <xf numFmtId="37" fontId="2" fillId="0" borderId="18" xfId="0" applyNumberFormat="1" applyFont="1" applyFill="1" applyBorder="1"/>
    <xf numFmtId="41" fontId="0" fillId="0" borderId="0" xfId="16" applyNumberFormat="1" applyFont="1"/>
    <xf numFmtId="41" fontId="0" fillId="0" borderId="0" xfId="16" applyNumberFormat="1"/>
    <xf numFmtId="41" fontId="0" fillId="0" borderId="0" xfId="0" applyNumberFormat="1"/>
    <xf numFmtId="41" fontId="19" fillId="0" borderId="0" xfId="16" applyNumberFormat="1" applyFont="1"/>
    <xf numFmtId="169" fontId="37" fillId="0" borderId="0" xfId="0" applyNumberFormat="1" applyFont="1"/>
    <xf numFmtId="4" fontId="31" fillId="0" borderId="0" xfId="0" applyNumberFormat="1" applyFont="1"/>
    <xf numFmtId="4" fontId="31" fillId="0" borderId="0" xfId="0" applyNumberFormat="1" applyFont="1" applyFill="1"/>
    <xf numFmtId="169" fontId="0" fillId="0" borderId="0" xfId="0" applyNumberFormat="1" applyFill="1"/>
    <xf numFmtId="10" fontId="0" fillId="0" borderId="0" xfId="0" applyNumberFormat="1" applyFill="1"/>
    <xf numFmtId="0" fontId="0" fillId="0" borderId="26" xfId="0" applyFill="1" applyBorder="1" applyAlignment="1">
      <alignment horizontal="right"/>
    </xf>
    <xf numFmtId="169" fontId="0" fillId="0" borderId="25" xfId="0" applyNumberFormat="1" applyFill="1" applyBorder="1"/>
    <xf numFmtId="0" fontId="0" fillId="0" borderId="25" xfId="0" applyFill="1" applyBorder="1"/>
    <xf numFmtId="0" fontId="0" fillId="0" borderId="25" xfId="0" applyFill="1" applyBorder="1" applyAlignment="1">
      <alignment horizontal="right"/>
    </xf>
    <xf numFmtId="169" fontId="0" fillId="0" borderId="27" xfId="0" applyNumberFormat="1" applyFill="1" applyBorder="1"/>
    <xf numFmtId="0" fontId="0" fillId="0" borderId="30" xfId="0" applyFill="1" applyBorder="1" applyAlignment="1">
      <alignment horizontal="right"/>
    </xf>
    <xf numFmtId="169" fontId="0" fillId="0" borderId="0" xfId="0" applyNumberFormat="1" applyFill="1" applyBorder="1"/>
    <xf numFmtId="0" fontId="0" fillId="0" borderId="0" xfId="0" applyFill="1" applyBorder="1"/>
    <xf numFmtId="0" fontId="0" fillId="0" borderId="0" xfId="0" applyFill="1" applyBorder="1" applyAlignment="1">
      <alignment horizontal="right"/>
    </xf>
    <xf numFmtId="169" fontId="0" fillId="0" borderId="12" xfId="0" applyNumberFormat="1" applyFill="1" applyBorder="1"/>
    <xf numFmtId="0" fontId="0" fillId="0" borderId="28" xfId="0" applyFill="1" applyBorder="1" applyAlignment="1">
      <alignment horizontal="right"/>
    </xf>
    <xf numFmtId="169" fontId="0" fillId="0" borderId="18" xfId="0" applyNumberFormat="1" applyFill="1" applyBorder="1"/>
    <xf numFmtId="0" fontId="0" fillId="0" borderId="18" xfId="0" applyFill="1" applyBorder="1" applyAlignment="1">
      <alignment horizontal="right"/>
    </xf>
    <xf numFmtId="169" fontId="0" fillId="0" borderId="29" xfId="0" applyNumberFormat="1" applyFill="1" applyBorder="1"/>
    <xf numFmtId="10" fontId="31" fillId="0" borderId="0" xfId="0" applyNumberFormat="1" applyFont="1" applyFill="1"/>
    <xf numFmtId="10" fontId="15" fillId="0" borderId="25" xfId="0" applyNumberFormat="1" applyFont="1" applyFill="1" applyBorder="1"/>
    <xf numFmtId="10" fontId="0" fillId="0" borderId="25" xfId="0" applyNumberFormat="1" applyFill="1" applyBorder="1"/>
    <xf numFmtId="0" fontId="23" fillId="0" borderId="0" xfId="0" applyFont="1" applyFill="1" applyAlignment="1">
      <alignment horizontal="right"/>
    </xf>
    <xf numFmtId="10" fontId="0" fillId="0" borderId="0" xfId="0" applyNumberFormat="1" applyFont="1" applyFill="1"/>
    <xf numFmtId="174" fontId="0" fillId="0" borderId="0" xfId="0" applyNumberFormat="1"/>
    <xf numFmtId="3" fontId="0" fillId="0" borderId="0" xfId="0" applyNumberFormat="1" applyFont="1" applyBorder="1"/>
    <xf numFmtId="0" fontId="23" fillId="0" borderId="0" xfId="0" applyFont="1" applyAlignment="1">
      <alignment horizontal="right"/>
    </xf>
    <xf numFmtId="165" fontId="31" fillId="0" borderId="0" xfId="0" applyNumberFormat="1" applyFont="1" applyFill="1"/>
    <xf numFmtId="165" fontId="0" fillId="0" borderId="0" xfId="0" applyNumberFormat="1" applyFont="1" applyFill="1"/>
    <xf numFmtId="0" fontId="38" fillId="0" borderId="0" xfId="0" applyFont="1"/>
    <xf numFmtId="5" fontId="0" fillId="40" borderId="0" xfId="0" applyNumberFormat="1" applyFill="1"/>
    <xf numFmtId="5" fontId="0" fillId="0" borderId="0" xfId="0" applyNumberFormat="1" applyFill="1"/>
    <xf numFmtId="5" fontId="31" fillId="0" borderId="0" xfId="0" applyNumberFormat="1" applyFont="1" applyFill="1"/>
    <xf numFmtId="0" fontId="39" fillId="0" borderId="0" xfId="0" applyFont="1" applyAlignment="1">
      <alignment/>
    </xf>
    <xf numFmtId="0" fontId="15" fillId="0" borderId="0" xfId="0" applyFont="1" applyFill="1" applyBorder="1" applyAlignment="1">
      <alignment horizontal="center"/>
    </xf>
    <xf numFmtId="172" fontId="0" fillId="0" borderId="0" xfId="0" applyNumberFormat="1" applyFont="1"/>
    <xf numFmtId="5" fontId="0" fillId="0" borderId="0" xfId="0" applyNumberFormat="1" applyFont="1" applyFill="1"/>
    <xf numFmtId="5" fontId="0" fillId="45" borderId="0" xfId="0" applyNumberFormat="1" applyFont="1" applyFill="1"/>
    <xf numFmtId="0" fontId="36" fillId="0" borderId="0" xfId="0" applyFont="1" applyAlignment="1">
      <alignment horizontal="left" indent="1"/>
    </xf>
    <xf numFmtId="5" fontId="31" fillId="0" borderId="0" xfId="0" applyNumberFormat="1" applyFont="1" applyFill="1" applyBorder="1"/>
    <xf numFmtId="169" fontId="15" fillId="0" borderId="0" xfId="0" applyNumberFormat="1" applyFont="1" applyFill="1"/>
    <xf numFmtId="0" fontId="40" fillId="0" borderId="0" xfId="0" applyFont="1" applyAlignment="1">
      <alignment horizontal="center"/>
    </xf>
    <xf numFmtId="5" fontId="0" fillId="40" borderId="0" xfId="0" applyNumberFormat="1" applyFill="1" applyBorder="1"/>
    <xf numFmtId="5" fontId="0" fillId="0" borderId="0" xfId="0" applyNumberFormat="1" applyFill="1" applyBorder="1"/>
    <xf numFmtId="188" fontId="0" fillId="0" borderId="0" xfId="0" applyNumberFormat="1" applyAlignment="1">
      <alignment horizontal="center"/>
    </xf>
    <xf numFmtId="0" fontId="0" fillId="0" borderId="0" xfId="0" applyFill="1" applyAlignment="1">
      <alignment vertical="justify"/>
    </xf>
    <xf numFmtId="188" fontId="0" fillId="0" borderId="0" xfId="0" applyNumberFormat="1" applyFill="1" applyAlignment="1">
      <alignment horizontal="center"/>
    </xf>
    <xf numFmtId="164" fontId="0" fillId="0" borderId="25" xfId="0" applyNumberFormat="1" applyFill="1" applyBorder="1"/>
    <xf numFmtId="164" fontId="0" fillId="0" borderId="0" xfId="0" applyNumberFormat="1" applyFill="1" applyBorder="1"/>
    <xf numFmtId="164" fontId="0" fillId="0" borderId="0" xfId="18" applyNumberFormat="1" applyFill="1"/>
    <xf numFmtId="164" fontId="0" fillId="0" borderId="25" xfId="18" applyNumberFormat="1" applyFill="1" applyBorder="1"/>
    <xf numFmtId="164" fontId="0" fillId="0" borderId="0" xfId="18" applyNumberFormat="1" applyFill="1" applyBorder="1"/>
    <xf numFmtId="164" fontId="0" fillId="0" borderId="0" xfId="0" applyNumberFormat="1" applyFill="1"/>
    <xf numFmtId="43" fontId="0" fillId="0" borderId="0" xfId="18" applyFill="1"/>
    <xf numFmtId="43" fontId="0" fillId="0" borderId="25" xfId="0" applyNumberFormat="1" applyFill="1" applyBorder="1"/>
    <xf numFmtId="189" fontId="0" fillId="0" borderId="0" xfId="0" applyNumberFormat="1" applyFont="1" applyFill="1"/>
    <xf numFmtId="0" fontId="23" fillId="0" borderId="0" xfId="0" applyFont="1" applyAlignment="1">
      <alignment horizontal="centerContinuous"/>
    </xf>
    <xf numFmtId="171" fontId="31" fillId="0" borderId="0" xfId="0" applyNumberFormat="1" applyFont="1"/>
    <xf numFmtId="171" fontId="42" fillId="0" borderId="0" xfId="0" applyNumberFormat="1" applyFont="1" applyBorder="1"/>
    <xf numFmtId="170" fontId="0" fillId="0" borderId="0" xfId="0" applyNumberFormat="1" applyFont="1"/>
    <xf numFmtId="186" fontId="0" fillId="0" borderId="0" xfId="0" applyNumberFormat="1"/>
    <xf numFmtId="0" fontId="43" fillId="0" borderId="0" xfId="0" applyFont="1"/>
    <xf numFmtId="7" fontId="0" fillId="0" borderId="0" xfId="0" applyNumberFormat="1"/>
    <xf numFmtId="37" fontId="32" fillId="0" borderId="0" xfId="0" applyNumberFormat="1" applyFont="1" applyFill="1"/>
    <xf numFmtId="189" fontId="0" fillId="57" borderId="0" xfId="0" applyNumberFormat="1" applyFont="1" applyFill="1"/>
    <xf numFmtId="0" fontId="0" fillId="0" borderId="0" xfId="0"/>
    <xf numFmtId="0" fontId="25" fillId="0" borderId="0" xfId="0" applyFont="1" applyFill="1" applyAlignment="1">
      <alignment horizontal="center"/>
    </xf>
    <xf numFmtId="0" fontId="0" fillId="0" borderId="0" xfId="0"/>
    <xf numFmtId="0" fontId="0" fillId="0" borderId="0" xfId="0" applyFont="1" applyAlignment="1">
      <alignment horizontal="left" indent="1"/>
    </xf>
    <xf numFmtId="37" fontId="46" fillId="0" borderId="0" xfId="18" applyNumberFormat="1" applyFont="1" applyFill="1"/>
    <xf numFmtId="169" fontId="31" fillId="63" borderId="0" xfId="0" applyNumberFormat="1" applyFont="1" applyFill="1"/>
    <xf numFmtId="0" fontId="31" fillId="63" borderId="0" xfId="0" applyFont="1" applyFill="1"/>
    <xf numFmtId="0" fontId="47" fillId="0" borderId="0" xfId="0" applyFont="1" applyAlignment="1">
      <alignment horizontal="left"/>
    </xf>
    <xf numFmtId="171" fontId="37" fillId="0" borderId="0" xfId="0" applyNumberFormat="1" applyFont="1" applyBorder="1"/>
    <xf numFmtId="0" fontId="0" fillId="0" borderId="0" xfId="0"/>
    <xf numFmtId="0" fontId="0" fillId="0" borderId="0" xfId="0"/>
    <xf numFmtId="0" fontId="0" fillId="0" borderId="0" xfId="0"/>
    <xf numFmtId="0" fontId="0" fillId="0" borderId="0" xfId="0"/>
    <xf numFmtId="0" fontId="0" fillId="0" borderId="0" xfId="0" applyFill="1" applyAlignment="1">
      <alignment horizontal="center"/>
    </xf>
    <xf numFmtId="191" fontId="0" fillId="0" borderId="0" xfId="0" applyNumberFormat="1" applyAlignment="1">
      <alignment horizontal="center"/>
    </xf>
    <xf numFmtId="0" fontId="0" fillId="0" borderId="0" xfId="0"/>
    <xf numFmtId="0" fontId="0" fillId="0" borderId="0" xfId="0"/>
    <xf numFmtId="0" fontId="2" fillId="0" borderId="0" xfId="0" applyFont="1" applyFill="1"/>
    <xf numFmtId="0" fontId="0" fillId="0" borderId="0" xfId="20">
      <alignment/>
      <protection/>
    </xf>
    <xf numFmtId="0" fontId="2" fillId="0" borderId="0" xfId="20" applyFont="1" applyAlignment="1">
      <alignment horizontal="left"/>
      <protection/>
    </xf>
    <xf numFmtId="0" fontId="2" fillId="0" borderId="0" xfId="20" applyFont="1" applyFill="1" applyAlignment="1">
      <alignment horizontal="left"/>
      <protection/>
    </xf>
    <xf numFmtId="0" fontId="0" fillId="0" borderId="0" xfId="20">
      <alignment/>
      <protection/>
    </xf>
    <xf numFmtId="0" fontId="2" fillId="0" borderId="0" xfId="20" applyFont="1" applyAlignment="1">
      <alignment horizontal="left"/>
      <protection/>
    </xf>
    <xf numFmtId="0" fontId="2" fillId="0" borderId="0" xfId="20" applyFont="1" applyAlignment="1">
      <alignment horizontal="left"/>
      <protection/>
    </xf>
    <xf numFmtId="190" fontId="15" fillId="0" borderId="0" xfId="0" applyNumberFormat="1" applyFont="1" applyAlignment="1">
      <alignment horizontal="center"/>
    </xf>
    <xf numFmtId="171" fontId="15" fillId="0" borderId="0" xfId="0" applyNumberFormat="1" applyFont="1" applyAlignment="1">
      <alignment horizontal="center"/>
    </xf>
    <xf numFmtId="192" fontId="15" fillId="0" borderId="0" xfId="0" applyNumberFormat="1" applyFont="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18" xfId="0" applyFont="1" applyBorder="1" applyAlignment="1">
      <alignment horizontal="center"/>
    </xf>
    <xf numFmtId="5" fontId="0" fillId="0" borderId="0" xfId="20" applyNumberFormat="1" applyFont="1" applyAlignment="1">
      <alignment horizontal="center"/>
      <protection/>
    </xf>
    <xf numFmtId="5" fontId="15" fillId="0" borderId="0" xfId="0" applyNumberFormat="1" applyFont="1" applyAlignment="1">
      <alignment horizontal="center"/>
    </xf>
    <xf numFmtId="0" fontId="15" fillId="0" borderId="0" xfId="0" applyFont="1" applyAlignment="1">
      <alignment horizontal="center"/>
    </xf>
    <xf numFmtId="0" fontId="0" fillId="0" borderId="0" xfId="0"/>
    <xf numFmtId="0" fontId="0" fillId="0" borderId="0" xfId="0" applyFont="1" applyAlignment="1">
      <alignment horizontal="centerContinuous"/>
    </xf>
    <xf numFmtId="0" fontId="23" fillId="0" borderId="0" xfId="0" applyFont="1" applyAlignment="1">
      <alignment horizontal="center"/>
    </xf>
    <xf numFmtId="171" fontId="0" fillId="0" borderId="0" xfId="0" applyNumberFormat="1" applyFont="1"/>
    <xf numFmtId="180" fontId="15" fillId="0" borderId="0" xfId="0" applyNumberFormat="1" applyFont="1"/>
    <xf numFmtId="0" fontId="0" fillId="0" borderId="0" xfId="0" applyFont="1" applyBorder="1" applyAlignment="1">
      <alignment horizontal="right"/>
    </xf>
    <xf numFmtId="5" fontId="0" fillId="0" borderId="0" xfId="0" applyNumberFormat="1" applyFont="1" applyBorder="1"/>
    <xf numFmtId="0" fontId="0" fillId="0" borderId="0" xfId="0" applyFont="1" applyBorder="1"/>
    <xf numFmtId="0" fontId="0" fillId="0" borderId="0" xfId="0" applyFont="1" applyFill="1" applyBorder="1" applyAlignment="1">
      <alignment horizontal="right"/>
    </xf>
    <xf numFmtId="5" fontId="0" fillId="0" borderId="0" xfId="0" applyNumberFormat="1" applyFont="1" applyAlignment="1">
      <alignment horizontal="center"/>
    </xf>
    <xf numFmtId="0" fontId="0" fillId="0" borderId="0" xfId="0" applyFont="1" applyBorder="1" applyAlignment="1">
      <alignment horizontal="center"/>
    </xf>
    <xf numFmtId="5" fontId="0" fillId="0" borderId="0" xfId="0" applyNumberFormat="1" applyFont="1" applyBorder="1" applyAlignment="1">
      <alignment horizontal="center"/>
    </xf>
    <xf numFmtId="5" fontId="0" fillId="0" borderId="18" xfId="0" applyNumberFormat="1" applyFont="1" applyBorder="1" applyAlignment="1">
      <alignment horizontal="center"/>
    </xf>
    <xf numFmtId="5" fontId="15" fillId="0" borderId="0" xfId="0" applyNumberFormat="1" applyFont="1"/>
    <xf numFmtId="5" fontId="0" fillId="0" borderId="0" xfId="0" applyNumberFormat="1" applyFont="1"/>
    <xf numFmtId="5" fontId="23" fillId="0" borderId="0" xfId="0" applyNumberFormat="1" applyFont="1" applyBorder="1" applyAlignment="1">
      <alignment horizontal="center"/>
    </xf>
    <xf numFmtId="5" fontId="23" fillId="0" borderId="0" xfId="0" applyNumberFormat="1" applyFont="1" applyAlignment="1">
      <alignment horizontal="center"/>
    </xf>
    <xf numFmtId="5" fontId="23" fillId="0" borderId="0" xfId="0" applyNumberFormat="1" applyFont="1"/>
    <xf numFmtId="176" fontId="0" fillId="0" borderId="0" xfId="0" applyNumberFormat="1" applyFont="1" applyAlignment="1">
      <alignment horizontal="center"/>
    </xf>
    <xf numFmtId="176" fontId="0" fillId="0" borderId="0" xfId="0" applyNumberFormat="1" applyFont="1"/>
    <xf numFmtId="0" fontId="0" fillId="0" borderId="0" xfId="0" applyFont="1" applyAlignment="1">
      <alignment horizontal="left" indent="3"/>
    </xf>
    <xf numFmtId="185" fontId="0" fillId="0" borderId="0" xfId="0" applyNumberFormat="1" applyFont="1"/>
    <xf numFmtId="0" fontId="0" fillId="0" borderId="0" xfId="0" applyFont="1" applyFill="1" applyAlignment="1">
      <alignment horizontal="left" indent="1"/>
    </xf>
    <xf numFmtId="169" fontId="0" fillId="0" borderId="0" xfId="16" applyNumberFormat="1" applyFont="1" applyFill="1"/>
    <xf numFmtId="0" fontId="0" fillId="0" borderId="0" xfId="0"/>
    <xf numFmtId="0" fontId="15" fillId="0" borderId="0" xfId="0" applyFont="1" applyAlignment="1">
      <alignment horizontal="center"/>
    </xf>
    <xf numFmtId="0" fontId="0" fillId="0" borderId="0" xfId="0"/>
    <xf numFmtId="5" fontId="23" fillId="0" borderId="0" xfId="20" applyNumberFormat="1" applyFont="1" applyBorder="1" applyAlignment="1">
      <alignment horizontal="center"/>
      <protection/>
    </xf>
    <xf numFmtId="171" fontId="0" fillId="0" borderId="0" xfId="15" applyNumberFormat="1" applyFont="1"/>
    <xf numFmtId="175" fontId="0" fillId="0" borderId="0" xfId="0" applyNumberFormat="1" applyBorder="1"/>
    <xf numFmtId="0" fontId="0" fillId="0" borderId="0" xfId="0" applyBorder="1" applyAlignment="1">
      <alignment horizontal="centerContinuous"/>
    </xf>
    <xf numFmtId="0" fontId="15" fillId="0" borderId="0" xfId="0" applyFont="1" applyBorder="1" applyAlignment="1" quotePrefix="1">
      <alignment horizontal="center"/>
    </xf>
    <xf numFmtId="0" fontId="0" fillId="0" borderId="0" xfId="0"/>
    <xf numFmtId="37" fontId="46" fillId="0" borderId="0" xfId="0" applyNumberFormat="1" applyFont="1" applyFill="1"/>
    <xf numFmtId="0" fontId="0" fillId="0" borderId="0" xfId="20" applyFont="1" applyAlignment="1">
      <alignment/>
      <protection/>
    </xf>
    <xf numFmtId="0" fontId="0" fillId="0" borderId="0" xfId="20" applyFont="1">
      <alignment/>
      <protection/>
    </xf>
    <xf numFmtId="164" fontId="0" fillId="0" borderId="0" xfId="18" applyNumberFormat="1"/>
    <xf numFmtId="164" fontId="9" fillId="0" borderId="0" xfId="18" applyNumberFormat="1" applyFont="1" applyFill="1" applyBorder="1"/>
    <xf numFmtId="0" fontId="2" fillId="0" borderId="0" xfId="18" applyNumberFormat="1" applyFont="1" applyFill="1"/>
    <xf numFmtId="0" fontId="0" fillId="0" borderId="0" xfId="0"/>
    <xf numFmtId="164" fontId="50" fillId="64" borderId="0" xfId="18" applyNumberFormat="1" applyFont="1" applyFill="1"/>
    <xf numFmtId="164" fontId="9" fillId="64" borderId="0" xfId="18" applyNumberFormat="1" applyFont="1" applyFill="1" applyBorder="1"/>
    <xf numFmtId="193" fontId="0" fillId="0" borderId="0" xfId="16" applyNumberFormat="1" applyFont="1"/>
    <xf numFmtId="169" fontId="0" fillId="0" borderId="0" xfId="0" applyNumberFormat="1" applyFont="1"/>
    <xf numFmtId="169" fontId="44" fillId="0" borderId="0" xfId="16" applyNumberFormat="1" applyFont="1"/>
    <xf numFmtId="194" fontId="0" fillId="0" borderId="0" xfId="0" applyNumberFormat="1" applyFont="1"/>
    <xf numFmtId="10" fontId="0" fillId="0" borderId="0" xfId="15" applyNumberFormat="1" applyFont="1"/>
    <xf numFmtId="169" fontId="0" fillId="0" borderId="0" xfId="16" applyNumberFormat="1" applyFont="1"/>
    <xf numFmtId="16" fontId="0" fillId="0" borderId="0" xfId="0" applyNumberFormat="1" applyFont="1" applyAlignment="1" quotePrefix="1">
      <alignment horizontal="center"/>
    </xf>
    <xf numFmtId="0" fontId="0" fillId="0" borderId="0" xfId="0" applyFont="1" applyAlignment="1" quotePrefix="1">
      <alignment horizontal="center"/>
    </xf>
    <xf numFmtId="180" fontId="15" fillId="0" borderId="0" xfId="0" applyNumberFormat="1" applyFont="1" applyFill="1"/>
    <xf numFmtId="0" fontId="0" fillId="0" borderId="0" xfId="0"/>
    <xf numFmtId="1" fontId="0" fillId="0" borderId="0" xfId="0" applyNumberFormat="1" applyFont="1"/>
    <xf numFmtId="44" fontId="0" fillId="0" borderId="0" xfId="0" applyNumberFormat="1" applyFont="1"/>
    <xf numFmtId="44" fontId="15" fillId="0" borderId="0" xfId="16" applyFont="1"/>
    <xf numFmtId="0" fontId="0" fillId="0" borderId="0" xfId="0"/>
    <xf numFmtId="0" fontId="0" fillId="0" borderId="0" xfId="20">
      <alignment/>
      <protection/>
    </xf>
    <xf numFmtId="0" fontId="0" fillId="0" borderId="0" xfId="20" applyFill="1">
      <alignment/>
      <protection/>
    </xf>
    <xf numFmtId="164" fontId="0" fillId="0" borderId="0" xfId="0" applyNumberFormat="1" applyAlignment="1">
      <alignment horizontal="right"/>
    </xf>
    <xf numFmtId="164" fontId="0" fillId="0" borderId="0" xfId="27" applyNumberFormat="1" applyFont="1"/>
    <xf numFmtId="164" fontId="0" fillId="20" borderId="0" xfId="27" applyNumberFormat="1" applyFont="1" applyFill="1"/>
    <xf numFmtId="164" fontId="0" fillId="0" borderId="25" xfId="27" applyNumberFormat="1" applyFont="1" applyBorder="1"/>
    <xf numFmtId="164" fontId="0" fillId="0" borderId="0" xfId="27" applyNumberFormat="1" applyFont="1" applyFill="1"/>
    <xf numFmtId="171" fontId="0" fillId="0" borderId="0" xfId="28" applyNumberFormat="1" applyFont="1"/>
    <xf numFmtId="44" fontId="0" fillId="0" borderId="0" xfId="29" applyFont="1"/>
    <xf numFmtId="164" fontId="0" fillId="0" borderId="0" xfId="18" applyNumberFormat="1" applyFont="1"/>
    <xf numFmtId="164" fontId="0" fillId="0" borderId="18" xfId="18" applyNumberFormat="1" applyFont="1" applyBorder="1"/>
    <xf numFmtId="44" fontId="0" fillId="0" borderId="0" xfId="29" applyFont="1" applyFill="1"/>
    <xf numFmtId="164" fontId="0" fillId="0" borderId="0" xfId="18" applyNumberFormat="1" applyFont="1" applyBorder="1"/>
    <xf numFmtId="164" fontId="0" fillId="0" borderId="18" xfId="0" applyNumberFormat="1" applyBorder="1"/>
    <xf numFmtId="10" fontId="0" fillId="0" borderId="0" xfId="15" applyNumberFormat="1" applyFont="1"/>
    <xf numFmtId="10" fontId="0" fillId="0" borderId="18" xfId="15" applyNumberFormat="1" applyFont="1" applyBorder="1"/>
    <xf numFmtId="188" fontId="0" fillId="0" borderId="0" xfId="20" applyNumberFormat="1" applyAlignment="1">
      <alignment horizontal="center"/>
      <protection/>
    </xf>
    <xf numFmtId="164" fontId="0" fillId="0" borderId="25" xfId="18" applyNumberFormat="1" applyFont="1" applyFill="1" applyBorder="1"/>
    <xf numFmtId="164" fontId="25" fillId="0" borderId="0" xfId="18" applyNumberFormat="1" applyFont="1" applyFill="1"/>
    <xf numFmtId="164" fontId="25" fillId="0" borderId="0" xfId="18" applyNumberFormat="1" applyFont="1" applyFill="1"/>
    <xf numFmtId="164" fontId="0" fillId="3" borderId="0" xfId="18" applyNumberFormat="1" applyFont="1" applyFill="1"/>
    <xf numFmtId="164" fontId="0" fillId="65" borderId="0" xfId="18" applyNumberFormat="1" applyFont="1" applyFill="1"/>
    <xf numFmtId="164" fontId="0" fillId="0" borderId="0" xfId="18" applyNumberFormat="1" applyFont="1" applyFill="1"/>
    <xf numFmtId="43" fontId="0" fillId="0" borderId="0" xfId="18" applyFill="1"/>
    <xf numFmtId="164" fontId="27" fillId="0" borderId="0" xfId="18" applyNumberFormat="1" applyFont="1" applyFill="1" applyBorder="1"/>
    <xf numFmtId="0" fontId="0" fillId="0" borderId="0" xfId="0" applyFont="1"/>
    <xf numFmtId="174" fontId="0" fillId="0" borderId="0" xfId="0" applyNumberFormat="1" applyFont="1" applyFill="1"/>
    <xf numFmtId="164" fontId="9" fillId="0" borderId="0" xfId="18" applyNumberFormat="1" applyFont="1" applyFill="1"/>
    <xf numFmtId="164" fontId="27" fillId="0" borderId="0" xfId="18" applyNumberFormat="1" applyFont="1" applyFill="1"/>
    <xf numFmtId="164" fontId="49" fillId="0" borderId="0" xfId="18" applyNumberFormat="1" applyFont="1" applyFill="1" applyBorder="1"/>
    <xf numFmtId="164" fontId="50" fillId="0" borderId="0" xfId="18" applyNumberFormat="1" applyFont="1" applyFill="1"/>
    <xf numFmtId="164" fontId="50" fillId="0" borderId="0" xfId="18" applyNumberFormat="1" applyFont="1" applyFill="1" applyBorder="1"/>
    <xf numFmtId="164" fontId="12" fillId="0" borderId="0" xfId="18" applyNumberFormat="1" applyFont="1" applyFill="1" applyBorder="1"/>
    <xf numFmtId="164" fontId="51" fillId="0" borderId="0" xfId="18" applyNumberFormat="1" applyFont="1" applyFill="1"/>
    <xf numFmtId="0" fontId="0" fillId="0" borderId="0" xfId="0"/>
    <xf numFmtId="169" fontId="0" fillId="0" borderId="0" xfId="16" applyNumberFormat="1" applyFont="1" applyBorder="1"/>
    <xf numFmtId="0" fontId="0" fillId="0" borderId="0" xfId="0"/>
    <xf numFmtId="176" fontId="25" fillId="0" borderId="0" xfId="0" applyNumberFormat="1" applyFont="1" applyFill="1"/>
    <xf numFmtId="164" fontId="44" fillId="0" borderId="0" xfId="18" applyNumberFormat="1" applyFont="1" applyAlignment="1">
      <alignment horizontal="center"/>
    </xf>
    <xf numFmtId="44" fontId="0" fillId="0" borderId="0" xfId="16" applyFont="1"/>
    <xf numFmtId="9" fontId="2" fillId="0" borderId="0" xfId="15" applyFont="1"/>
    <xf numFmtId="169" fontId="2" fillId="0" borderId="0" xfId="16" applyNumberFormat="1" applyFont="1"/>
    <xf numFmtId="164" fontId="2" fillId="0" borderId="0" xfId="0" applyNumberFormat="1" applyFont="1"/>
    <xf numFmtId="164" fontId="2" fillId="0" borderId="18" xfId="18" applyNumberFormat="1" applyFont="1" applyBorder="1"/>
    <xf numFmtId="169" fontId="2" fillId="0" borderId="18" xfId="16" applyNumberFormat="1" applyFont="1" applyBorder="1"/>
    <xf numFmtId="9" fontId="2" fillId="0" borderId="18" xfId="15" applyFont="1" applyBorder="1"/>
    <xf numFmtId="0" fontId="0" fillId="0" borderId="0" xfId="0"/>
    <xf numFmtId="171" fontId="0" fillId="0" borderId="0" xfId="15" applyNumberFormat="1" applyFont="1"/>
    <xf numFmtId="0" fontId="20" fillId="0" borderId="34" xfId="39" applyFont="1" applyBorder="1" applyAlignment="1">
      <alignment horizontal="centerContinuous" vertical="center"/>
      <protection/>
    </xf>
    <xf numFmtId="0" fontId="52" fillId="0" borderId="35" xfId="39" applyFont="1" applyBorder="1" applyAlignment="1">
      <alignment horizontal="centerContinuous" vertical="center"/>
      <protection/>
    </xf>
    <xf numFmtId="0" fontId="52" fillId="0" borderId="36" xfId="39" applyFont="1" applyBorder="1" applyAlignment="1">
      <alignment horizontal="centerContinuous" vertical="center"/>
      <protection/>
    </xf>
    <xf numFmtId="0" fontId="52" fillId="0" borderId="37" xfId="39" applyBorder="1">
      <alignment/>
      <protection/>
    </xf>
    <xf numFmtId="0" fontId="52" fillId="0" borderId="38" xfId="39" applyBorder="1" applyAlignment="1">
      <alignment horizontal="center"/>
      <protection/>
    </xf>
    <xf numFmtId="0" fontId="52" fillId="0" borderId="39" xfId="39" applyBorder="1" applyAlignment="1">
      <alignment horizontal="center"/>
      <protection/>
    </xf>
    <xf numFmtId="0" fontId="52" fillId="0" borderId="40" xfId="39" applyBorder="1" applyAlignment="1">
      <alignment horizontal="center"/>
      <protection/>
    </xf>
    <xf numFmtId="0" fontId="52" fillId="0" borderId="41" xfId="39" applyBorder="1" applyAlignment="1">
      <alignment vertical="top"/>
      <protection/>
    </xf>
    <xf numFmtId="0" fontId="52" fillId="0" borderId="42" xfId="39" applyBorder="1" applyAlignment="1">
      <alignment horizontal="center" vertical="top"/>
      <protection/>
    </xf>
    <xf numFmtId="0" fontId="52" fillId="0" borderId="43" xfId="39" applyBorder="1" applyAlignment="1">
      <alignment horizontal="center" vertical="top"/>
      <protection/>
    </xf>
    <xf numFmtId="0" fontId="52" fillId="0" borderId="44" xfId="39" applyBorder="1" applyAlignment="1">
      <alignment horizontal="center" vertical="top"/>
      <protection/>
    </xf>
    <xf numFmtId="0" fontId="52" fillId="0" borderId="45" xfId="39" applyBorder="1">
      <alignment/>
      <protection/>
    </xf>
    <xf numFmtId="186" fontId="59" fillId="0" borderId="46" xfId="39" applyNumberFormat="1" applyFont="1" applyFill="1" applyBorder="1" applyProtection="1">
      <alignment/>
      <protection/>
    </xf>
    <xf numFmtId="196" fontId="59" fillId="0" borderId="47" xfId="39" applyNumberFormat="1" applyFont="1" applyFill="1" applyBorder="1" applyProtection="1">
      <alignment/>
      <protection/>
    </xf>
    <xf numFmtId="186" fontId="52" fillId="0" borderId="48" xfId="39" applyNumberFormat="1" applyBorder="1" applyProtection="1">
      <alignment/>
      <protection/>
    </xf>
    <xf numFmtId="0" fontId="52" fillId="0" borderId="45" xfId="39" applyBorder="1" applyAlignment="1">
      <alignment vertical="top"/>
      <protection/>
    </xf>
    <xf numFmtId="186" fontId="59" fillId="0" borderId="46" xfId="39" applyNumberFormat="1" applyFont="1" applyFill="1" applyBorder="1" applyAlignment="1" applyProtection="1">
      <alignment vertical="top"/>
      <protection/>
    </xf>
    <xf numFmtId="196" fontId="59" fillId="0" borderId="47" xfId="39" applyNumberFormat="1" applyFont="1" applyFill="1" applyBorder="1" applyAlignment="1" applyProtection="1">
      <alignment vertical="top"/>
      <protection/>
    </xf>
    <xf numFmtId="0" fontId="52" fillId="0" borderId="49" xfId="39" applyBorder="1" applyAlignment="1">
      <alignment vertical="center"/>
      <protection/>
    </xf>
    <xf numFmtId="10" fontId="52" fillId="0" borderId="50" xfId="39" applyNumberFormat="1" applyBorder="1" applyAlignment="1" applyProtection="1">
      <alignment vertical="center"/>
      <protection/>
    </xf>
    <xf numFmtId="186" fontId="52" fillId="0" borderId="51" xfId="39" applyNumberFormat="1" applyBorder="1" applyAlignment="1" applyProtection="1">
      <alignment vertical="center"/>
      <protection/>
    </xf>
    <xf numFmtId="186" fontId="52" fillId="0" borderId="52" xfId="39" applyNumberFormat="1" applyBorder="1" applyAlignment="1" applyProtection="1">
      <alignment vertical="center"/>
      <protection/>
    </xf>
    <xf numFmtId="0" fontId="52" fillId="0" borderId="0" xfId="39" applyAlignment="1">
      <alignment vertical="center"/>
      <protection/>
    </xf>
    <xf numFmtId="186" fontId="52" fillId="0" borderId="0" xfId="39" applyNumberFormat="1" applyAlignment="1" applyProtection="1">
      <alignment vertical="center"/>
      <protection/>
    </xf>
    <xf numFmtId="0" fontId="52" fillId="0" borderId="0" xfId="39">
      <alignment/>
      <protection/>
    </xf>
    <xf numFmtId="0" fontId="52" fillId="0" borderId="48" xfId="39" applyBorder="1">
      <alignment/>
      <protection/>
    </xf>
    <xf numFmtId="195" fontId="59" fillId="0" borderId="48" xfId="39" applyNumberFormat="1" applyFont="1" applyFill="1" applyBorder="1" applyAlignment="1">
      <alignment horizontal="right"/>
      <protection/>
    </xf>
    <xf numFmtId="0" fontId="52" fillId="0" borderId="0" xfId="39" applyAlignment="1">
      <alignment horizontal="center"/>
      <protection/>
    </xf>
    <xf numFmtId="0" fontId="52" fillId="0" borderId="0" xfId="39" applyFill="1" applyAlignment="1">
      <alignment horizontal="right"/>
      <protection/>
    </xf>
    <xf numFmtId="0" fontId="52" fillId="0" borderId="0" xfId="39" applyFill="1">
      <alignment/>
      <protection/>
    </xf>
    <xf numFmtId="0" fontId="52" fillId="0" borderId="0" xfId="39" applyAlignment="1">
      <alignment vertical="top"/>
      <protection/>
    </xf>
    <xf numFmtId="0" fontId="52" fillId="0" borderId="0" xfId="39" applyFill="1" applyAlignment="1">
      <alignment horizontal="right" vertical="top"/>
      <protection/>
    </xf>
    <xf numFmtId="186" fontId="52" fillId="0" borderId="48" xfId="39" applyNumberFormat="1" applyBorder="1" applyAlignment="1" applyProtection="1">
      <alignment vertical="top"/>
      <protection/>
    </xf>
    <xf numFmtId="0" fontId="52" fillId="0" borderId="53" xfId="39" applyBorder="1" applyAlignment="1">
      <alignment vertical="center"/>
      <protection/>
    </xf>
    <xf numFmtId="0" fontId="0" fillId="0" borderId="54" xfId="39" applyFont="1" applyBorder="1">
      <alignment/>
      <protection/>
    </xf>
    <xf numFmtId="0" fontId="0" fillId="0" borderId="55" xfId="39" applyFont="1" applyBorder="1">
      <alignment/>
      <protection/>
    </xf>
    <xf numFmtId="0" fontId="0" fillId="0" borderId="55" xfId="39" applyFont="1" applyBorder="1" applyAlignment="1">
      <alignment horizontal="center"/>
      <protection/>
    </xf>
    <xf numFmtId="0" fontId="0" fillId="0" borderId="56" xfId="39" applyFont="1" applyBorder="1" applyAlignment="1">
      <alignment horizontal="center"/>
      <protection/>
    </xf>
    <xf numFmtId="0" fontId="0" fillId="0" borderId="46" xfId="39" applyFont="1" applyBorder="1" applyAlignment="1">
      <alignment horizontal="center"/>
      <protection/>
    </xf>
    <xf numFmtId="0" fontId="0" fillId="0" borderId="57" xfId="39" applyFont="1" applyBorder="1" applyAlignment="1">
      <alignment horizontal="center"/>
      <protection/>
    </xf>
    <xf numFmtId="0" fontId="0" fillId="0" borderId="58" xfId="39" applyFont="1" applyBorder="1" applyAlignment="1">
      <alignment horizontal="center"/>
      <protection/>
    </xf>
    <xf numFmtId="0" fontId="0" fillId="0" borderId="59" xfId="39" applyFont="1" applyBorder="1" applyAlignment="1">
      <alignment horizontal="center"/>
      <protection/>
    </xf>
    <xf numFmtId="5" fontId="44" fillId="0" borderId="60" xfId="39" applyNumberFormat="1" applyFont="1" applyFill="1" applyBorder="1" applyProtection="1">
      <alignment/>
      <protection/>
    </xf>
    <xf numFmtId="10" fontId="0" fillId="0" borderId="60" xfId="39" applyNumberFormat="1" applyFont="1" applyBorder="1" applyProtection="1">
      <alignment/>
      <protection/>
    </xf>
    <xf numFmtId="0" fontId="0" fillId="0" borderId="0" xfId="39" applyFont="1" applyFill="1" applyBorder="1" applyAlignment="1">
      <alignment horizontal="center"/>
      <protection/>
    </xf>
    <xf numFmtId="186" fontId="20" fillId="0" borderId="0" xfId="0" applyNumberFormat="1" applyFont="1"/>
    <xf numFmtId="0" fontId="0" fillId="0" borderId="0" xfId="0"/>
    <xf numFmtId="0" fontId="0" fillId="0" borderId="0" xfId="0"/>
    <xf numFmtId="171" fontId="15" fillId="0" borderId="61" xfId="15" applyNumberFormat="1" applyFont="1" applyBorder="1"/>
    <xf numFmtId="7" fontId="15" fillId="0" borderId="62" xfId="101" applyNumberFormat="1" applyFont="1" applyBorder="1">
      <alignment/>
      <protection/>
    </xf>
    <xf numFmtId="7" fontId="0" fillId="0" borderId="0" xfId="16" applyNumberFormat="1" applyFont="1"/>
    <xf numFmtId="7" fontId="77" fillId="0" borderId="0" xfId="16" applyNumberFormat="1" applyFont="1"/>
    <xf numFmtId="7" fontId="0" fillId="0" borderId="62" xfId="16" applyNumberFormat="1" applyFont="1" applyBorder="1"/>
    <xf numFmtId="7" fontId="0" fillId="0" borderId="62" xfId="101" applyNumberFormat="1" applyBorder="1">
      <alignment/>
      <protection/>
    </xf>
    <xf numFmtId="0" fontId="0" fillId="0" borderId="0" xfId="101">
      <alignment/>
      <protection/>
    </xf>
    <xf numFmtId="0" fontId="15" fillId="0" borderId="0" xfId="101" applyFont="1">
      <alignment/>
      <protection/>
    </xf>
    <xf numFmtId="7" fontId="15" fillId="0" borderId="0" xfId="101" applyNumberFormat="1" applyFont="1">
      <alignment/>
      <protection/>
    </xf>
    <xf numFmtId="7" fontId="0" fillId="0" borderId="0" xfId="101" applyNumberFormat="1">
      <alignment/>
      <protection/>
    </xf>
    <xf numFmtId="44" fontId="0" fillId="0" borderId="0" xfId="16" applyFont="1"/>
    <xf numFmtId="193" fontId="0" fillId="0" borderId="0" xfId="16" applyNumberFormat="1" applyFont="1"/>
    <xf numFmtId="44" fontId="0" fillId="0" borderId="62" xfId="16" applyFont="1" applyBorder="1"/>
    <xf numFmtId="193" fontId="77" fillId="0" borderId="0" xfId="16" applyNumberFormat="1" applyFont="1"/>
    <xf numFmtId="171" fontId="15" fillId="0" borderId="0" xfId="15" applyNumberFormat="1" applyFont="1"/>
    <xf numFmtId="0" fontId="0" fillId="0" borderId="62" xfId="101" applyBorder="1">
      <alignment/>
      <protection/>
    </xf>
    <xf numFmtId="0" fontId="79" fillId="0" borderId="0" xfId="101" applyFont="1">
      <alignment/>
      <protection/>
    </xf>
    <xf numFmtId="0" fontId="15" fillId="0" borderId="0" xfId="0" applyFont="1" applyAlignment="1">
      <alignment horizontal="center"/>
    </xf>
    <xf numFmtId="176" fontId="23" fillId="0" borderId="0" xfId="0" applyNumberFormat="1" applyFont="1" applyAlignment="1">
      <alignment horizontal="center"/>
    </xf>
    <xf numFmtId="166" fontId="15" fillId="0" borderId="0" xfId="0" applyNumberFormat="1" applyFont="1" applyAlignment="1">
      <alignment horizontal="right"/>
    </xf>
    <xf numFmtId="166" fontId="15" fillId="0" borderId="0" xfId="0" applyNumberFormat="1" applyFont="1" applyBorder="1"/>
    <xf numFmtId="166" fontId="0" fillId="0" borderId="0" xfId="0" applyNumberFormat="1" applyFont="1" applyAlignment="1">
      <alignment horizontal="right"/>
    </xf>
    <xf numFmtId="166" fontId="15" fillId="0" borderId="0" xfId="0" applyNumberFormat="1" applyFont="1" applyFill="1"/>
    <xf numFmtId="169" fontId="0" fillId="0" borderId="0" xfId="16" applyNumberFormat="1" applyFont="1"/>
    <xf numFmtId="169" fontId="0" fillId="0" borderId="0" xfId="16" applyNumberFormat="1" applyFont="1" applyFill="1"/>
    <xf numFmtId="0" fontId="0" fillId="0" borderId="0" xfId="744" applyFont="1" applyAlignment="1">
      <alignment/>
      <protection/>
    </xf>
    <xf numFmtId="0" fontId="0" fillId="0" borderId="0" xfId="744" applyFont="1" applyAlignment="1">
      <alignment horizontal="left"/>
      <protection/>
    </xf>
    <xf numFmtId="171" fontId="0" fillId="0" borderId="0" xfId="15" applyNumberFormat="1" applyFont="1"/>
    <xf numFmtId="0" fontId="0" fillId="0" borderId="0" xfId="0"/>
    <xf numFmtId="0" fontId="0" fillId="0" borderId="0" xfId="0"/>
    <xf numFmtId="0" fontId="0" fillId="0" borderId="0" xfId="0"/>
    <xf numFmtId="0" fontId="0" fillId="0" borderId="0" xfId="0"/>
    <xf numFmtId="170" fontId="46" fillId="0" borderId="0" xfId="0" applyNumberFormat="1" applyFont="1"/>
    <xf numFmtId="37" fontId="83" fillId="0" borderId="0" xfId="0" applyNumberFormat="1" applyFont="1" applyFill="1"/>
    <xf numFmtId="0" fontId="0" fillId="0" borderId="0" xfId="0"/>
    <xf numFmtId="0" fontId="0" fillId="0" borderId="0" xfId="0" applyAlignment="1">
      <alignment horizontal="center"/>
    </xf>
    <xf numFmtId="164" fontId="0" fillId="0" borderId="0" xfId="0" applyNumberFormat="1"/>
    <xf numFmtId="0" fontId="29" fillId="0" borderId="0" xfId="0" applyFont="1"/>
    <xf numFmtId="188" fontId="0" fillId="0" borderId="0" xfId="20" applyNumberFormat="1" applyAlignment="1">
      <alignment horizontal="center"/>
      <protection/>
    </xf>
    <xf numFmtId="9" fontId="0" fillId="0" borderId="0" xfId="15" applyFont="1"/>
    <xf numFmtId="9" fontId="0" fillId="0" borderId="0" xfId="0" applyNumberFormat="1"/>
    <xf numFmtId="164" fontId="0" fillId="22" borderId="0" xfId="18" applyNumberFormat="1" applyFill="1"/>
    <xf numFmtId="164" fontId="0" fillId="22" borderId="0" xfId="27" applyNumberFormat="1" applyFont="1" applyFill="1" applyBorder="1"/>
    <xf numFmtId="164" fontId="0" fillId="21" borderId="0" xfId="27" applyNumberFormat="1" applyFont="1" applyFill="1" applyBorder="1"/>
    <xf numFmtId="0" fontId="0" fillId="63" borderId="0" xfId="0" applyFill="1"/>
    <xf numFmtId="0" fontId="0" fillId="0" borderId="0" xfId="0"/>
    <xf numFmtId="0" fontId="15" fillId="0" borderId="0" xfId="0" applyFont="1" applyAlignment="1">
      <alignment horizontal="center"/>
    </xf>
    <xf numFmtId="193" fontId="15" fillId="0" borderId="0" xfId="16" applyNumberFormat="1" applyFont="1"/>
    <xf numFmtId="0" fontId="15" fillId="0" borderId="0" xfId="0" applyFont="1" applyAlignment="1">
      <alignment horizontal="center"/>
    </xf>
    <xf numFmtId="0" fontId="0" fillId="0" borderId="0" xfId="0"/>
    <xf numFmtId="164" fontId="25" fillId="0" borderId="0" xfId="31" applyNumberFormat="1" applyFont="1" applyFill="1"/>
    <xf numFmtId="164" fontId="25" fillId="0" borderId="0" xfId="31" applyNumberFormat="1" applyFont="1"/>
    <xf numFmtId="3" fontId="25" fillId="0" borderId="0" xfId="101" applyNumberFormat="1" applyFont="1" applyFill="1">
      <alignment/>
      <protection/>
    </xf>
    <xf numFmtId="3" fontId="25" fillId="0" borderId="0" xfId="101" applyNumberFormat="1" applyFont="1">
      <alignment/>
      <protection/>
    </xf>
    <xf numFmtId="3" fontId="25" fillId="0" borderId="0" xfId="101" applyNumberFormat="1" applyFont="1">
      <alignment/>
      <protection/>
    </xf>
    <xf numFmtId="3" fontId="25" fillId="0" borderId="0" xfId="101" applyNumberFormat="1" applyFont="1">
      <alignment/>
      <protection/>
    </xf>
    <xf numFmtId="3" fontId="25" fillId="0" borderId="0" xfId="101" applyNumberFormat="1" applyFont="1">
      <alignment/>
      <protection/>
    </xf>
    <xf numFmtId="3" fontId="25" fillId="0" borderId="0" xfId="101" applyNumberFormat="1" applyFont="1">
      <alignment/>
      <protection/>
    </xf>
    <xf numFmtId="3" fontId="25" fillId="0" borderId="0" xfId="101" applyNumberFormat="1" applyFont="1">
      <alignment/>
      <protection/>
    </xf>
    <xf numFmtId="164" fontId="25" fillId="0" borderId="0" xfId="4527" applyNumberFormat="1" applyFont="1" applyFill="1"/>
    <xf numFmtId="164" fontId="25" fillId="0" borderId="0" xfId="4527" applyNumberFormat="1" applyFont="1"/>
    <xf numFmtId="164" fontId="31" fillId="65" borderId="0" xfId="4527" applyNumberFormat="1" applyFont="1" applyFill="1"/>
    <xf numFmtId="164" fontId="31" fillId="3" borderId="0" xfId="4527" applyNumberFormat="1" applyFont="1" applyFill="1"/>
    <xf numFmtId="188" fontId="0" fillId="0" borderId="0" xfId="20" applyNumberFormat="1" applyAlignment="1">
      <alignment horizontal="center"/>
      <protection/>
    </xf>
    <xf numFmtId="164" fontId="31" fillId="0" borderId="0" xfId="4527" applyNumberFormat="1" applyFont="1" applyFill="1"/>
    <xf numFmtId="164" fontId="31" fillId="0" borderId="0" xfId="4527" applyNumberFormat="1" applyFont="1"/>
    <xf numFmtId="0" fontId="44" fillId="0" borderId="63" xfId="0" applyFont="1" applyBorder="1"/>
    <xf numFmtId="0" fontId="0" fillId="0" borderId="37" xfId="39" applyFont="1" applyBorder="1" applyAlignment="1">
      <alignment horizontal="center"/>
      <protection/>
    </xf>
    <xf numFmtId="0" fontId="0" fillId="0" borderId="1" xfId="0" applyBorder="1"/>
    <xf numFmtId="0" fontId="0" fillId="0" borderId="64" xfId="0" applyBorder="1"/>
    <xf numFmtId="0" fontId="0" fillId="0" borderId="65" xfId="39" applyFont="1" applyFill="1" applyBorder="1" applyAlignment="1">
      <alignment horizontal="left"/>
      <protection/>
    </xf>
    <xf numFmtId="0" fontId="0" fillId="0" borderId="64" xfId="39" applyFont="1" applyFill="1" applyBorder="1" applyAlignment="1">
      <alignment horizontal="center"/>
      <protection/>
    </xf>
    <xf numFmtId="0" fontId="0" fillId="0" borderId="0" xfId="0"/>
    <xf numFmtId="170" fontId="0" fillId="0" borderId="0" xfId="0" applyNumberFormat="1"/>
    <xf numFmtId="0" fontId="0" fillId="0" borderId="0" xfId="0" applyAlignment="1">
      <alignment horizontal="right"/>
    </xf>
    <xf numFmtId="168" fontId="0" fillId="0" borderId="0" xfId="0" applyNumberFormat="1"/>
    <xf numFmtId="0" fontId="25" fillId="0" borderId="0" xfId="0" applyFont="1" applyAlignment="1">
      <alignment horizontal="center"/>
    </xf>
    <xf numFmtId="170" fontId="25" fillId="0" borderId="0" xfId="0" applyNumberFormat="1" applyFont="1" applyFill="1"/>
    <xf numFmtId="0" fontId="0" fillId="0" borderId="0" xfId="0" applyBorder="1"/>
    <xf numFmtId="0" fontId="0" fillId="0" borderId="0" xfId="0" applyFont="1" applyAlignment="1">
      <alignment horizontal="center"/>
    </xf>
    <xf numFmtId="174" fontId="0" fillId="0" borderId="0" xfId="0" applyNumberFormat="1" applyFont="1" applyFill="1"/>
    <xf numFmtId="174" fontId="0" fillId="0" borderId="0" xfId="0" applyNumberFormat="1"/>
    <xf numFmtId="0" fontId="15" fillId="0" borderId="0" xfId="0" applyFont="1" applyFill="1" applyBorder="1" applyAlignment="1">
      <alignment horizontal="center"/>
    </xf>
    <xf numFmtId="44" fontId="0" fillId="0" borderId="0" xfId="16" applyFont="1"/>
    <xf numFmtId="186" fontId="15" fillId="0" borderId="66" xfId="15" applyNumberFormat="1" applyFont="1" applyBorder="1"/>
    <xf numFmtId="0" fontId="0" fillId="0" borderId="57" xfId="39" applyFont="1" applyFill="1" applyBorder="1" applyAlignment="1">
      <alignment horizontal="left"/>
      <protection/>
    </xf>
    <xf numFmtId="174" fontId="44" fillId="0" borderId="0" xfId="101" applyNumberFormat="1" applyFont="1" applyFill="1">
      <alignment/>
      <protection/>
    </xf>
    <xf numFmtId="164" fontId="44" fillId="0" borderId="0" xfId="18" applyNumberFormat="1" applyFont="1" applyAlignment="1">
      <alignment horizontal="center"/>
    </xf>
    <xf numFmtId="0" fontId="0" fillId="0" borderId="0" xfId="39" applyFont="1" applyFill="1" applyBorder="1" applyAlignment="1">
      <alignment horizontal="center"/>
      <protection/>
    </xf>
    <xf numFmtId="186" fontId="20" fillId="0" borderId="52" xfId="39" applyNumberFormat="1" applyFont="1" applyBorder="1" applyAlignment="1" applyProtection="1">
      <alignment vertical="center"/>
      <protection/>
    </xf>
    <xf numFmtId="0" fontId="0" fillId="0" borderId="0" xfId="0"/>
    <xf numFmtId="193" fontId="0" fillId="0" borderId="0" xfId="16" applyNumberFormat="1" applyFont="1" applyFill="1"/>
    <xf numFmtId="0" fontId="15" fillId="0" borderId="0" xfId="0" applyFont="1" applyAlignment="1">
      <alignment horizontal="center"/>
    </xf>
    <xf numFmtId="0" fontId="0" fillId="0" borderId="0" xfId="0"/>
    <xf numFmtId="0" fontId="0" fillId="0" borderId="0" xfId="0"/>
    <xf numFmtId="193" fontId="15" fillId="0" borderId="0" xfId="16" applyNumberFormat="1" applyFont="1" applyFill="1"/>
    <xf numFmtId="0" fontId="20" fillId="0" borderId="34" xfId="39" applyFont="1" applyBorder="1" applyAlignment="1">
      <alignment horizontal="centerContinuous" vertical="center"/>
      <protection/>
    </xf>
    <xf numFmtId="0" fontId="52" fillId="0" borderId="35" xfId="39" applyFont="1" applyBorder="1" applyAlignment="1">
      <alignment horizontal="centerContinuous" vertical="center"/>
      <protection/>
    </xf>
    <xf numFmtId="0" fontId="52" fillId="0" borderId="36" xfId="39" applyFont="1" applyBorder="1" applyAlignment="1">
      <alignment horizontal="centerContinuous" vertical="center"/>
      <protection/>
    </xf>
    <xf numFmtId="186" fontId="20" fillId="0" borderId="52" xfId="39" applyNumberFormat="1" applyFont="1" applyBorder="1" applyAlignment="1" applyProtection="1">
      <alignment vertical="center"/>
      <protection/>
    </xf>
    <xf numFmtId="0" fontId="0" fillId="0" borderId="0" xfId="0" applyFill="1" quotePrefix="1"/>
    <xf numFmtId="182" fontId="0" fillId="0" borderId="0" xfId="0" applyNumberFormat="1" applyFont="1" applyAlignment="1" quotePrefix="1">
      <alignment horizontal="right"/>
    </xf>
    <xf numFmtId="182" fontId="0" fillId="0" borderId="0" xfId="0" applyNumberFormat="1" applyFont="1" applyAlignment="1" quotePrefix="1">
      <alignment horizontal="left"/>
    </xf>
    <xf numFmtId="186" fontId="0" fillId="0" borderId="38" xfId="39" applyNumberFormat="1" applyFont="1" applyBorder="1" applyProtection="1">
      <alignment/>
      <protection/>
    </xf>
    <xf numFmtId="5" fontId="15" fillId="0" borderId="0" xfId="0" applyNumberFormat="1" applyFont="1" applyAlignment="1">
      <alignment horizontal="center"/>
    </xf>
    <xf numFmtId="0" fontId="20" fillId="0" borderId="0" xfId="0" applyFont="1" applyAlignment="1">
      <alignment horizontal="left"/>
    </xf>
    <xf numFmtId="164" fontId="0" fillId="0" borderId="0" xfId="18" applyNumberFormat="1" applyFont="1" applyFill="1"/>
    <xf numFmtId="0" fontId="0" fillId="0" borderId="0" xfId="0"/>
    <xf numFmtId="0" fontId="0" fillId="0" borderId="0" xfId="0"/>
    <xf numFmtId="10" fontId="31" fillId="63" borderId="0" xfId="0" applyNumberFormat="1" applyFont="1" applyFill="1"/>
    <xf numFmtId="0" fontId="156" fillId="0" borderId="0" xfId="0" applyFont="1"/>
    <xf numFmtId="164" fontId="26" fillId="0" borderId="0" xfId="18" applyNumberFormat="1" applyFont="1" applyFill="1"/>
    <xf numFmtId="44" fontId="15" fillId="0" borderId="0" xfId="0" applyNumberFormat="1" applyFont="1"/>
    <xf numFmtId="0" fontId="0" fillId="0" borderId="0" xfId="0"/>
    <xf numFmtId="174" fontId="44" fillId="0" borderId="0" xfId="0" applyNumberFormat="1" applyFont="1" applyFill="1"/>
    <xf numFmtId="0" fontId="156" fillId="0" borderId="0" xfId="0" applyFont="1" applyAlignment="1">
      <alignment horizontal="right"/>
    </xf>
    <xf numFmtId="0" fontId="157" fillId="0" borderId="0" xfId="0" applyFont="1" applyAlignment="1">
      <alignment horizontal="center"/>
    </xf>
    <xf numFmtId="174" fontId="77" fillId="0" borderId="0" xfId="101" applyNumberFormat="1" applyFont="1" applyFill="1">
      <alignment/>
      <protection/>
    </xf>
    <xf numFmtId="193" fontId="44" fillId="0" borderId="0" xfId="16" applyNumberFormat="1" applyFont="1" applyFill="1"/>
    <xf numFmtId="171" fontId="0" fillId="0" borderId="0" xfId="0" applyNumberFormat="1" applyFill="1"/>
    <xf numFmtId="175" fontId="0" fillId="0" borderId="0" xfId="0" applyNumberFormat="1" applyFont="1"/>
    <xf numFmtId="0" fontId="0" fillId="0" borderId="0" xfId="0"/>
    <xf numFmtId="169" fontId="0" fillId="0" borderId="32" xfId="0" applyNumberFormat="1" applyBorder="1"/>
    <xf numFmtId="193" fontId="44" fillId="0" borderId="0" xfId="16" applyNumberFormat="1" applyFont="1"/>
    <xf numFmtId="5" fontId="44" fillId="0" borderId="38" xfId="39" applyNumberFormat="1" applyFont="1" applyFill="1" applyBorder="1" applyProtection="1">
      <alignment/>
      <protection/>
    </xf>
    <xf numFmtId="0" fontId="44" fillId="0" borderId="63" xfId="0" applyFont="1" applyFill="1" applyBorder="1"/>
    <xf numFmtId="0" fontId="23" fillId="0" borderId="0" xfId="0" applyFont="1" applyFill="1"/>
    <xf numFmtId="0" fontId="0" fillId="0" borderId="0" xfId="101" applyFill="1">
      <alignment/>
      <protection/>
    </xf>
    <xf numFmtId="0" fontId="23" fillId="0" borderId="0" xfId="101" applyFont="1" applyFill="1">
      <alignment/>
      <protection/>
    </xf>
    <xf numFmtId="0" fontId="0" fillId="0" borderId="0" xfId="39" applyFont="1" applyFill="1" applyBorder="1" applyAlignment="1">
      <alignment horizontal="left"/>
      <protection/>
    </xf>
    <xf numFmtId="0" fontId="0" fillId="0" borderId="67" xfId="101" applyFill="1" applyBorder="1">
      <alignment/>
      <protection/>
    </xf>
    <xf numFmtId="0" fontId="0" fillId="0" borderId="0" xfId="0"/>
    <xf numFmtId="168" fontId="156" fillId="0" borderId="0" xfId="0" applyNumberFormat="1" applyFont="1"/>
    <xf numFmtId="174" fontId="158" fillId="0" borderId="0" xfId="0" applyNumberFormat="1" applyFont="1" applyFill="1"/>
    <xf numFmtId="174" fontId="156" fillId="0" borderId="0" xfId="0" applyNumberFormat="1" applyFont="1" applyFill="1"/>
    <xf numFmtId="0" fontId="47" fillId="0" borderId="0" xfId="20" applyFont="1" applyFill="1" applyProtection="1">
      <alignment/>
      <protection hidden="1"/>
    </xf>
    <xf numFmtId="0" fontId="47" fillId="0" borderId="0" xfId="0" applyFont="1"/>
    <xf numFmtId="169" fontId="0" fillId="0" borderId="0" xfId="16" applyNumberFormat="1" applyFont="1" applyBorder="1"/>
    <xf numFmtId="10" fontId="15" fillId="0" borderId="0" xfId="15" applyNumberFormat="1" applyFont="1"/>
    <xf numFmtId="164" fontId="0" fillId="0" borderId="0" xfId="18" applyNumberFormat="1" applyFont="1" applyAlignment="1">
      <alignment horizontal="right"/>
    </xf>
    <xf numFmtId="164" fontId="0" fillId="0" borderId="0" xfId="18" applyNumberFormat="1" applyFont="1" quotePrefix="1"/>
    <xf numFmtId="44" fontId="0" fillId="0" borderId="0" xfId="0" applyNumberFormat="1"/>
    <xf numFmtId="0" fontId="0" fillId="0" borderId="0" xfId="0"/>
    <xf numFmtId="0" fontId="0" fillId="0" borderId="0" xfId="0"/>
    <xf numFmtId="174" fontId="77" fillId="0" borderId="0" xfId="0" applyNumberFormat="1" applyFont="1" applyFill="1"/>
    <xf numFmtId="164" fontId="25" fillId="66" borderId="0" xfId="31" applyNumberFormat="1" applyFont="1" applyFill="1"/>
    <xf numFmtId="164" fontId="25" fillId="66" borderId="0" xfId="4527" applyNumberFormat="1" applyFont="1" applyFill="1"/>
    <xf numFmtId="164" fontId="31" fillId="65" borderId="0" xfId="31" applyNumberFormat="1" applyFont="1" applyFill="1"/>
    <xf numFmtId="164" fontId="31" fillId="3" borderId="0" xfId="31" applyNumberFormat="1" applyFont="1" applyFill="1"/>
    <xf numFmtId="164" fontId="31" fillId="66" borderId="0" xfId="4527" applyNumberFormat="1" applyFont="1" applyFill="1"/>
    <xf numFmtId="0" fontId="0" fillId="0" borderId="0" xfId="0"/>
    <xf numFmtId="0" fontId="0" fillId="0" borderId="0" xfId="0"/>
    <xf numFmtId="5" fontId="0" fillId="0" borderId="0" xfId="0" applyNumberFormat="1" applyFont="1" applyFill="1" applyAlignment="1">
      <alignment horizontal="center"/>
    </xf>
    <xf numFmtId="3" fontId="11" fillId="0" borderId="0" xfId="0" applyNumberFormat="1" applyFont="1" applyFill="1" applyBorder="1"/>
    <xf numFmtId="164" fontId="11" fillId="0" borderId="0" xfId="18" applyNumberFormat="1" applyFont="1" applyFill="1" applyBorder="1"/>
    <xf numFmtId="3" fontId="9" fillId="0" borderId="0" xfId="0" applyNumberFormat="1" applyFont="1" applyFill="1"/>
    <xf numFmtId="164" fontId="14" fillId="0" borderId="0" xfId="18" applyNumberFormat="1" applyFont="1" applyFill="1"/>
    <xf numFmtId="37" fontId="0" fillId="0" borderId="0" xfId="0" applyNumberFormat="1"/>
    <xf numFmtId="0" fontId="0" fillId="0" borderId="18" xfId="0" applyFont="1" applyFill="1" applyBorder="1" applyAlignment="1">
      <alignment horizontal="center"/>
    </xf>
    <xf numFmtId="0" fontId="15" fillId="0" borderId="18" xfId="0" applyFont="1" applyFill="1" applyBorder="1" applyAlignment="1">
      <alignment horizontal="center"/>
    </xf>
    <xf numFmtId="0" fontId="0" fillId="0" borderId="0" xfId="0" applyFont="1" applyFill="1"/>
    <xf numFmtId="5" fontId="23" fillId="0" borderId="0" xfId="20" applyNumberFormat="1" applyFont="1" applyAlignment="1">
      <alignment horizontal="center"/>
      <protection/>
    </xf>
    <xf numFmtId="5" fontId="23" fillId="0" borderId="0" xfId="0" applyNumberFormat="1" applyFont="1" applyFill="1" applyAlignment="1">
      <alignment horizontal="center"/>
    </xf>
    <xf numFmtId="0" fontId="0" fillId="0" borderId="0" xfId="0"/>
    <xf numFmtId="5" fontId="15" fillId="0" borderId="0" xfId="0" applyNumberFormat="1" applyFont="1" applyAlignment="1">
      <alignment horizontal="center"/>
    </xf>
    <xf numFmtId="0" fontId="0" fillId="0" borderId="0" xfId="0"/>
    <xf numFmtId="171" fontId="0" fillId="0" borderId="0" xfId="15" applyNumberFormat="1" applyFont="1" applyAlignment="1">
      <alignment horizontal="center"/>
    </xf>
    <xf numFmtId="10" fontId="0" fillId="0" borderId="0" xfId="15" applyNumberFormat="1" applyFont="1" applyAlignment="1">
      <alignment horizontal="center"/>
    </xf>
    <xf numFmtId="5" fontId="0" fillId="0" borderId="18" xfId="0" applyNumberFormat="1" applyFont="1" applyFill="1" applyBorder="1" applyAlignment="1">
      <alignment horizontal="center"/>
    </xf>
    <xf numFmtId="182" fontId="0" fillId="0" borderId="0" xfId="0" applyNumberFormat="1" applyFont="1" applyFill="1" applyAlignment="1" quotePrefix="1">
      <alignment horizontal="left"/>
    </xf>
    <xf numFmtId="0" fontId="0" fillId="0" borderId="0" xfId="0" applyFont="1" applyFill="1" applyAlignment="1">
      <alignment horizontal="center"/>
    </xf>
    <xf numFmtId="171" fontId="2" fillId="0" borderId="0" xfId="15" applyNumberFormat="1" applyFont="1"/>
    <xf numFmtId="0" fontId="0" fillId="0" borderId="0" xfId="0"/>
    <xf numFmtId="43" fontId="2" fillId="0" borderId="0" xfId="0" applyNumberFormat="1" applyFont="1"/>
    <xf numFmtId="0" fontId="47" fillId="0" borderId="0" xfId="20" applyFont="1" applyAlignment="1" quotePrefix="1">
      <alignment horizontal="left"/>
      <protection/>
    </xf>
    <xf numFmtId="0" fontId="47" fillId="0" borderId="0" xfId="20" applyFont="1" applyFill="1" applyAlignment="1" quotePrefix="1">
      <alignment horizontal="left"/>
      <protection/>
    </xf>
    <xf numFmtId="0" fontId="47" fillId="0" borderId="0" xfId="20" applyFont="1">
      <alignment/>
      <protection/>
    </xf>
    <xf numFmtId="0" fontId="47" fillId="0" borderId="0" xfId="20" applyFont="1" applyAlignment="1">
      <alignment horizontal="left"/>
      <protection/>
    </xf>
    <xf numFmtId="0" fontId="47" fillId="0" borderId="0" xfId="20" applyFont="1" applyFill="1" applyAlignment="1">
      <alignment horizontal="left"/>
      <protection/>
    </xf>
    <xf numFmtId="0" fontId="0" fillId="0" borderId="0" xfId="0"/>
    <xf numFmtId="0" fontId="0" fillId="0" borderId="0" xfId="0"/>
    <xf numFmtId="164" fontId="19" fillId="0" borderId="0" xfId="18" applyNumberFormat="1" applyFont="1" applyFill="1"/>
    <xf numFmtId="164" fontId="44" fillId="65" borderId="0" xfId="31" applyNumberFormat="1" applyFont="1" applyFill="1" applyBorder="1"/>
    <xf numFmtId="164" fontId="44" fillId="65" borderId="68" xfId="31" applyNumberFormat="1" applyFont="1" applyFill="1" applyBorder="1"/>
    <xf numFmtId="16" fontId="0" fillId="0" borderId="0" xfId="0" applyNumberFormat="1"/>
    <xf numFmtId="0" fontId="0" fillId="0" borderId="0" xfId="0"/>
    <xf numFmtId="37" fontId="26" fillId="0" borderId="0" xfId="0" applyNumberFormat="1" applyFont="1" applyFill="1"/>
    <xf numFmtId="0" fontId="0" fillId="0" borderId="0" xfId="0"/>
    <xf numFmtId="0" fontId="0" fillId="0" borderId="0" xfId="0"/>
    <xf numFmtId="171" fontId="15" fillId="0" borderId="0" xfId="15" applyNumberFormat="1" applyFont="1" applyFill="1"/>
    <xf numFmtId="175" fontId="156" fillId="0" borderId="0" xfId="0" applyNumberFormat="1" applyFont="1"/>
    <xf numFmtId="174" fontId="158" fillId="0" borderId="0" xfId="101" applyNumberFormat="1" applyFont="1" applyFill="1">
      <alignment/>
      <protection/>
    </xf>
    <xf numFmtId="170" fontId="156" fillId="0" borderId="0" xfId="0" applyNumberFormat="1" applyFont="1"/>
    <xf numFmtId="174" fontId="156" fillId="0" borderId="0" xfId="0" applyNumberFormat="1" applyFont="1"/>
    <xf numFmtId="7" fontId="0" fillId="0" borderId="0" xfId="16" applyNumberFormat="1" applyFont="1"/>
    <xf numFmtId="178" fontId="0" fillId="0" borderId="0" xfId="0" applyNumberFormat="1" applyFill="1"/>
    <xf numFmtId="3" fontId="25" fillId="0" borderId="0" xfId="0" applyNumberFormat="1" applyFont="1" applyFill="1"/>
    <xf numFmtId="164" fontId="158" fillId="0" borderId="0" xfId="18" applyNumberFormat="1" applyFont="1" applyAlignment="1">
      <alignment horizontal="center"/>
    </xf>
    <xf numFmtId="170" fontId="157" fillId="0" borderId="0" xfId="0" applyNumberFormat="1" applyFont="1" applyFill="1"/>
    <xf numFmtId="44" fontId="156" fillId="0" borderId="0" xfId="16" applyFont="1"/>
    <xf numFmtId="0" fontId="157" fillId="0" borderId="0" xfId="0" applyFont="1" applyFill="1" applyAlignment="1">
      <alignment horizontal="center"/>
    </xf>
    <xf numFmtId="168" fontId="156" fillId="0" borderId="0" xfId="0" applyNumberFormat="1" applyFont="1" applyFill="1"/>
    <xf numFmtId="0" fontId="156" fillId="0" borderId="0" xfId="0" applyFont="1" applyFill="1"/>
    <xf numFmtId="0" fontId="156" fillId="0" borderId="0" xfId="0" applyFont="1" applyFill="1" applyAlignment="1">
      <alignment horizontal="right"/>
    </xf>
    <xf numFmtId="174" fontId="159" fillId="0" borderId="0" xfId="0" applyNumberFormat="1" applyFont="1" applyFill="1"/>
    <xf numFmtId="0" fontId="160" fillId="0" borderId="0" xfId="0" applyFont="1"/>
    <xf numFmtId="3" fontId="44" fillId="0" borderId="0" xfId="101" applyNumberFormat="1" applyFont="1" applyFill="1">
      <alignment/>
      <protection/>
    </xf>
    <xf numFmtId="0" fontId="0" fillId="0" borderId="0" xfId="0" applyBorder="1" applyAlignment="1">
      <alignment horizontal="right"/>
    </xf>
    <xf numFmtId="176" fontId="0" fillId="0" borderId="0" xfId="0" applyNumberFormat="1" applyBorder="1"/>
    <xf numFmtId="175" fontId="0" fillId="0" borderId="0" xfId="0" applyNumberFormat="1" applyFont="1" applyBorder="1"/>
    <xf numFmtId="175" fontId="0" fillId="0" borderId="0" xfId="0" applyNumberFormat="1" applyFont="1" applyFill="1"/>
    <xf numFmtId="0" fontId="23" fillId="0" borderId="0" xfId="0" applyFont="1" applyFill="1" applyBorder="1"/>
    <xf numFmtId="176" fontId="0" fillId="0" borderId="0" xfId="0" applyNumberFormat="1" applyFill="1" applyBorder="1"/>
    <xf numFmtId="175" fontId="0" fillId="0" borderId="0" xfId="0" applyNumberFormat="1" applyFont="1" applyFill="1" applyBorder="1"/>
    <xf numFmtId="175" fontId="0" fillId="0" borderId="0" xfId="0" applyNumberFormat="1" applyFill="1" applyBorder="1"/>
    <xf numFmtId="193" fontId="161" fillId="0" borderId="0" xfId="16" applyNumberFormat="1" applyFont="1"/>
    <xf numFmtId="1" fontId="0" fillId="0" borderId="0" xfId="0" applyNumberFormat="1"/>
    <xf numFmtId="164" fontId="0" fillId="0" borderId="0" xfId="0" applyNumberFormat="1" applyFill="1" applyAlignment="1">
      <alignment vertical="justify"/>
    </xf>
    <xf numFmtId="0" fontId="0" fillId="0" borderId="0" xfId="0"/>
    <xf numFmtId="165" fontId="31" fillId="45" borderId="0" xfId="0" applyNumberFormat="1" applyFont="1" applyFill="1"/>
    <xf numFmtId="0" fontId="0" fillId="0" borderId="0" xfId="20" applyFont="1" applyFill="1" applyProtection="1">
      <alignment/>
      <protection hidden="1"/>
    </xf>
    <xf numFmtId="43" fontId="0" fillId="0" borderId="0" xfId="18" applyNumberFormat="1" applyFont="1" applyFill="1"/>
    <xf numFmtId="0" fontId="0" fillId="0" borderId="0" xfId="0"/>
    <xf numFmtId="0" fontId="15" fillId="0" borderId="0" xfId="0" applyFont="1" applyFill="1"/>
    <xf numFmtId="0" fontId="0" fillId="0" borderId="18" xfId="0"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193" fontId="0" fillId="0" borderId="0" xfId="16" applyNumberFormat="1" applyFont="1"/>
    <xf numFmtId="193" fontId="0" fillId="0" borderId="0" xfId="0" applyNumberFormat="1"/>
    <xf numFmtId="169" fontId="0" fillId="0" borderId="0" xfId="16" applyNumberFormat="1" applyFont="1" applyFill="1"/>
    <xf numFmtId="238" fontId="0" fillId="0" borderId="0" xfId="0" applyNumberFormat="1"/>
    <xf numFmtId="169" fontId="0" fillId="0" borderId="0" xfId="15" applyNumberFormat="1" applyFont="1"/>
    <xf numFmtId="44" fontId="0" fillId="0" borderId="0" xfId="16" applyFont="1" applyFill="1"/>
    <xf numFmtId="44" fontId="0" fillId="0" borderId="0" xfId="0" applyNumberFormat="1" applyFill="1"/>
    <xf numFmtId="10" fontId="0" fillId="0" borderId="0" xfId="15" applyNumberFormat="1" applyFont="1" applyFill="1"/>
    <xf numFmtId="0" fontId="0" fillId="0" borderId="0" xfId="0" applyBorder="1" applyAlignment="1">
      <alignment horizontal="center"/>
    </xf>
    <xf numFmtId="193" fontId="15" fillId="0" borderId="0" xfId="16" applyNumberFormat="1" applyFont="1" applyBorder="1"/>
    <xf numFmtId="10" fontId="15" fillId="0" borderId="0" xfId="15" applyNumberFormat="1" applyFont="1" applyBorder="1"/>
    <xf numFmtId="238" fontId="0" fillId="0" borderId="0" xfId="16" applyNumberFormat="1" applyFont="1" applyFill="1"/>
    <xf numFmtId="171" fontId="0" fillId="0" borderId="0" xfId="0" applyNumberFormat="1" applyAlignment="1">
      <alignment horizontal="center"/>
    </xf>
    <xf numFmtId="10" fontId="23" fillId="0" borderId="0" xfId="15" applyNumberFormat="1" applyFont="1"/>
    <xf numFmtId="0" fontId="82" fillId="0" borderId="0" xfId="0" applyFont="1"/>
    <xf numFmtId="0" fontId="44" fillId="64" borderId="0" xfId="0" applyFont="1" applyFill="1" applyAlignment="1">
      <alignment horizontal="center"/>
    </xf>
    <xf numFmtId="5" fontId="15" fillId="0" borderId="0" xfId="0" applyNumberFormat="1" applyFont="1" applyAlignment="1">
      <alignment horizontal="center"/>
    </xf>
    <xf numFmtId="5" fontId="15" fillId="0" borderId="18" xfId="0" applyNumberFormat="1" applyFont="1" applyBorder="1" applyAlignment="1">
      <alignment horizontal="center"/>
    </xf>
    <xf numFmtId="5" fontId="15" fillId="0" borderId="0" xfId="20" applyNumberFormat="1" applyFont="1" applyAlignment="1">
      <alignment horizontal="center"/>
      <protection/>
    </xf>
    <xf numFmtId="0" fontId="0" fillId="0" borderId="0" xfId="0"/>
    <xf numFmtId="186" fontId="59" fillId="63" borderId="46" xfId="39" applyNumberFormat="1" applyFont="1" applyFill="1" applyBorder="1" applyProtection="1">
      <alignment/>
      <protection/>
    </xf>
    <xf numFmtId="196" fontId="59" fillId="63" borderId="47" xfId="39" applyNumberFormat="1" applyFont="1" applyFill="1" applyBorder="1" applyProtection="1">
      <alignment/>
      <protection/>
    </xf>
    <xf numFmtId="186" fontId="59" fillId="63" borderId="46" xfId="39" applyNumberFormat="1" applyFont="1" applyFill="1" applyBorder="1" applyAlignment="1" applyProtection="1">
      <alignment vertical="top"/>
      <protection/>
    </xf>
    <xf numFmtId="196" fontId="59" fillId="63" borderId="47" xfId="39" applyNumberFormat="1" applyFont="1" applyFill="1" applyBorder="1" applyAlignment="1" applyProtection="1">
      <alignment vertical="top"/>
      <protection/>
    </xf>
    <xf numFmtId="195" fontId="59" fillId="63" borderId="48" xfId="39" applyNumberFormat="1" applyFont="1" applyFill="1" applyBorder="1" applyAlignment="1">
      <alignment horizontal="right"/>
      <protection/>
    </xf>
    <xf numFmtId="5" fontId="44" fillId="63" borderId="38" xfId="39" applyNumberFormat="1" applyFont="1" applyFill="1" applyBorder="1" applyProtection="1">
      <alignment/>
      <protection/>
    </xf>
    <xf numFmtId="0" fontId="44" fillId="63" borderId="63" xfId="0" applyFont="1" applyFill="1" applyBorder="1"/>
    <xf numFmtId="0" fontId="162" fillId="67" borderId="69" xfId="0" applyFont="1" applyFill="1" applyBorder="1" applyAlignment="1">
      <alignment horizontal="left" vertical="top"/>
    </xf>
    <xf numFmtId="239" fontId="164" fillId="68" borderId="70" xfId="0" applyNumberFormat="1" applyFont="1" applyFill="1" applyBorder="1" applyAlignment="1">
      <alignment horizontal="right" vertical="top"/>
    </xf>
    <xf numFmtId="3" fontId="163" fillId="0" borderId="70" xfId="0" applyNumberFormat="1" applyFont="1" applyBorder="1" applyAlignment="1">
      <alignment horizontal="right" vertical="top"/>
    </xf>
    <xf numFmtId="3" fontId="165" fillId="69" borderId="71" xfId="0" applyNumberFormat="1" applyFont="1" applyFill="1" applyBorder="1" applyAlignment="1">
      <alignment horizontal="right" vertical="top"/>
    </xf>
    <xf numFmtId="0" fontId="0" fillId="0" borderId="70" xfId="0" applyBorder="1"/>
    <xf numFmtId="3" fontId="167" fillId="70" borderId="72" xfId="0" applyNumberFormat="1" applyFont="1" applyFill="1" applyBorder="1" applyAlignment="1">
      <alignment horizontal="right" vertical="top"/>
    </xf>
    <xf numFmtId="44" fontId="168" fillId="0" borderId="0" xfId="16" applyFont="1"/>
    <xf numFmtId="44" fontId="169" fillId="0" borderId="0" xfId="16" applyFont="1"/>
    <xf numFmtId="169" fontId="168" fillId="0" borderId="0" xfId="16" applyNumberFormat="1" applyFont="1"/>
    <xf numFmtId="0" fontId="0" fillId="0" borderId="0" xfId="0"/>
    <xf numFmtId="0" fontId="0" fillId="0" borderId="0" xfId="0"/>
    <xf numFmtId="164" fontId="0" fillId="0" borderId="0" xfId="18" applyNumberFormat="1" applyFont="1" applyFill="1" applyBorder="1"/>
    <xf numFmtId="10" fontId="31" fillId="0" borderId="0" xfId="0" applyNumberFormat="1" applyFont="1" applyFill="1"/>
    <xf numFmtId="0" fontId="0" fillId="0" borderId="0" xfId="0" applyFont="1" applyFill="1" quotePrefix="1"/>
    <xf numFmtId="164" fontId="46" fillId="0" borderId="0" xfId="18" applyNumberFormat="1" applyFont="1" applyFill="1"/>
    <xf numFmtId="0" fontId="28" fillId="0" borderId="0" xfId="0" applyFont="1" applyAlignment="1">
      <alignment wrapText="1"/>
    </xf>
    <xf numFmtId="7" fontId="5" fillId="0" borderId="0" xfId="0" applyNumberFormat="1" applyFont="1" applyAlignment="1">
      <alignment wrapText="1"/>
    </xf>
    <xf numFmtId="0" fontId="0" fillId="0" borderId="0" xfId="0"/>
    <xf numFmtId="5" fontId="15" fillId="0" borderId="0" xfId="0" applyNumberFormat="1" applyFont="1" applyAlignment="1">
      <alignment horizontal="center"/>
    </xf>
    <xf numFmtId="0" fontId="0" fillId="0" borderId="0" xfId="0" applyFont="1" applyAlignment="1">
      <alignment vertical="top" wrapText="1"/>
    </xf>
    <xf numFmtId="0" fontId="23" fillId="0" borderId="0" xfId="0" applyFont="1" applyBorder="1" applyAlignment="1">
      <alignment horizontal="center"/>
    </xf>
    <xf numFmtId="0" fontId="18" fillId="0" borderId="0" xfId="0" applyFont="1" applyAlignment="1">
      <alignment horizontal="center"/>
    </xf>
    <xf numFmtId="0" fontId="162" fillId="67" borderId="69" xfId="0" applyFont="1" applyFill="1" applyBorder="1" applyAlignment="1">
      <alignment horizontal="left" vertical="top"/>
    </xf>
    <xf numFmtId="0" fontId="0" fillId="67" borderId="69" xfId="0" applyFill="1" applyBorder="1"/>
    <xf numFmtId="0" fontId="166" fillId="71" borderId="73" xfId="0" applyFont="1" applyFill="1" applyBorder="1" applyAlignment="1">
      <alignment horizontal="left" vertical="top"/>
    </xf>
    <xf numFmtId="0" fontId="0" fillId="71" borderId="74" xfId="0" applyFill="1" applyBorder="1"/>
    <xf numFmtId="0" fontId="0" fillId="71" borderId="75" xfId="0" applyFill="1" applyBorder="1"/>
    <xf numFmtId="0" fontId="0" fillId="67" borderId="76" xfId="0" applyFill="1" applyBorder="1"/>
  </cellXfs>
  <cellStyles count="43230">
    <cellStyle name="Normal" xfId="0"/>
    <cellStyle name="Percent" xfId="15"/>
    <cellStyle name="Currency" xfId="16"/>
    <cellStyle name="Currency [0]" xfId="17"/>
    <cellStyle name="Comma" xfId="18"/>
    <cellStyle name="Comma [0]" xfId="19"/>
    <cellStyle name="Normal 2" xfId="20"/>
    <cellStyle name="Normal 3" xfId="21"/>
    <cellStyle name="Normal 4" xfId="22"/>
    <cellStyle name="Comma 2" xfId="23"/>
    <cellStyle name="Currency 2" xfId="24"/>
    <cellStyle name="Percent 2" xfId="25"/>
    <cellStyle name="Comma [0] 2" xfId="26"/>
    <cellStyle name="Comma 3" xfId="27"/>
    <cellStyle name="Percent 3" xfId="28"/>
    <cellStyle name="Currency 3" xfId="29"/>
    <cellStyle name="Normal 3 2" xfId="30"/>
    <cellStyle name="Comma 2 2" xfId="31"/>
    <cellStyle name="Currency 2 2" xfId="32"/>
    <cellStyle name="Percent 2 2" xfId="33"/>
    <cellStyle name="Comma 3 2" xfId="34"/>
    <cellStyle name="Currency 2 3" xfId="35"/>
    <cellStyle name="Currency 3 2" xfId="36"/>
    <cellStyle name="Currency 4" xfId="37"/>
    <cellStyle name="Currency 5" xfId="38"/>
    <cellStyle name="Normal 2 2" xfId="39"/>
    <cellStyle name="Normal 3_GRCW" xfId="40"/>
    <cellStyle name="Normal 5" xfId="41"/>
    <cellStyle name="Normal 5 2" xfId="42"/>
    <cellStyle name="Normal 5_GRCW" xfId="43"/>
    <cellStyle name="Normal 6" xfId="44"/>
    <cellStyle name="Normal 7" xfId="45"/>
    <cellStyle name="Normal 8" xfId="46"/>
    <cellStyle name="Normal 9" xfId="47"/>
    <cellStyle name="Percent 3 3" xfId="48"/>
    <cellStyle name="Percent 3 2" xfId="49"/>
    <cellStyle name="Percent 4" xfId="50"/>
    <cellStyle name="Percent 5" xfId="51"/>
    <cellStyle name="PS_Comma" xfId="52"/>
    <cellStyle name="PSChar" xfId="53"/>
    <cellStyle name="PSDate" xfId="54"/>
    <cellStyle name="PSDec" xfId="55"/>
    <cellStyle name="PSHeading" xfId="56"/>
    <cellStyle name="PSInt" xfId="57"/>
    <cellStyle name="PSSpacer" xfId="58"/>
    <cellStyle name="WM_STANDARD" xfId="59"/>
    <cellStyle name="WMI_Standard" xfId="60"/>
    <cellStyle name="Title" xfId="61"/>
    <cellStyle name="Heading 1" xfId="62"/>
    <cellStyle name="Heading 2" xfId="63"/>
    <cellStyle name="Heading 3" xfId="64"/>
    <cellStyle name="Heading 4" xfId="65"/>
    <cellStyle name="Good" xfId="66"/>
    <cellStyle name="Bad" xfId="67"/>
    <cellStyle name="Neutral" xfId="68"/>
    <cellStyle name="Input" xfId="69"/>
    <cellStyle name="Output" xfId="70"/>
    <cellStyle name="Calculation" xfId="71"/>
    <cellStyle name="Linked Cell" xfId="72"/>
    <cellStyle name="Check Cell" xfId="73"/>
    <cellStyle name="Warning Text" xfId="74"/>
    <cellStyle name="Explanatory Text" xfId="75"/>
    <cellStyle name="Total" xfId="76"/>
    <cellStyle name="Accent1" xfId="77"/>
    <cellStyle name="20% - Accent1" xfId="78"/>
    <cellStyle name="40% - Accent1" xfId="79"/>
    <cellStyle name="60% - Accent1" xfId="80"/>
    <cellStyle name="Accent2" xfId="81"/>
    <cellStyle name="20% - Accent2" xfId="82"/>
    <cellStyle name="40% - Accent2" xfId="83"/>
    <cellStyle name="60% - Accent2" xfId="84"/>
    <cellStyle name="Accent3" xfId="85"/>
    <cellStyle name="20% - Accent3" xfId="86"/>
    <cellStyle name="40% - Accent3" xfId="87"/>
    <cellStyle name="60% - Accent3" xfId="88"/>
    <cellStyle name="Accent4" xfId="89"/>
    <cellStyle name="20% - Accent4" xfId="90"/>
    <cellStyle name="40% - Accent4" xfId="91"/>
    <cellStyle name="60% - Accent4" xfId="92"/>
    <cellStyle name="Accent5" xfId="93"/>
    <cellStyle name="20% - Accent5" xfId="94"/>
    <cellStyle name="40% - Accent5" xfId="95"/>
    <cellStyle name="60% - Accent5" xfId="96"/>
    <cellStyle name="Accent6" xfId="97"/>
    <cellStyle name="20% - Accent6" xfId="98"/>
    <cellStyle name="40% - Accent6" xfId="99"/>
    <cellStyle name="60% - Accent6" xfId="100"/>
    <cellStyle name="Normal 10" xfId="101"/>
    <cellStyle name="Normal 3 3" xfId="102"/>
    <cellStyle name="Comma 2 3" xfId="103"/>
    <cellStyle name="Percent 2 3" xfId="104"/>
    <cellStyle name="Normal 2 2 2" xfId="105"/>
    <cellStyle name="Comma 3 3" xfId="106"/>
    <cellStyle name="Currency 3 3" xfId="107"/>
    <cellStyle name="Percent 3 4" xfId="108"/>
    <cellStyle name="Normal 10 2" xfId="109"/>
    <cellStyle name="Comma 4" xfId="110"/>
    <cellStyle name="Normal 4 2" xfId="111"/>
    <cellStyle name="Comma 5" xfId="112"/>
    <cellStyle name="Percent 2 4" xfId="113"/>
    <cellStyle name="Normal 2 3" xfId="114"/>
    <cellStyle name="Normal 3 4" xfId="115"/>
    <cellStyle name="Normal 2 2 2 2" xfId="116"/>
    <cellStyle name="Manual-Input" xfId="117"/>
    <cellStyle name="Comma 6" xfId="118"/>
    <cellStyle name="Comma 7" xfId="119"/>
    <cellStyle name="Comma 8" xfId="120"/>
    <cellStyle name="Comma 10" xfId="121"/>
    <cellStyle name="Comma 9" xfId="122"/>
    <cellStyle name="Comma 11" xfId="123"/>
    <cellStyle name="Comma 14" xfId="124"/>
    <cellStyle name="Comma 12" xfId="125"/>
    <cellStyle name="Comma 13" xfId="126"/>
    <cellStyle name="Comma 15" xfId="127"/>
    <cellStyle name="Comma 16" xfId="128"/>
    <cellStyle name="Comma 17" xfId="129"/>
    <cellStyle name="Comma 22" xfId="130"/>
    <cellStyle name="Comma 18" xfId="131"/>
    <cellStyle name="Comma 19" xfId="132"/>
    <cellStyle name="Comma 20" xfId="133"/>
    <cellStyle name="Comma 21" xfId="134"/>
    <cellStyle name="Comma 23" xfId="135"/>
    <cellStyle name="Normal 3 6" xfId="136"/>
    <cellStyle name="Percent 3 5" xfId="137"/>
    <cellStyle name="Normal 3 5" xfId="138"/>
    <cellStyle name="Percent 2 5" xfId="139"/>
    <cellStyle name="Comma 2 4" xfId="140"/>
    <cellStyle name="Percent 3 3 2" xfId="141"/>
    <cellStyle name="Normal 2 2 3" xfId="142"/>
    <cellStyle name="Percent 2 2 2" xfId="143"/>
    <cellStyle name="Currency 2 4" xfId="144"/>
    <cellStyle name="Comma 3 2 2" xfId="145"/>
    <cellStyle name="Normal 4 3" xfId="146"/>
    <cellStyle name="Currency 3 2 2" xfId="147"/>
    <cellStyle name="Comma 4 2" xfId="148"/>
    <cellStyle name="Percent 4 2" xfId="149"/>
    <cellStyle name="Comma0" xfId="150"/>
    <cellStyle name="Currency0" xfId="151"/>
    <cellStyle name="Date" xfId="152"/>
    <cellStyle name="Fixed" xfId="153"/>
    <cellStyle name="Input Cells_EXTERNAL" xfId="154"/>
    <cellStyle name="Normal 4 4" xfId="155"/>
    <cellStyle name="Currency 3 3 2" xfId="156"/>
    <cellStyle name="Currency 2 6" xfId="157"/>
    <cellStyle name="Percent 2 7" xfId="158"/>
    <cellStyle name="Percent 2 2 3" xfId="159"/>
    <cellStyle name="Comma 2 6" xfId="160"/>
    <cellStyle name="Normal 2 2 4" xfId="161"/>
    <cellStyle name="Currency 2 5" xfId="162"/>
    <cellStyle name="Percent 2 2 10" xfId="163"/>
    <cellStyle name="Percent 2 6" xfId="164"/>
    <cellStyle name="Percent 3 4 2" xfId="165"/>
    <cellStyle name="Normal 2 2 6" xfId="166"/>
    <cellStyle name="Percent 4 3" xfId="167"/>
    <cellStyle name="Comma 2 5" xfId="168"/>
    <cellStyle name="Comma 4 3" xfId="169"/>
    <cellStyle name="Comma 3 3 2" xfId="170"/>
    <cellStyle name="Normal 12" xfId="171"/>
    <cellStyle name="Percent 3 6" xfId="172"/>
    <cellStyle name="Percent 4 4" xfId="173"/>
    <cellStyle name="Normal 3 9" xfId="174"/>
    <cellStyle name="Currency 2 7" xfId="175"/>
    <cellStyle name="Percent 4 5" xfId="176"/>
    <cellStyle name="Comma 3 4" xfId="177"/>
    <cellStyle name="Percent 2 2 4" xfId="178"/>
    <cellStyle name="Currency 2 9" xfId="179"/>
    <cellStyle name="Normal 4 5" xfId="180"/>
    <cellStyle name="Percent 2 2 8" xfId="181"/>
    <cellStyle name="Comma 2 9" xfId="182"/>
    <cellStyle name="Comma 2 7" xfId="183"/>
    <cellStyle name="Currency 3 4" xfId="184"/>
    <cellStyle name="Percent 4 6" xfId="185"/>
    <cellStyle name="Normal 2 2 5" xfId="186"/>
    <cellStyle name="Comma 4 4" xfId="187"/>
    <cellStyle name="Comma 2 8" xfId="188"/>
    <cellStyle name="Comma 4 5" xfId="189"/>
    <cellStyle name="Comma 3 5" xfId="190"/>
    <cellStyle name="Normal 5 3" xfId="191"/>
    <cellStyle name="Note 2" xfId="192"/>
    <cellStyle name="Comma 5 2" xfId="193"/>
    <cellStyle name="Percent 5 2" xfId="194"/>
    <cellStyle name="Percent 2 2 6" xfId="195"/>
    <cellStyle name="Percent 2 2 11" xfId="196"/>
    <cellStyle name="Percent 2 9" xfId="197"/>
    <cellStyle name="Comma 3 6" xfId="198"/>
    <cellStyle name="Percent 3 7" xfId="199"/>
    <cellStyle name="Currency 3 9" xfId="200"/>
    <cellStyle name="Currency 3 6" xfId="201"/>
    <cellStyle name="Percent 2 2 7" xfId="202"/>
    <cellStyle name="Percent 2 2 9" xfId="203"/>
    <cellStyle name="Comma 2 10" xfId="204"/>
    <cellStyle name="Percent 2 2 5" xfId="205"/>
    <cellStyle name="Normal 4 6" xfId="206"/>
    <cellStyle name="Currency 3 8" xfId="207"/>
    <cellStyle name="Percent 3 8" xfId="208"/>
    <cellStyle name="Normal 4 7" xfId="209"/>
    <cellStyle name="Currency 3 5" xfId="210"/>
    <cellStyle name="Normal 2 2 12" xfId="211"/>
    <cellStyle name="Percent 2 10" xfId="212"/>
    <cellStyle name="Normal 3 8" xfId="213"/>
    <cellStyle name="Normal 5 4" xfId="214"/>
    <cellStyle name="Normal 3 7" xfId="215"/>
    <cellStyle name="Comma 5 3" xfId="216"/>
    <cellStyle name="Percent 5 3" xfId="217"/>
    <cellStyle name="Comma 4 7" xfId="218"/>
    <cellStyle name="Percent 4 7" xfId="219"/>
    <cellStyle name="Percent 2 2 13" xfId="220"/>
    <cellStyle name="Comma 4 6" xfId="221"/>
    <cellStyle name="Currency 2 11" xfId="222"/>
    <cellStyle name="Currency 3 10" xfId="223"/>
    <cellStyle name="Normal 2 2 7" xfId="224"/>
    <cellStyle name="Currency 2 8" xfId="225"/>
    <cellStyle name="Normal 2 2 10" xfId="226"/>
    <cellStyle name="Normal 2 2 8" xfId="227"/>
    <cellStyle name="Currency 2 10" xfId="228"/>
    <cellStyle name="Normal 5 5" xfId="229"/>
    <cellStyle name="Percent 2 8" xfId="230"/>
    <cellStyle name="Comma 5 4" xfId="231"/>
    <cellStyle name="Percent 5 4" xfId="232"/>
    <cellStyle name="Comma 3 7" xfId="233"/>
    <cellStyle name="Percent 2 12" xfId="234"/>
    <cellStyle name="Comma 4 8" xfId="235"/>
    <cellStyle name="Normal 4 8" xfId="236"/>
    <cellStyle name="Currency 3 11" xfId="237"/>
    <cellStyle name="Percent 3 10" xfId="238"/>
    <cellStyle name="Currency 3 7" xfId="239"/>
    <cellStyle name="Normal 2 2 9" xfId="240"/>
    <cellStyle name="Percent 2 2 12" xfId="241"/>
    <cellStyle name="Percent 2 11" xfId="242"/>
    <cellStyle name="Normal 5 6" xfId="243"/>
    <cellStyle name="Percent 3 9" xfId="244"/>
    <cellStyle name="Comma 5 5" xfId="245"/>
    <cellStyle name="Percent 5 5" xfId="246"/>
    <cellStyle name="Normal 2 2 11" xfId="247"/>
    <cellStyle name="Currency 2 12" xfId="248"/>
    <cellStyle name="Percent 4 8" xfId="249"/>
    <cellStyle name="Normal 2 2 13" xfId="250"/>
    <cellStyle name="Comma 2 11" xfId="251"/>
    <cellStyle name="Comma 3 8" xfId="252"/>
    <cellStyle name="Percent 2 13" xfId="253"/>
    <cellStyle name="Comma 4 9" xfId="254"/>
    <cellStyle name="Normal 4 9" xfId="255"/>
    <cellStyle name="Currency 3 12" xfId="256"/>
    <cellStyle name="Normal 17" xfId="257"/>
    <cellStyle name="Percent 3 11" xfId="258"/>
    <cellStyle name="Normal 5 7" xfId="259"/>
    <cellStyle name="Normal 3 10" xfId="260"/>
    <cellStyle name="Comma 5 6" xfId="261"/>
    <cellStyle name="Percent 5 6" xfId="262"/>
    <cellStyle name="Currency 2 13" xfId="263"/>
    <cellStyle name="Percent 4 9" xfId="264"/>
    <cellStyle name="Normal 2 2 14" xfId="265"/>
    <cellStyle name="Comma 2 12" xfId="266"/>
    <cellStyle name="Comma 3 9" xfId="267"/>
    <cellStyle name="Percent 2 14" xfId="268"/>
    <cellStyle name="Comma 4 10" xfId="269"/>
    <cellStyle name="Normal 4 10" xfId="270"/>
    <cellStyle name="Currency 3 13" xfId="271"/>
    <cellStyle name="Normal 18" xfId="272"/>
    <cellStyle name="Percent 3 12" xfId="273"/>
    <cellStyle name="Normal 5 8" xfId="274"/>
    <cellStyle name="Normal 3 11" xfId="275"/>
    <cellStyle name="Comma 5 7" xfId="276"/>
    <cellStyle name="Percent 5 7" xfId="277"/>
    <cellStyle name="Currency 2 14" xfId="278"/>
    <cellStyle name="Percent 4 10" xfId="279"/>
    <cellStyle name="Percent 3 15" xfId="280"/>
    <cellStyle name="Comma 2 13" xfId="281"/>
    <cellStyle name="Comma 3 10" xfId="282"/>
    <cellStyle name="Percent 4 14" xfId="283"/>
    <cellStyle name="Percent 2 15" xfId="284"/>
    <cellStyle name="Comma 4 11" xfId="285"/>
    <cellStyle name="Normal 4 11" xfId="286"/>
    <cellStyle name="Normal 4 15" xfId="287"/>
    <cellStyle name="Normal 19" xfId="288"/>
    <cellStyle name="Percent 3 13" xfId="289"/>
    <cellStyle name="Normal 5 9" xfId="290"/>
    <cellStyle name="Normal 3 12" xfId="291"/>
    <cellStyle name="Comma 5 8" xfId="292"/>
    <cellStyle name="Percent 5 8" xfId="293"/>
    <cellStyle name="Currency 2 15" xfId="294"/>
    <cellStyle name="Percent 4 11" xfId="295"/>
    <cellStyle name="Comma 2 14" xfId="296"/>
    <cellStyle name="Comma 3 11" xfId="297"/>
    <cellStyle name="Percent 2 16" xfId="298"/>
    <cellStyle name="Comma 4 12" xfId="299"/>
    <cellStyle name="Normal 4 12" xfId="300"/>
    <cellStyle name="Normal 20" xfId="301"/>
    <cellStyle name="Percent 3 14" xfId="302"/>
    <cellStyle name="Normal 5 10" xfId="303"/>
    <cellStyle name="Normal 3 13" xfId="304"/>
    <cellStyle name="Comma 5 9" xfId="305"/>
    <cellStyle name="Percent 5 9" xfId="306"/>
    <cellStyle name="Percent 4 12" xfId="307"/>
    <cellStyle name="Comma 2 15" xfId="308"/>
    <cellStyle name="Comma 3 12" xfId="309"/>
    <cellStyle name="Normal 3 17" xfId="310"/>
    <cellStyle name="Comma 4 13" xfId="311"/>
    <cellStyle name="Normal 4 13" xfId="312"/>
    <cellStyle name="Normal 21" xfId="313"/>
    <cellStyle name="Comma 2 16" xfId="314"/>
    <cellStyle name="Normal 5 11" xfId="315"/>
    <cellStyle name="Normal 3 14" xfId="316"/>
    <cellStyle name="Comma 5 10" xfId="317"/>
    <cellStyle name="Percent 5 10" xfId="318"/>
    <cellStyle name="Percent 4 13" xfId="319"/>
    <cellStyle name="Percent 2 17" xfId="320"/>
    <cellStyle name="Comma 3 13" xfId="321"/>
    <cellStyle name="Percent 2 2 14" xfId="322"/>
    <cellStyle name="Currency 3 14" xfId="323"/>
    <cellStyle name="Normal 4 14" xfId="324"/>
    <cellStyle name="Normal 22" xfId="325"/>
    <cellStyle name="Normal 5 12" xfId="326"/>
    <cellStyle name="Normal 3 15" xfId="327"/>
    <cellStyle name="Comma 5 11" xfId="328"/>
    <cellStyle name="Percent 5 11" xfId="329"/>
    <cellStyle name="Comma 4 14" xfId="330"/>
    <cellStyle name="Normal 2 2 15" xfId="331"/>
    <cellStyle name="Currency 2 16" xfId="332"/>
    <cellStyle name="Comma 3 14" xfId="333"/>
    <cellStyle name="Normal 5 13" xfId="334"/>
    <cellStyle name="Normal 3 16" xfId="335"/>
    <cellStyle name="Comma 5 12" xfId="336"/>
    <cellStyle name="Percent 5 12" xfId="337"/>
    <cellStyle name="Normal 5 14" xfId="338"/>
    <cellStyle name="Comma 5 13" xfId="339"/>
    <cellStyle name="Percent 5 13" xfId="340"/>
    <cellStyle name="Normal 5 15" xfId="341"/>
    <cellStyle name="Comma 5 14" xfId="342"/>
    <cellStyle name="Percent 5 14" xfId="343"/>
    <cellStyle name="Normal 11" xfId="344"/>
    <cellStyle name="Normal 3 19" xfId="345"/>
    <cellStyle name="Comma 2 19" xfId="346"/>
    <cellStyle name="Normal 3 18" xfId="347"/>
    <cellStyle name="Percent 2 18" xfId="348"/>
    <cellStyle name="Comma 2 17" xfId="349"/>
    <cellStyle name="Percent 3 16" xfId="350"/>
    <cellStyle name="Normal 2 2 16" xfId="351"/>
    <cellStyle name="Percent 2 2 15" xfId="352"/>
    <cellStyle name="Currency 2 17" xfId="353"/>
    <cellStyle name="Comma 3 15" xfId="354"/>
    <cellStyle name="Normal 4 16" xfId="355"/>
    <cellStyle name="Currency 3 15" xfId="356"/>
    <cellStyle name="Comma 4 15" xfId="357"/>
    <cellStyle name="Percent 4 15" xfId="358"/>
    <cellStyle name="Percent 2 25" xfId="359"/>
    <cellStyle name="Percent 4 16" xfId="360"/>
    <cellStyle name="Comma 4 16" xfId="361"/>
    <cellStyle name="Normal 4 17" xfId="362"/>
    <cellStyle name="Percent 3 17" xfId="363"/>
    <cellStyle name="Percent 2 22" xfId="364"/>
    <cellStyle name="Percent 3 23" xfId="365"/>
    <cellStyle name="Normal 3 21" xfId="366"/>
    <cellStyle name="Currency 2 18" xfId="367"/>
    <cellStyle name="Normal 3 20" xfId="368"/>
    <cellStyle name="Percent 2 2 16" xfId="369"/>
    <cellStyle name="Percent 2 20" xfId="370"/>
    <cellStyle name="Comma 3 16" xfId="371"/>
    <cellStyle name="Percent 4 18" xfId="372"/>
    <cellStyle name="Percent 2 19" xfId="373"/>
    <cellStyle name="Normal 2 2 17" xfId="374"/>
    <cellStyle name="Comma 2 20" xfId="375"/>
    <cellStyle name="Percent 2 21" xfId="376"/>
    <cellStyle name="Comma 2 18" xfId="377"/>
    <cellStyle name="Percent 4 17" xfId="378"/>
    <cellStyle name="Currency 3 16" xfId="379"/>
    <cellStyle name="Normal 13" xfId="380"/>
    <cellStyle name="Currency 2 19" xfId="381"/>
    <cellStyle name="20% - Accent1 2" xfId="382"/>
    <cellStyle name="40% - Accent1 2" xfId="383"/>
    <cellStyle name="Normal 3 23" xfId="384"/>
    <cellStyle name="Comma 3 17" xfId="385"/>
    <cellStyle name="20% - Accent2 2" xfId="386"/>
    <cellStyle name="40% - Accent2 2" xfId="387"/>
    <cellStyle name="Comma 2 21" xfId="388"/>
    <cellStyle name="Normal 4 18" xfId="389"/>
    <cellStyle name="20% - Accent3 2" xfId="390"/>
    <cellStyle name="40% - Accent3 2" xfId="391"/>
    <cellStyle name="Percent 2 2 17" xfId="392"/>
    <cellStyle name="Currency 3 17" xfId="393"/>
    <cellStyle name="20% - Accent4 2" xfId="394"/>
    <cellStyle name="40% - Accent4 2" xfId="395"/>
    <cellStyle name="Percent 3 18" xfId="396"/>
    <cellStyle name="Normal 3 22" xfId="397"/>
    <cellStyle name="20% - Accent5 2" xfId="398"/>
    <cellStyle name="40% - Accent5 2" xfId="399"/>
    <cellStyle name="Currency 3 18" xfId="400"/>
    <cellStyle name="Percent 4 19" xfId="401"/>
    <cellStyle name="20% - Accent6 2" xfId="402"/>
    <cellStyle name="40% - Accent6 2" xfId="403"/>
    <cellStyle name="Comma 4 17" xfId="404"/>
    <cellStyle name="Normal 5 16" xfId="405"/>
    <cellStyle name="Note 2 2" xfId="406"/>
    <cellStyle name="Comma 5 15" xfId="407"/>
    <cellStyle name="Percent 5 15" xfId="408"/>
    <cellStyle name="Normal 2 2 18" xfId="409"/>
    <cellStyle name="Percent 4 20" xfId="410"/>
    <cellStyle name="Percent 2 23" xfId="411"/>
    <cellStyle name="Percent 3 19" xfId="412"/>
    <cellStyle name="20% - Accent1 3" xfId="413"/>
    <cellStyle name="40% - Accent1 3" xfId="414"/>
    <cellStyle name="Currency 3 19" xfId="415"/>
    <cellStyle name="20% - Accent2 3" xfId="416"/>
    <cellStyle name="40% - Accent2 3" xfId="417"/>
    <cellStyle name="Percent 2 2 22" xfId="418"/>
    <cellStyle name="Comma 4 18" xfId="419"/>
    <cellStyle name="20% - Accent3 3" xfId="420"/>
    <cellStyle name="40% - Accent3 3" xfId="421"/>
    <cellStyle name="Normal 2 2 19" xfId="422"/>
    <cellStyle name="Currency 2 20" xfId="423"/>
    <cellStyle name="20% - Accent4 3" xfId="424"/>
    <cellStyle name="40% - Accent4 3" xfId="425"/>
    <cellStyle name="Percent 2 24" xfId="426"/>
    <cellStyle name="Comma 3 18" xfId="427"/>
    <cellStyle name="20% - Accent5 3" xfId="428"/>
    <cellStyle name="40% - Accent5 3" xfId="429"/>
    <cellStyle name="Comma 2 22" xfId="430"/>
    <cellStyle name="Normal 4 19" xfId="431"/>
    <cellStyle name="20% - Accent6 3" xfId="432"/>
    <cellStyle name="40% - Accent6 3" xfId="433"/>
    <cellStyle name="Percent 2 2 18" xfId="434"/>
    <cellStyle name="Normal 5 17" xfId="435"/>
    <cellStyle name="Note 2 3" xfId="436"/>
    <cellStyle name="Comma 5 16" xfId="437"/>
    <cellStyle name="Percent 5 16" xfId="438"/>
    <cellStyle name="Comma 2 23" xfId="439"/>
    <cellStyle name="Percent 3 20" xfId="440"/>
    <cellStyle name="20% - Accent1 4" xfId="441"/>
    <cellStyle name="40% - Accent1 4" xfId="442"/>
    <cellStyle name="Currency 3 20" xfId="443"/>
    <cellStyle name="20% - Accent2 4" xfId="444"/>
    <cellStyle name="40% - Accent2 4" xfId="445"/>
    <cellStyle name="Comma 4 19" xfId="446"/>
    <cellStyle name="20% - Accent3 4" xfId="447"/>
    <cellStyle name="40% - Accent3 4" xfId="448"/>
    <cellStyle name="Normal 2 2 20" xfId="449"/>
    <cellStyle name="Currency 2 21" xfId="450"/>
    <cellStyle name="20% - Accent4 4" xfId="451"/>
    <cellStyle name="40% - Accent4 4" xfId="452"/>
    <cellStyle name="Currency 2 23" xfId="453"/>
    <cellStyle name="Comma 3 19" xfId="454"/>
    <cellStyle name="20% - Accent5 4" xfId="455"/>
    <cellStyle name="40% - Accent5 4" xfId="456"/>
    <cellStyle name="Percent 3 22" xfId="457"/>
    <cellStyle name="Normal 4 20" xfId="458"/>
    <cellStyle name="20% - Accent6 4" xfId="459"/>
    <cellStyle name="40% - Accent6 4" xfId="460"/>
    <cellStyle name="Percent 2 2 19" xfId="461"/>
    <cellStyle name="Normal 5 18" xfId="462"/>
    <cellStyle name="Note 2 4" xfId="463"/>
    <cellStyle name="Comma 5 17" xfId="464"/>
    <cellStyle name="Percent 5 17" xfId="465"/>
    <cellStyle name="Percent 2 2 21" xfId="466"/>
    <cellStyle name="Percent 3 21" xfId="467"/>
    <cellStyle name="20% - Accent1 5" xfId="468"/>
    <cellStyle name="40% - Accent1 5" xfId="469"/>
    <cellStyle name="Comma 4 21" xfId="470"/>
    <cellStyle name="20% - Accent2 5" xfId="471"/>
    <cellStyle name="40% - Accent2 5" xfId="472"/>
    <cellStyle name="Comma 2 27" xfId="473"/>
    <cellStyle name="Comma 4 20" xfId="474"/>
    <cellStyle name="20% - Accent3 5" xfId="475"/>
    <cellStyle name="40% - Accent3 5" xfId="476"/>
    <cellStyle name="Normal 2 2 21" xfId="477"/>
    <cellStyle name="Currency 2 22" xfId="478"/>
    <cellStyle name="20% - Accent4 5" xfId="479"/>
    <cellStyle name="40% - Accent4 5" xfId="480"/>
    <cellStyle name="Comma 3 20" xfId="481"/>
    <cellStyle name="20% - Accent5 5" xfId="482"/>
    <cellStyle name="40% - Accent5 5" xfId="483"/>
    <cellStyle name="Normal 4 21" xfId="484"/>
    <cellStyle name="20% - Accent6 5" xfId="485"/>
    <cellStyle name="40% - Accent6 5" xfId="486"/>
    <cellStyle name="Percent 2 2 20" xfId="487"/>
    <cellStyle name="Normal 5 19" xfId="488"/>
    <cellStyle name="Note 2 5" xfId="489"/>
    <cellStyle name="Comma 5 18" xfId="490"/>
    <cellStyle name="Percent 5 18" xfId="491"/>
    <cellStyle name="Normal 3 26" xfId="492"/>
    <cellStyle name="Normal 23" xfId="493"/>
    <cellStyle name="Normal 2 2 22" xfId="494"/>
    <cellStyle name="20% - Accent1 6" xfId="495"/>
    <cellStyle name="40% - Accent1 6" xfId="496"/>
    <cellStyle name="Percent 2 26" xfId="497"/>
    <cellStyle name="20% - Accent2 6" xfId="498"/>
    <cellStyle name="40% - Accent2 6" xfId="499"/>
    <cellStyle name="Percent 4 21" xfId="500"/>
    <cellStyle name="20% - Accent3 6" xfId="501"/>
    <cellStyle name="40% - Accent3 6" xfId="502"/>
    <cellStyle name="Comma 3 21" xfId="503"/>
    <cellStyle name="20% - Accent4 6" xfId="504"/>
    <cellStyle name="40% - Accent4 6" xfId="505"/>
    <cellStyle name="Normal 3 28" xfId="506"/>
    <cellStyle name="Normal 4 22" xfId="507"/>
    <cellStyle name="20% - Accent5 6" xfId="508"/>
    <cellStyle name="40% - Accent5 6" xfId="509"/>
    <cellStyle name="Normal 3 24" xfId="510"/>
    <cellStyle name="Currency 3 21" xfId="511"/>
    <cellStyle name="20% - Accent6 6" xfId="512"/>
    <cellStyle name="40% - Accent6 6" xfId="513"/>
    <cellStyle name="Normal 5 20" xfId="514"/>
    <cellStyle name="Note 2 6" xfId="515"/>
    <cellStyle name="Comma 5 19" xfId="516"/>
    <cellStyle name="Percent 5 19" xfId="517"/>
    <cellStyle name="Normal 2 2 23" xfId="518"/>
    <cellStyle name="20% - Accent1 7" xfId="519"/>
    <cellStyle name="40% - Accent1 7" xfId="520"/>
    <cellStyle name="Comma 2 24" xfId="521"/>
    <cellStyle name="20% - Accent2 7" xfId="522"/>
    <cellStyle name="40% - Accent2 7" xfId="523"/>
    <cellStyle name="Normal 4 23" xfId="524"/>
    <cellStyle name="20% - Accent3 7" xfId="525"/>
    <cellStyle name="40% - Accent3 7" xfId="526"/>
    <cellStyle name="Currency 2 24" xfId="527"/>
    <cellStyle name="Normal 3 25" xfId="528"/>
    <cellStyle name="20% - Accent4 7" xfId="529"/>
    <cellStyle name="40% - Accent4 7" xfId="530"/>
    <cellStyle name="Normal 25" xfId="531"/>
    <cellStyle name="20% - Accent5 7" xfId="532"/>
    <cellStyle name="40% - Accent5 7" xfId="533"/>
    <cellStyle name="Comma 3 22" xfId="534"/>
    <cellStyle name="Percent 2 2 23" xfId="535"/>
    <cellStyle name="20% - Accent6 7" xfId="536"/>
    <cellStyle name="40% - Accent6 7" xfId="537"/>
    <cellStyle name="Normal 5 21" xfId="538"/>
    <cellStyle name="Note 2 7" xfId="539"/>
    <cellStyle name="Comma 5 20" xfId="540"/>
    <cellStyle name="Percent 5 20" xfId="541"/>
    <cellStyle name="Percent 2 29" xfId="542"/>
    <cellStyle name="20% - Accent1 8" xfId="543"/>
    <cellStyle name="40% - Accent1 8" xfId="544"/>
    <cellStyle name="Normal 4 24" xfId="545"/>
    <cellStyle name="20% - Accent2 8" xfId="546"/>
    <cellStyle name="40% - Accent2 8" xfId="547"/>
    <cellStyle name="Normal 26" xfId="548"/>
    <cellStyle name="Percent 4 24" xfId="549"/>
    <cellStyle name="20% - Accent3 8" xfId="550"/>
    <cellStyle name="40% - Accent3 8" xfId="551"/>
    <cellStyle name="Percent 2 28" xfId="552"/>
    <cellStyle name="Percent 4 22" xfId="553"/>
    <cellStyle name="20% - Accent4 8" xfId="554"/>
    <cellStyle name="40% - Accent4 8" xfId="555"/>
    <cellStyle name="Comma 4 22" xfId="556"/>
    <cellStyle name="20% - Accent5 8" xfId="557"/>
    <cellStyle name="40% - Accent5 8" xfId="558"/>
    <cellStyle name="Normal 2 2 24" xfId="559"/>
    <cellStyle name="Currency 3 22" xfId="560"/>
    <cellStyle name="20% - Accent6 8" xfId="561"/>
    <cellStyle name="40% - Accent6 8" xfId="562"/>
    <cellStyle name="Comma 4 23" xfId="563"/>
    <cellStyle name="Normal 5 22" xfId="564"/>
    <cellStyle name="Note 2 8" xfId="565"/>
    <cellStyle name="Comma 5 21" xfId="566"/>
    <cellStyle name="Percent 5 21" xfId="567"/>
    <cellStyle name="Comma 3 23" xfId="568"/>
    <cellStyle name="Currency 2 25" xfId="569"/>
    <cellStyle name="Normal 3 27" xfId="570"/>
    <cellStyle name="Currency 3 23" xfId="571"/>
    <cellStyle name="Normal 3 29" xfId="572"/>
    <cellStyle name="Comma 2 25" xfId="573"/>
    <cellStyle name="Percent 2 27" xfId="574"/>
    <cellStyle name="Comma 2 26" xfId="575"/>
    <cellStyle name="Percent 4 26" xfId="576"/>
    <cellStyle name="Percent 3 24" xfId="577"/>
    <cellStyle name="Percent 4 25" xfId="578"/>
    <cellStyle name="Percent 4 23" xfId="579"/>
    <cellStyle name="Currency 3 25" xfId="580"/>
    <cellStyle name="20% - Accent1 9" xfId="581"/>
    <cellStyle name="40% - Accent1 9" xfId="582"/>
    <cellStyle name="Percent 4 27" xfId="583"/>
    <cellStyle name="Comma 4 24" xfId="584"/>
    <cellStyle name="20% - Accent2 9" xfId="585"/>
    <cellStyle name="40% - Accent2 9" xfId="586"/>
    <cellStyle name="Normal 2 2 25" xfId="587"/>
    <cellStyle name="Currency 2 26" xfId="588"/>
    <cellStyle name="20% - Accent3 9" xfId="589"/>
    <cellStyle name="40% - Accent3 9" xfId="590"/>
    <cellStyle name="Normal 3 30" xfId="591"/>
    <cellStyle name="Comma 3 24" xfId="592"/>
    <cellStyle name="20% - Accent4 9" xfId="593"/>
    <cellStyle name="40% - Accent4 9" xfId="594"/>
    <cellStyle name="Comma 2 28" xfId="595"/>
    <cellStyle name="Normal 4 25" xfId="596"/>
    <cellStyle name="20% - Accent5 9" xfId="597"/>
    <cellStyle name="40% - Accent5 9" xfId="598"/>
    <cellStyle name="Percent 2 2 24" xfId="599"/>
    <cellStyle name="Currency 3 24" xfId="600"/>
    <cellStyle name="20% - Accent6 9" xfId="601"/>
    <cellStyle name="40% - Accent6 9" xfId="602"/>
    <cellStyle name="Percent 3 25" xfId="603"/>
    <cellStyle name="Normal 5 23" xfId="604"/>
    <cellStyle name="Note 2 9" xfId="605"/>
    <cellStyle name="Comma 5 22" xfId="606"/>
    <cellStyle name="Percent 5 22" xfId="607"/>
    <cellStyle name="Percent 2 30" xfId="608"/>
    <cellStyle name="Percent 3 26" xfId="609"/>
    <cellStyle name="20% - Accent1 10" xfId="610"/>
    <cellStyle name="40% - Accent1 10" xfId="611"/>
    <cellStyle name="Currency 3 26" xfId="612"/>
    <cellStyle name="20% - Accent2 10" xfId="613"/>
    <cellStyle name="40% - Accent2 10" xfId="614"/>
    <cellStyle name="Percent 4 28" xfId="615"/>
    <cellStyle name="Comma 4 25" xfId="616"/>
    <cellStyle name="20% - Accent3 10" xfId="617"/>
    <cellStyle name="40% - Accent3 10" xfId="618"/>
    <cellStyle name="Normal 2 2 26" xfId="619"/>
    <cellStyle name="Currency 2 27" xfId="620"/>
    <cellStyle name="20% - Accent4 10" xfId="621"/>
    <cellStyle name="40% - Accent4 10" xfId="622"/>
    <cellStyle name="Normal 3 31" xfId="623"/>
    <cellStyle name="Comma 3 25" xfId="624"/>
    <cellStyle name="20% - Accent5 10" xfId="625"/>
    <cellStyle name="40% - Accent5 10" xfId="626"/>
    <cellStyle name="Comma 2 29" xfId="627"/>
    <cellStyle name="Normal 4 26" xfId="628"/>
    <cellStyle name="20% - Accent6 10" xfId="629"/>
    <cellStyle name="40% - Accent6 10" xfId="630"/>
    <cellStyle name="Percent 2 2 25" xfId="631"/>
    <cellStyle name="Normal 5 24" xfId="632"/>
    <cellStyle name="Note 2 10" xfId="633"/>
    <cellStyle name="Comma 5 23" xfId="634"/>
    <cellStyle name="Percent 5 23" xfId="635"/>
    <cellStyle name="Percent 2 31" xfId="636"/>
    <cellStyle name="Percent 3 27" xfId="637"/>
    <cellStyle name="20% - Accent1 11" xfId="638"/>
    <cellStyle name="40% - Accent1 11" xfId="639"/>
    <cellStyle name="Currency 3 27" xfId="640"/>
    <cellStyle name="20% - Accent2 11" xfId="641"/>
    <cellStyle name="40% - Accent2 11" xfId="642"/>
    <cellStyle name="Comma 4 26" xfId="643"/>
    <cellStyle name="20% - Accent3 11" xfId="644"/>
    <cellStyle name="40% - Accent3 11" xfId="645"/>
    <cellStyle name="Normal 2 2 27" xfId="646"/>
    <cellStyle name="Currency 2 28" xfId="647"/>
    <cellStyle name="20% - Accent4 11" xfId="648"/>
    <cellStyle name="40% - Accent4 11" xfId="649"/>
    <cellStyle name="Comma 3 26" xfId="650"/>
    <cellStyle name="20% - Accent5 11" xfId="651"/>
    <cellStyle name="40% - Accent5 11" xfId="652"/>
    <cellStyle name="Comma 2 30" xfId="653"/>
    <cellStyle name="Normal 4 27" xfId="654"/>
    <cellStyle name="20% - Accent6 11" xfId="655"/>
    <cellStyle name="40% - Accent6 11" xfId="656"/>
    <cellStyle name="Percent 2 2 26" xfId="657"/>
    <cellStyle name="Normal 5 25" xfId="658"/>
    <cellStyle name="Note 2 11" xfId="659"/>
    <cellStyle name="Comma 5 24" xfId="660"/>
    <cellStyle name="Percent 5 24" xfId="661"/>
    <cellStyle name="Normal 29" xfId="662"/>
    <cellStyle name="Percent 3 28" xfId="663"/>
    <cellStyle name="20% - Accent1 12" xfId="664"/>
    <cellStyle name="40% - Accent1 12" xfId="665"/>
    <cellStyle name="Currency 3 28" xfId="666"/>
    <cellStyle name="20% - Accent2 12" xfId="667"/>
    <cellStyle name="40% - Accent2 12" xfId="668"/>
    <cellStyle name="Comma 4 27" xfId="669"/>
    <cellStyle name="20% - Accent3 12" xfId="670"/>
    <cellStyle name="40% - Accent3 12" xfId="671"/>
    <cellStyle name="Normal 2 2 28" xfId="672"/>
    <cellStyle name="Currency 2 29" xfId="673"/>
    <cellStyle name="20% - Accent4 12" xfId="674"/>
    <cellStyle name="40% - Accent4 12" xfId="675"/>
    <cellStyle name="Comma 3 27" xfId="676"/>
    <cellStyle name="20% - Accent5 12" xfId="677"/>
    <cellStyle name="40% - Accent5 12" xfId="678"/>
    <cellStyle name="Normal 4 28" xfId="679"/>
    <cellStyle name="20% - Accent6 12" xfId="680"/>
    <cellStyle name="40% - Accent6 12" xfId="681"/>
    <cellStyle name="Percent 2 2 27" xfId="682"/>
    <cellStyle name="Normal 5 26" xfId="683"/>
    <cellStyle name="Note 2 12" xfId="684"/>
    <cellStyle name="Comma 5 25" xfId="685"/>
    <cellStyle name="Percent 5 25" xfId="686"/>
    <cellStyle name="Normal 30" xfId="687"/>
    <cellStyle name="Percent 3 29" xfId="688"/>
    <cellStyle name="20% - Accent1 13" xfId="689"/>
    <cellStyle name="40% - Accent1 13" xfId="690"/>
    <cellStyle name="20% - Accent2 13" xfId="691"/>
    <cellStyle name="40% - Accent2 13" xfId="692"/>
    <cellStyle name="Comma 4 28" xfId="693"/>
    <cellStyle name="20% - Accent3 13" xfId="694"/>
    <cellStyle name="40% - Accent3 13" xfId="695"/>
    <cellStyle name="Normal 2 2 29" xfId="696"/>
    <cellStyle name="Currency 2 30" xfId="697"/>
    <cellStyle name="20% - Accent4 13" xfId="698"/>
    <cellStyle name="40% - Accent4 13" xfId="699"/>
    <cellStyle name="Comma 3 28" xfId="700"/>
    <cellStyle name="20% - Accent5 13" xfId="701"/>
    <cellStyle name="40% - Accent5 13" xfId="702"/>
    <cellStyle name="Normal 4 29" xfId="703"/>
    <cellStyle name="20% - Accent6 13" xfId="704"/>
    <cellStyle name="40% - Accent6 13" xfId="705"/>
    <cellStyle name="Percent 2 2 28" xfId="706"/>
    <cellStyle name="Normal 5 27" xfId="707"/>
    <cellStyle name="Note 2 13" xfId="708"/>
    <cellStyle name="Comma 5 26" xfId="709"/>
    <cellStyle name="Percent 5 26" xfId="710"/>
    <cellStyle name="20% - Accent1 14" xfId="711"/>
    <cellStyle name="40% - Accent1 14" xfId="712"/>
    <cellStyle name="20% - Accent2 14" xfId="713"/>
    <cellStyle name="40% - Accent2 14" xfId="714"/>
    <cellStyle name="20% - Accent3 14" xfId="715"/>
    <cellStyle name="40% - Accent3 14" xfId="716"/>
    <cellStyle name="20% - Accent4 14" xfId="717"/>
    <cellStyle name="40% - Accent4 14" xfId="718"/>
    <cellStyle name="20% - Accent5 14" xfId="719"/>
    <cellStyle name="40% - Accent5 14" xfId="720"/>
    <cellStyle name="20% - Accent6 14" xfId="721"/>
    <cellStyle name="40% - Accent6 14" xfId="722"/>
    <cellStyle name="Normal 5 28" xfId="723"/>
    <cellStyle name="Note 2 14" xfId="724"/>
    <cellStyle name="Comma 5 27" xfId="725"/>
    <cellStyle name="Percent 5 27" xfId="726"/>
    <cellStyle name="20% - Accent1 15" xfId="727"/>
    <cellStyle name="40% - Accent1 15" xfId="728"/>
    <cellStyle name="20% - Accent2 15" xfId="729"/>
    <cellStyle name="40% - Accent2 15" xfId="730"/>
    <cellStyle name="20% - Accent3 15" xfId="731"/>
    <cellStyle name="40% - Accent3 15" xfId="732"/>
    <cellStyle name="20% - Accent4 15" xfId="733"/>
    <cellStyle name="40% - Accent4 15" xfId="734"/>
    <cellStyle name="20% - Accent5 15" xfId="735"/>
    <cellStyle name="40% - Accent5 15" xfId="736"/>
    <cellStyle name="20% - Accent6 15" xfId="737"/>
    <cellStyle name="40% - Accent6 15" xfId="738"/>
    <cellStyle name="Normal 5 29" xfId="739"/>
    <cellStyle name="Note 2 15" xfId="740"/>
    <cellStyle name="Comma 5 28" xfId="741"/>
    <cellStyle name="Percent 5 28" xfId="742"/>
    <cellStyle name="Normal 14" xfId="743"/>
    <cellStyle name="Normal 15" xfId="744"/>
    <cellStyle name="Comma 3 29" xfId="745"/>
    <cellStyle name="Currency 3 29" xfId="746"/>
    <cellStyle name="Percent 3 30" xfId="747"/>
    <cellStyle name="Comma 3 30" xfId="748"/>
    <cellStyle name="Percent 3 31" xfId="749"/>
    <cellStyle name="Currency 3 30" xfId="750"/>
    <cellStyle name="20% - Accent1 16" xfId="751"/>
    <cellStyle name="40% - Accent1 16" xfId="752"/>
    <cellStyle name="20% - Accent2 16" xfId="753"/>
    <cellStyle name="40% - Accent2 16" xfId="754"/>
    <cellStyle name="20% - Accent3 16" xfId="755"/>
    <cellStyle name="40% - Accent3 16" xfId="756"/>
    <cellStyle name="20% - Accent4 16" xfId="757"/>
    <cellStyle name="40% - Accent4 16" xfId="758"/>
    <cellStyle name="20% - Accent5 16" xfId="759"/>
    <cellStyle name="40% - Accent5 16" xfId="760"/>
    <cellStyle name="20% - Accent6 16" xfId="761"/>
    <cellStyle name="40% - Accent6 16" xfId="762"/>
    <cellStyle name="Normal 3 3 2" xfId="763"/>
    <cellStyle name="Comma 2 3 2" xfId="764"/>
    <cellStyle name="Percent 2 3 2" xfId="765"/>
    <cellStyle name="Normal 10 2 2" xfId="766"/>
    <cellStyle name="Comma 4 29" xfId="767"/>
    <cellStyle name="Comma 5 29" xfId="768"/>
    <cellStyle name="Comma 6 2" xfId="769"/>
    <cellStyle name="Comma 7 2" xfId="770"/>
    <cellStyle name="Comma 8 2" xfId="771"/>
    <cellStyle name="Comma 10 2" xfId="772"/>
    <cellStyle name="Comma 9 2" xfId="773"/>
    <cellStyle name="Comma 11 2" xfId="774"/>
    <cellStyle name="Comma 14 2" xfId="775"/>
    <cellStyle name="Comma 12 2" xfId="776"/>
    <cellStyle name="Comma 13 2" xfId="777"/>
    <cellStyle name="Comma 15 2" xfId="778"/>
    <cellStyle name="Comma 16 2" xfId="779"/>
    <cellStyle name="Comma 17 2" xfId="780"/>
    <cellStyle name="Comma 22 2" xfId="781"/>
    <cellStyle name="Comma 18 2" xfId="782"/>
    <cellStyle name="Comma 19 2" xfId="783"/>
    <cellStyle name="Comma 20 2" xfId="784"/>
    <cellStyle name="Comma 21 2" xfId="785"/>
    <cellStyle name="Comma 23 2" xfId="786"/>
    <cellStyle name="Normal 5 3 2" xfId="787"/>
    <cellStyle name="Note 2 16" xfId="788"/>
    <cellStyle name="Comma 5 2 2" xfId="789"/>
    <cellStyle name="Percent 5 2 2" xfId="790"/>
    <cellStyle name="Normal 5 4 2" xfId="791"/>
    <cellStyle name="Comma 5 3 2" xfId="792"/>
    <cellStyle name="Percent 5 3 2" xfId="793"/>
    <cellStyle name="Normal 5 5 2" xfId="794"/>
    <cellStyle name="Comma 5 4 2" xfId="795"/>
    <cellStyle name="Percent 5 4 2" xfId="796"/>
    <cellStyle name="Normal 5 6 2" xfId="797"/>
    <cellStyle name="Comma 5 5 2" xfId="798"/>
    <cellStyle name="Percent 5 5 2" xfId="799"/>
    <cellStyle name="Normal 5 7 2" xfId="800"/>
    <cellStyle name="Comma 5 6 2" xfId="801"/>
    <cellStyle name="Percent 5 6 2" xfId="802"/>
    <cellStyle name="Normal 5 8 2" xfId="803"/>
    <cellStyle name="Comma 5 7 2" xfId="804"/>
    <cellStyle name="Percent 5 7 2" xfId="805"/>
    <cellStyle name="Normal 5 9 2" xfId="806"/>
    <cellStyle name="Comma 5 8 2" xfId="807"/>
    <cellStyle name="Percent 5 8 2" xfId="808"/>
    <cellStyle name="Normal 5 10 2" xfId="809"/>
    <cellStyle name="Comma 5 9 2" xfId="810"/>
    <cellStyle name="Percent 5 9 2" xfId="811"/>
    <cellStyle name="Normal 5 11 2" xfId="812"/>
    <cellStyle name="Comma 5 10 2" xfId="813"/>
    <cellStyle name="Percent 5 10 2" xfId="814"/>
    <cellStyle name="Normal 5 12 2" xfId="815"/>
    <cellStyle name="Comma 5 11 2" xfId="816"/>
    <cellStyle name="Percent 5 11 2" xfId="817"/>
    <cellStyle name="Normal 5 13 2" xfId="818"/>
    <cellStyle name="Comma 5 12 2" xfId="819"/>
    <cellStyle name="Percent 5 12 2" xfId="820"/>
    <cellStyle name="Normal 5 14 2" xfId="821"/>
    <cellStyle name="Comma 5 13 2" xfId="822"/>
    <cellStyle name="Percent 5 13 2" xfId="823"/>
    <cellStyle name="Normal 5 15 2" xfId="824"/>
    <cellStyle name="Comma 5 14 2" xfId="825"/>
    <cellStyle name="Percent 5 14 2" xfId="826"/>
    <cellStyle name="20% - Accent1 2 2" xfId="827"/>
    <cellStyle name="40% - Accent1 2 2" xfId="828"/>
    <cellStyle name="20% - Accent2 2 2" xfId="829"/>
    <cellStyle name="40% - Accent2 2 2" xfId="830"/>
    <cellStyle name="20% - Accent3 2 2" xfId="831"/>
    <cellStyle name="40% - Accent3 2 2" xfId="832"/>
    <cellStyle name="20% - Accent4 2 2" xfId="833"/>
    <cellStyle name="40% - Accent4 2 2" xfId="834"/>
    <cellStyle name="20% - Accent5 2 2" xfId="835"/>
    <cellStyle name="40% - Accent5 2 2" xfId="836"/>
    <cellStyle name="20% - Accent6 2 2" xfId="837"/>
    <cellStyle name="40% - Accent6 2 2" xfId="838"/>
    <cellStyle name="Normal 5 16 2" xfId="839"/>
    <cellStyle name="Note 2 2 2" xfId="840"/>
    <cellStyle name="Comma 5 15 2" xfId="841"/>
    <cellStyle name="Percent 5 15 2" xfId="842"/>
    <cellStyle name="20% - Accent1 3 2" xfId="843"/>
    <cellStyle name="40% - Accent1 3 2" xfId="844"/>
    <cellStyle name="20% - Accent2 3 2" xfId="845"/>
    <cellStyle name="40% - Accent2 3 2" xfId="846"/>
    <cellStyle name="20% - Accent3 3 2" xfId="847"/>
    <cellStyle name="40% - Accent3 3 2" xfId="848"/>
    <cellStyle name="20% - Accent4 3 2" xfId="849"/>
    <cellStyle name="40% - Accent4 3 2" xfId="850"/>
    <cellStyle name="20% - Accent5 3 2" xfId="851"/>
    <cellStyle name="40% - Accent5 3 2" xfId="852"/>
    <cellStyle name="20% - Accent6 3 2" xfId="853"/>
    <cellStyle name="40% - Accent6 3 2" xfId="854"/>
    <cellStyle name="Normal 5 17 2" xfId="855"/>
    <cellStyle name="Note 2 3 2" xfId="856"/>
    <cellStyle name="Comma 5 16 2" xfId="857"/>
    <cellStyle name="Percent 5 16 2" xfId="858"/>
    <cellStyle name="20% - Accent1 4 2" xfId="859"/>
    <cellStyle name="40% - Accent1 4 2" xfId="860"/>
    <cellStyle name="20% - Accent2 4 2" xfId="861"/>
    <cellStyle name="40% - Accent2 4 2" xfId="862"/>
    <cellStyle name="20% - Accent3 4 2" xfId="863"/>
    <cellStyle name="40% - Accent3 4 2" xfId="864"/>
    <cellStyle name="20% - Accent4 4 2" xfId="865"/>
    <cellStyle name="40% - Accent4 4 2" xfId="866"/>
    <cellStyle name="20% - Accent5 4 2" xfId="867"/>
    <cellStyle name="40% - Accent5 4 2" xfId="868"/>
    <cellStyle name="20% - Accent6 4 2" xfId="869"/>
    <cellStyle name="40% - Accent6 4 2" xfId="870"/>
    <cellStyle name="Normal 5 18 2" xfId="871"/>
    <cellStyle name="Note 2 4 2" xfId="872"/>
    <cellStyle name="Comma 5 17 2" xfId="873"/>
    <cellStyle name="Percent 5 17 2" xfId="874"/>
    <cellStyle name="20% - Accent1 5 2" xfId="875"/>
    <cellStyle name="40% - Accent1 5 2" xfId="876"/>
    <cellStyle name="20% - Accent2 5 2" xfId="877"/>
    <cellStyle name="40% - Accent2 5 2" xfId="878"/>
    <cellStyle name="20% - Accent3 5 2" xfId="879"/>
    <cellStyle name="40% - Accent3 5 2" xfId="880"/>
    <cellStyle name="20% - Accent4 5 2" xfId="881"/>
    <cellStyle name="40% - Accent4 5 2" xfId="882"/>
    <cellStyle name="20% - Accent5 5 2" xfId="883"/>
    <cellStyle name="40% - Accent5 5 2" xfId="884"/>
    <cellStyle name="20% - Accent6 5 2" xfId="885"/>
    <cellStyle name="40% - Accent6 5 2" xfId="886"/>
    <cellStyle name="Normal 5 19 2" xfId="887"/>
    <cellStyle name="Note 2 5 2" xfId="888"/>
    <cellStyle name="Comma 5 18 2" xfId="889"/>
    <cellStyle name="Percent 5 18 2" xfId="890"/>
    <cellStyle name="20% - Accent1 6 2" xfId="891"/>
    <cellStyle name="40% - Accent1 6 2" xfId="892"/>
    <cellStyle name="20% - Accent2 6 2" xfId="893"/>
    <cellStyle name="40% - Accent2 6 2" xfId="894"/>
    <cellStyle name="20% - Accent3 6 2" xfId="895"/>
    <cellStyle name="40% - Accent3 6 2" xfId="896"/>
    <cellStyle name="20% - Accent4 6 2" xfId="897"/>
    <cellStyle name="40% - Accent4 6 2" xfId="898"/>
    <cellStyle name="20% - Accent5 6 2" xfId="899"/>
    <cellStyle name="40% - Accent5 6 2" xfId="900"/>
    <cellStyle name="20% - Accent6 6 2" xfId="901"/>
    <cellStyle name="40% - Accent6 6 2" xfId="902"/>
    <cellStyle name="Normal 5 20 2" xfId="903"/>
    <cellStyle name="Note 2 6 2" xfId="904"/>
    <cellStyle name="Comma 5 19 2" xfId="905"/>
    <cellStyle name="Percent 5 19 2" xfId="906"/>
    <cellStyle name="20% - Accent1 7 2" xfId="907"/>
    <cellStyle name="40% - Accent1 7 2" xfId="908"/>
    <cellStyle name="20% - Accent2 7 2" xfId="909"/>
    <cellStyle name="40% - Accent2 7 2" xfId="910"/>
    <cellStyle name="20% - Accent3 7 2" xfId="911"/>
    <cellStyle name="40% - Accent3 7 2" xfId="912"/>
    <cellStyle name="20% - Accent4 7 2" xfId="913"/>
    <cellStyle name="40% - Accent4 7 2" xfId="914"/>
    <cellStyle name="20% - Accent5 7 2" xfId="915"/>
    <cellStyle name="40% - Accent5 7 2" xfId="916"/>
    <cellStyle name="20% - Accent6 7 2" xfId="917"/>
    <cellStyle name="40% - Accent6 7 2" xfId="918"/>
    <cellStyle name="Normal 5 21 2" xfId="919"/>
    <cellStyle name="Note 2 7 2" xfId="920"/>
    <cellStyle name="Comma 5 20 2" xfId="921"/>
    <cellStyle name="Percent 5 20 2" xfId="922"/>
    <cellStyle name="20% - Accent1 8 2" xfId="923"/>
    <cellStyle name="40% - Accent1 8 2" xfId="924"/>
    <cellStyle name="20% - Accent2 8 2" xfId="925"/>
    <cellStyle name="40% - Accent2 8 2" xfId="926"/>
    <cellStyle name="20% - Accent3 8 2" xfId="927"/>
    <cellStyle name="40% - Accent3 8 2" xfId="928"/>
    <cellStyle name="20% - Accent4 8 2" xfId="929"/>
    <cellStyle name="40% - Accent4 8 2" xfId="930"/>
    <cellStyle name="20% - Accent5 8 2" xfId="931"/>
    <cellStyle name="40% - Accent5 8 2" xfId="932"/>
    <cellStyle name="20% - Accent6 8 2" xfId="933"/>
    <cellStyle name="40% - Accent6 8 2" xfId="934"/>
    <cellStyle name="Normal 5 22 2" xfId="935"/>
    <cellStyle name="Note 2 8 2" xfId="936"/>
    <cellStyle name="Comma 5 21 2" xfId="937"/>
    <cellStyle name="Percent 5 21 2" xfId="938"/>
    <cellStyle name="20% - Accent1 9 2" xfId="939"/>
    <cellStyle name="40% - Accent1 9 2" xfId="940"/>
    <cellStyle name="20% - Accent2 9 2" xfId="941"/>
    <cellStyle name="40% - Accent2 9 2" xfId="942"/>
    <cellStyle name="20% - Accent3 9 2" xfId="943"/>
    <cellStyle name="40% - Accent3 9 2" xfId="944"/>
    <cellStyle name="20% - Accent4 9 2" xfId="945"/>
    <cellStyle name="40% - Accent4 9 2" xfId="946"/>
    <cellStyle name="20% - Accent5 9 2" xfId="947"/>
    <cellStyle name="40% - Accent5 9 2" xfId="948"/>
    <cellStyle name="20% - Accent6 9 2" xfId="949"/>
    <cellStyle name="40% - Accent6 9 2" xfId="950"/>
    <cellStyle name="Normal 5 23 2" xfId="951"/>
    <cellStyle name="Note 2 9 2" xfId="952"/>
    <cellStyle name="Comma 5 22 2" xfId="953"/>
    <cellStyle name="Percent 5 22 2" xfId="954"/>
    <cellStyle name="20% - Accent1 10 2" xfId="955"/>
    <cellStyle name="40% - Accent1 10 2" xfId="956"/>
    <cellStyle name="20% - Accent2 10 2" xfId="957"/>
    <cellStyle name="40% - Accent2 10 2" xfId="958"/>
    <cellStyle name="20% - Accent3 10 2" xfId="959"/>
    <cellStyle name="40% - Accent3 10 2" xfId="960"/>
    <cellStyle name="20% - Accent4 10 2" xfId="961"/>
    <cellStyle name="40% - Accent4 10 2" xfId="962"/>
    <cellStyle name="20% - Accent5 10 2" xfId="963"/>
    <cellStyle name="40% - Accent5 10 2" xfId="964"/>
    <cellStyle name="20% - Accent6 10 2" xfId="965"/>
    <cellStyle name="40% - Accent6 10 2" xfId="966"/>
    <cellStyle name="Normal 5 24 2" xfId="967"/>
    <cellStyle name="Note 2 10 2" xfId="968"/>
    <cellStyle name="Comma 5 23 2" xfId="969"/>
    <cellStyle name="Percent 5 23 2" xfId="970"/>
    <cellStyle name="20% - Accent1 11 2" xfId="971"/>
    <cellStyle name="40% - Accent1 11 2" xfId="972"/>
    <cellStyle name="20% - Accent2 11 2" xfId="973"/>
    <cellStyle name="40% - Accent2 11 2" xfId="974"/>
    <cellStyle name="20% - Accent3 11 2" xfId="975"/>
    <cellStyle name="40% - Accent3 11 2" xfId="976"/>
    <cellStyle name="20% - Accent4 11 2" xfId="977"/>
    <cellStyle name="40% - Accent4 11 2" xfId="978"/>
    <cellStyle name="20% - Accent5 11 2" xfId="979"/>
    <cellStyle name="40% - Accent5 11 2" xfId="980"/>
    <cellStyle name="20% - Accent6 11 2" xfId="981"/>
    <cellStyle name="40% - Accent6 11 2" xfId="982"/>
    <cellStyle name="Normal 5 25 2" xfId="983"/>
    <cellStyle name="Note 2 11 2" xfId="984"/>
    <cellStyle name="Comma 5 24 2" xfId="985"/>
    <cellStyle name="Percent 5 24 2" xfId="986"/>
    <cellStyle name="20% - Accent1 12 2" xfId="987"/>
    <cellStyle name="40% - Accent1 12 2" xfId="988"/>
    <cellStyle name="20% - Accent2 12 2" xfId="989"/>
    <cellStyle name="40% - Accent2 12 2" xfId="990"/>
    <cellStyle name="20% - Accent3 12 2" xfId="991"/>
    <cellStyle name="40% - Accent3 12 2" xfId="992"/>
    <cellStyle name="20% - Accent4 12 2" xfId="993"/>
    <cellStyle name="40% - Accent4 12 2" xfId="994"/>
    <cellStyle name="20% - Accent5 12 2" xfId="995"/>
    <cellStyle name="40% - Accent5 12 2" xfId="996"/>
    <cellStyle name="20% - Accent6 12 2" xfId="997"/>
    <cellStyle name="40% - Accent6 12 2" xfId="998"/>
    <cellStyle name="Normal 5 26 2" xfId="999"/>
    <cellStyle name="Note 2 12 2" xfId="1000"/>
    <cellStyle name="Comma 5 25 2" xfId="1001"/>
    <cellStyle name="Percent 5 25 2" xfId="1002"/>
    <cellStyle name="20% - Accent1 13 2" xfId="1003"/>
    <cellStyle name="40% - Accent1 13 2" xfId="1004"/>
    <cellStyle name="20% - Accent2 13 2" xfId="1005"/>
    <cellStyle name="40% - Accent2 13 2" xfId="1006"/>
    <cellStyle name="20% - Accent3 13 2" xfId="1007"/>
    <cellStyle name="40% - Accent3 13 2" xfId="1008"/>
    <cellStyle name="20% - Accent4 13 2" xfId="1009"/>
    <cellStyle name="40% - Accent4 13 2" xfId="1010"/>
    <cellStyle name="20% - Accent5 13 2" xfId="1011"/>
    <cellStyle name="40% - Accent5 13 2" xfId="1012"/>
    <cellStyle name="20% - Accent6 13 2" xfId="1013"/>
    <cellStyle name="40% - Accent6 13 2" xfId="1014"/>
    <cellStyle name="Normal 5 27 2" xfId="1015"/>
    <cellStyle name="Note 2 13 2" xfId="1016"/>
    <cellStyle name="Comma 5 26 2" xfId="1017"/>
    <cellStyle name="Percent 5 26 2" xfId="1018"/>
    <cellStyle name="20% - Accent1 14 2" xfId="1019"/>
    <cellStyle name="40% - Accent1 14 2" xfId="1020"/>
    <cellStyle name="20% - Accent2 14 2" xfId="1021"/>
    <cellStyle name="40% - Accent2 14 2" xfId="1022"/>
    <cellStyle name="20% - Accent3 14 2" xfId="1023"/>
    <cellStyle name="40% - Accent3 14 2" xfId="1024"/>
    <cellStyle name="20% - Accent4 14 2" xfId="1025"/>
    <cellStyle name="40% - Accent4 14 2" xfId="1026"/>
    <cellStyle name="20% - Accent5 14 2" xfId="1027"/>
    <cellStyle name="40% - Accent5 14 2" xfId="1028"/>
    <cellStyle name="20% - Accent6 14 2" xfId="1029"/>
    <cellStyle name="40% - Accent6 14 2" xfId="1030"/>
    <cellStyle name="Normal 5 28 2" xfId="1031"/>
    <cellStyle name="Note 2 14 2" xfId="1032"/>
    <cellStyle name="Comma 5 27 2" xfId="1033"/>
    <cellStyle name="Percent 5 27 2" xfId="1034"/>
    <cellStyle name="20% - Accent1 15 2" xfId="1035"/>
    <cellStyle name="40% - Accent1 15 2" xfId="1036"/>
    <cellStyle name="20% - Accent2 15 2" xfId="1037"/>
    <cellStyle name="40% - Accent2 15 2" xfId="1038"/>
    <cellStyle name="20% - Accent3 15 2" xfId="1039"/>
    <cellStyle name="40% - Accent3 15 2" xfId="1040"/>
    <cellStyle name="20% - Accent4 15 2" xfId="1041"/>
    <cellStyle name="40% - Accent4 15 2" xfId="1042"/>
    <cellStyle name="20% - Accent5 15 2" xfId="1043"/>
    <cellStyle name="40% - Accent5 15 2" xfId="1044"/>
    <cellStyle name="20% - Accent6 15 2" xfId="1045"/>
    <cellStyle name="40% - Accent6 15 2" xfId="1046"/>
    <cellStyle name="Normal 5 29 2" xfId="1047"/>
    <cellStyle name="Note 2 15 2" xfId="1048"/>
    <cellStyle name="Comma 5 28 2" xfId="1049"/>
    <cellStyle name="Percent 5 28 2" xfId="1050"/>
    <cellStyle name="Currency 6" xfId="1051"/>
    <cellStyle name="Normal 59" xfId="1052"/>
    <cellStyle name="Comma 216" xfId="1053"/>
    <cellStyle name="Percent 190" xfId="1054"/>
    <cellStyle name="Normal 2 2 30" xfId="1055"/>
    <cellStyle name="Normal 4 30" xfId="1056"/>
    <cellStyle name="Currency 3 31" xfId="1057"/>
    <cellStyle name="40% - Accent5 8 3" xfId="1058"/>
    <cellStyle name="Percent 191" xfId="1059"/>
    <cellStyle name="Comma 217" xfId="1060"/>
    <cellStyle name="Normal 10 12" xfId="1061"/>
    <cellStyle name="Comma 4 30" xfId="1062"/>
    <cellStyle name="Comma 5 30" xfId="1063"/>
    <cellStyle name="Normal 3 3 11" xfId="1064"/>
    <cellStyle name="Normal 6 2" xfId="1065"/>
    <cellStyle name="Normal 2 2 2 7" xfId="1066"/>
    <cellStyle name="Comma 7 8" xfId="1067"/>
    <cellStyle name="Comma 6 14" xfId="1068"/>
    <cellStyle name="Comma 8 6" xfId="1069"/>
    <cellStyle name="Comma 9 7" xfId="1070"/>
    <cellStyle name="Normal 58" xfId="1071"/>
    <cellStyle name="Normal 2 27" xfId="1072"/>
    <cellStyle name="Heading 3 11" xfId="1073"/>
    <cellStyle name="Normal 4 17 2" xfId="1074"/>
    <cellStyle name="Normal 5 29 3" xfId="1075"/>
    <cellStyle name="Normal 7 27" xfId="1076"/>
    <cellStyle name="Percent 185" xfId="1077"/>
    <cellStyle name="Currency 184" xfId="1078"/>
    <cellStyle name="Comma 211" xfId="1079"/>
    <cellStyle name="Comma [0] 9" xfId="1080"/>
    <cellStyle name="Currency [0] 9" xfId="1081"/>
    <cellStyle name="Output Report Title" xfId="1082"/>
    <cellStyle name="Output Report Heading" xfId="1083"/>
    <cellStyle name="Output Column Headings" xfId="1084"/>
    <cellStyle name="Output Line Items" xfId="1085"/>
    <cellStyle name="Currency 185" xfId="1086"/>
    <cellStyle name="Currency [0] 2" xfId="1087"/>
    <cellStyle name="Comma 212" xfId="1088"/>
    <cellStyle name="ColumnAttributeAbovePrompt" xfId="1089"/>
    <cellStyle name="ColumnAttributePrompt" xfId="1090"/>
    <cellStyle name="ColumnAttributeValue" xfId="1091"/>
    <cellStyle name="ColumnHeadingPrompt" xfId="1092"/>
    <cellStyle name="ColumnHeadingValue" xfId="1093"/>
    <cellStyle name="Comma [0] 3" xfId="1094"/>
    <cellStyle name="Comma 2 10 4" xfId="1095"/>
    <cellStyle name="Comma 2 11 4" xfId="1096"/>
    <cellStyle name="Comma 2 12 4" xfId="1097"/>
    <cellStyle name="Comma 2 13 4" xfId="1098"/>
    <cellStyle name="Comma 2 14 4" xfId="1099"/>
    <cellStyle name="Comma 2 15 4" xfId="1100"/>
    <cellStyle name="Comma 2 16 4" xfId="1101"/>
    <cellStyle name="Comma 2 17 4" xfId="1102"/>
    <cellStyle name="Comma 2 18 4" xfId="1103"/>
    <cellStyle name="Comma 2 19 4" xfId="1104"/>
    <cellStyle name="Comma 2 3 7" xfId="1105"/>
    <cellStyle name="Comma 2 4 7" xfId="1106"/>
    <cellStyle name="Comma 2 5 6" xfId="1107"/>
    <cellStyle name="Comma 2 6 5" xfId="1108"/>
    <cellStyle name="Comma 2 7 4" xfId="1109"/>
    <cellStyle name="Comma 2 8 4" xfId="1110"/>
    <cellStyle name="Comma 2 9 4" xfId="1111"/>
    <cellStyle name="Comma 4 8 2" xfId="1112"/>
    <cellStyle name="Currency [0] 3" xfId="1113"/>
    <cellStyle name="Percent 186" xfId="1114"/>
    <cellStyle name="40% - Accent2 11 3" xfId="1115"/>
    <cellStyle name="Currency 4 8" xfId="1116"/>
    <cellStyle name="Currency 5 11" xfId="1117"/>
    <cellStyle name="Hyperlink 2" xfId="1118"/>
    <cellStyle name="Hyperlink 2 2" xfId="1119"/>
    <cellStyle name="Hyperlink 3" xfId="1120"/>
    <cellStyle name="LineItemPrompt" xfId="1121"/>
    <cellStyle name="LineItemValue" xfId="1122"/>
    <cellStyle name="Normal 10 11" xfId="1123"/>
    <cellStyle name="Normal 2 10" xfId="1124"/>
    <cellStyle name="Normal 2 11" xfId="1125"/>
    <cellStyle name="Normal 2 12" xfId="1126"/>
    <cellStyle name="Normal 2 13" xfId="1127"/>
    <cellStyle name="Normal 2 14" xfId="1128"/>
    <cellStyle name="Normal 2 15" xfId="1129"/>
    <cellStyle name="Normal 2 16" xfId="1130"/>
    <cellStyle name="Normal 2 17" xfId="1131"/>
    <cellStyle name="Normal 2 18" xfId="1132"/>
    <cellStyle name="Normal 2 19" xfId="1133"/>
    <cellStyle name="Normal 2 4" xfId="1134"/>
    <cellStyle name="Normal 2 5" xfId="1135"/>
    <cellStyle name="Normal 2 6" xfId="1136"/>
    <cellStyle name="Normal 2 7" xfId="1137"/>
    <cellStyle name="Normal 2 8" xfId="1138"/>
    <cellStyle name="Normal 2 9" xfId="1139"/>
    <cellStyle name="Output Amounts" xfId="1140"/>
    <cellStyle name="Percent 2 10 4" xfId="1141"/>
    <cellStyle name="Percent 2 11 4" xfId="1142"/>
    <cellStyle name="Percent 2 12 4" xfId="1143"/>
    <cellStyle name="Percent 2 13 4" xfId="1144"/>
    <cellStyle name="Percent 2 14 4" xfId="1145"/>
    <cellStyle name="Percent 2 15 4" xfId="1146"/>
    <cellStyle name="Percent 2 16 4" xfId="1147"/>
    <cellStyle name="Percent 2 17 4" xfId="1148"/>
    <cellStyle name="Percent 2 18 4" xfId="1149"/>
    <cellStyle name="Percent 2 19 4" xfId="1150"/>
    <cellStyle name="Percent 2 2 7 2" xfId="1151"/>
    <cellStyle name="Percent 2 3 6" xfId="1152"/>
    <cellStyle name="Percent 2 5 4" xfId="1153"/>
    <cellStyle name="Percent 2 6 4" xfId="1154"/>
    <cellStyle name="Percent 2 7 4" xfId="1155"/>
    <cellStyle name="Percent 2 8 4" xfId="1156"/>
    <cellStyle name="Percent 2 9 4" xfId="1157"/>
    <cellStyle name="Percent 4 10 2" xfId="1158"/>
    <cellStyle name="ReportTitlePrompt" xfId="1159"/>
    <cellStyle name="ReportTitleValue" xfId="1160"/>
    <cellStyle name="RowAcctAbovePrompt" xfId="1161"/>
    <cellStyle name="RowAcctSOBAbovePrompt" xfId="1162"/>
    <cellStyle name="RowAcctSOBValue" xfId="1163"/>
    <cellStyle name="RowAcctValue" xfId="1164"/>
    <cellStyle name="RowAttrAbovePrompt" xfId="1165"/>
    <cellStyle name="RowAttrValue" xfId="1166"/>
    <cellStyle name="RowColSetAbovePrompt" xfId="1167"/>
    <cellStyle name="RowColSetLeftPrompt" xfId="1168"/>
    <cellStyle name="RowColSetValue" xfId="1169"/>
    <cellStyle name="RowLeftPrompt" xfId="1170"/>
    <cellStyle name="SampleUsingFormatMask" xfId="1171"/>
    <cellStyle name="SampleWithNoFormatMask" xfId="1172"/>
    <cellStyle name="UploadThisRowValue" xfId="1173"/>
    <cellStyle name="Normal 2 22" xfId="1174"/>
    <cellStyle name="Normal 8 31" xfId="1175"/>
    <cellStyle name="Comma 5 14 3" xfId="1176"/>
    <cellStyle name="Percent 5 12 3" xfId="1177"/>
    <cellStyle name="Heading 3 2" xfId="1178"/>
    <cellStyle name="Comma 6 13" xfId="1179"/>
    <cellStyle name="MonthHeader" xfId="1180"/>
    <cellStyle name="Normal 11 10" xfId="1181"/>
    <cellStyle name="Normal 9 26" xfId="1182"/>
    <cellStyle name="Heading 3 3" xfId="1183"/>
    <cellStyle name="Percent 6" xfId="1184"/>
    <cellStyle name="Currency 6 6" xfId="1185"/>
    <cellStyle name="Comma 7 7" xfId="1186"/>
    <cellStyle name="Comma [0] 4" xfId="1187"/>
    <cellStyle name="Currency [0] 4" xfId="1188"/>
    <cellStyle name="Currency 5 2" xfId="1189"/>
    <cellStyle name="Normal 8 2" xfId="1190"/>
    <cellStyle name="Comma 5 2 11" xfId="1191"/>
    <cellStyle name="Percent 5 2 12" xfId="1192"/>
    <cellStyle name="Comma 6 2 11" xfId="1193"/>
    <cellStyle name="Comma 11 7" xfId="1194"/>
    <cellStyle name="Currency 7" xfId="1195"/>
    <cellStyle name="Comma 8 5" xfId="1196"/>
    <cellStyle name="Currency 9" xfId="1197"/>
    <cellStyle name="Comma 10 6" xfId="1198"/>
    <cellStyle name="Currency 10" xfId="1199"/>
    <cellStyle name="Comma 9 6" xfId="1200"/>
    <cellStyle name="Currency 8" xfId="1201"/>
    <cellStyle name="Currency 5 3" xfId="1202"/>
    <cellStyle name="Normal 8 3" xfId="1203"/>
    <cellStyle name="Comma 5 3 9" xfId="1204"/>
    <cellStyle name="Percent 5 3 10" xfId="1205"/>
    <cellStyle name="Comma 6 3" xfId="1206"/>
    <cellStyle name="Normal 11 2" xfId="1207"/>
    <cellStyle name="Currency 5 2 2" xfId="1208"/>
    <cellStyle name="Normal 8 2 2" xfId="1209"/>
    <cellStyle name="Comma 5 2 2 9" xfId="1210"/>
    <cellStyle name="Percent 5 2 2 10" xfId="1211"/>
    <cellStyle name="Comma 6 2 2" xfId="1212"/>
    <cellStyle name="Normal 50" xfId="1213"/>
    <cellStyle name="Comma 186" xfId="1214"/>
    <cellStyle name="Percent 162" xfId="1215"/>
    <cellStyle name="Normal 49" xfId="1216"/>
    <cellStyle name="Comma 184" xfId="1217"/>
    <cellStyle name="Comma [0] 2 3" xfId="1218"/>
    <cellStyle name="Currency 160" xfId="1219"/>
    <cellStyle name="Currency [0] 2 3" xfId="1220"/>
    <cellStyle name="Percent 160" xfId="1221"/>
    <cellStyle name="Normal 2 24" xfId="1222"/>
    <cellStyle name="Normal 3 29 2" xfId="1223"/>
    <cellStyle name="20% - Accent1 2 7" xfId="1224"/>
    <cellStyle name="20% - Accent1 3 7" xfId="1225"/>
    <cellStyle name="20% - Accent1 4 7" xfId="1226"/>
    <cellStyle name="20% - Accent1 5 7" xfId="1227"/>
    <cellStyle name="20% - Accent1 6 3" xfId="1228"/>
    <cellStyle name="20% - Accent2 2 7" xfId="1229"/>
    <cellStyle name="20% - Accent2 3 7" xfId="1230"/>
    <cellStyle name="20% - Accent2 4 7" xfId="1231"/>
    <cellStyle name="20% - Accent2 5 7" xfId="1232"/>
    <cellStyle name="20% - Accent2 6 3" xfId="1233"/>
    <cellStyle name="20% - Accent3 2 7" xfId="1234"/>
    <cellStyle name="20% - Accent3 3 7" xfId="1235"/>
    <cellStyle name="20% - Accent3 4 7" xfId="1236"/>
    <cellStyle name="20% - Accent3 5 7" xfId="1237"/>
    <cellStyle name="20% - Accent3 6 3" xfId="1238"/>
    <cellStyle name="20% - Accent4 2 7" xfId="1239"/>
    <cellStyle name="20% - Accent4 3 7" xfId="1240"/>
    <cellStyle name="20% - Accent4 4 7" xfId="1241"/>
    <cellStyle name="20% - Accent4 5 7" xfId="1242"/>
    <cellStyle name="20% - Accent4 6 3" xfId="1243"/>
    <cellStyle name="20% - Accent5 2 7" xfId="1244"/>
    <cellStyle name="20% - Accent5 3 7" xfId="1245"/>
    <cellStyle name="20% - Accent5 4 7" xfId="1246"/>
    <cellStyle name="20% - Accent5 5 3" xfId="1247"/>
    <cellStyle name="20% - Accent6 2 7" xfId="1248"/>
    <cellStyle name="20% - Accent6 3 7" xfId="1249"/>
    <cellStyle name="20% - Accent6 4 7" xfId="1250"/>
    <cellStyle name="20% - Accent6 5 3" xfId="1251"/>
    <cellStyle name="40% - Accent1 2 7" xfId="1252"/>
    <cellStyle name="40% - Accent1 3 7" xfId="1253"/>
    <cellStyle name="40% - Accent1 4 7" xfId="1254"/>
    <cellStyle name="40% - Accent1 5 7" xfId="1255"/>
    <cellStyle name="40% - Accent1 6 3" xfId="1256"/>
    <cellStyle name="40% - Accent2 2 7" xfId="1257"/>
    <cellStyle name="40% - Accent2 3 7" xfId="1258"/>
    <cellStyle name="40% - Accent2 4 7" xfId="1259"/>
    <cellStyle name="40% - Accent2 5 3" xfId="1260"/>
    <cellStyle name="40% - Accent3 2 7" xfId="1261"/>
    <cellStyle name="40% - Accent3 3 7" xfId="1262"/>
    <cellStyle name="40% - Accent3 4 7" xfId="1263"/>
    <cellStyle name="40% - Accent3 5 7" xfId="1264"/>
    <cellStyle name="40% - Accent3 6 3" xfId="1265"/>
    <cellStyle name="40% - Accent4 2 7" xfId="1266"/>
    <cellStyle name="40% - Accent4 3 7" xfId="1267"/>
    <cellStyle name="40% - Accent4 4 7" xfId="1268"/>
    <cellStyle name="40% - Accent4 5 7" xfId="1269"/>
    <cellStyle name="40% - Accent4 6 3" xfId="1270"/>
    <cellStyle name="40% - Accent5 2 7" xfId="1271"/>
    <cellStyle name="40% - Accent5 3 7" xfId="1272"/>
    <cellStyle name="40% - Accent5 4 7" xfId="1273"/>
    <cellStyle name="40% - Accent5 5 3" xfId="1274"/>
    <cellStyle name="40% - Accent6 2 7" xfId="1275"/>
    <cellStyle name="40% - Accent6 3 7" xfId="1276"/>
    <cellStyle name="40% - Accent6 4 7" xfId="1277"/>
    <cellStyle name="40% - Accent6 5 7" xfId="1278"/>
    <cellStyle name="40% - Accent6 6 3" xfId="1279"/>
    <cellStyle name="60% - Accent1 2" xfId="1280"/>
    <cellStyle name="60% - Accent1 3" xfId="1281"/>
    <cellStyle name="60% - Accent1 4" xfId="1282"/>
    <cellStyle name="60% - Accent1 5" xfId="1283"/>
    <cellStyle name="60% - Accent1 6" xfId="1284"/>
    <cellStyle name="60% - Accent2 2" xfId="1285"/>
    <cellStyle name="60% - Accent2 3" xfId="1286"/>
    <cellStyle name="60% - Accent2 4" xfId="1287"/>
    <cellStyle name="60% - Accent2 5" xfId="1288"/>
    <cellStyle name="60% - Accent3 2" xfId="1289"/>
    <cellStyle name="60% - Accent3 3" xfId="1290"/>
    <cellStyle name="60% - Accent3 4" xfId="1291"/>
    <cellStyle name="60% - Accent3 5" xfId="1292"/>
    <cellStyle name="60% - Accent3 6" xfId="1293"/>
    <cellStyle name="60% - Accent4 2" xfId="1294"/>
    <cellStyle name="60% - Accent4 3" xfId="1295"/>
    <cellStyle name="60% - Accent4 4" xfId="1296"/>
    <cellStyle name="60% - Accent4 5" xfId="1297"/>
    <cellStyle name="60% - Accent4 6" xfId="1298"/>
    <cellStyle name="60% - Accent5 2" xfId="1299"/>
    <cellStyle name="60% - Accent5 3" xfId="1300"/>
    <cellStyle name="60% - Accent5 4" xfId="1301"/>
    <cellStyle name="60% - Accent5 5" xfId="1302"/>
    <cellStyle name="60% - Accent6 2" xfId="1303"/>
    <cellStyle name="60% - Accent6 3" xfId="1304"/>
    <cellStyle name="60% - Accent6 4" xfId="1305"/>
    <cellStyle name="60% - Accent6 5" xfId="1306"/>
    <cellStyle name="60% - Accent6 6" xfId="1307"/>
    <cellStyle name="Accent1 2" xfId="1308"/>
    <cellStyle name="Accent1 3" xfId="1309"/>
    <cellStyle name="Accent1 4" xfId="1310"/>
    <cellStyle name="Accent1 5" xfId="1311"/>
    <cellStyle name="Accent1 6" xfId="1312"/>
    <cellStyle name="Accent2 2" xfId="1313"/>
    <cellStyle name="Accent2 3" xfId="1314"/>
    <cellStyle name="Accent2 4" xfId="1315"/>
    <cellStyle name="Accent2 5" xfId="1316"/>
    <cellStyle name="Accent2 6" xfId="1317"/>
    <cellStyle name="Accent3 2" xfId="1318"/>
    <cellStyle name="Accent3 3" xfId="1319"/>
    <cellStyle name="Accent3 4" xfId="1320"/>
    <cellStyle name="Accent3 5" xfId="1321"/>
    <cellStyle name="Accent3 6" xfId="1322"/>
    <cellStyle name="Accent4 2" xfId="1323"/>
    <cellStyle name="Accent4 3" xfId="1324"/>
    <cellStyle name="Accent4 4" xfId="1325"/>
    <cellStyle name="Accent4 5" xfId="1326"/>
    <cellStyle name="Accent4 6" xfId="1327"/>
    <cellStyle name="Accent5 2" xfId="1328"/>
    <cellStyle name="Accent5 3" xfId="1329"/>
    <cellStyle name="Accent5 4" xfId="1330"/>
    <cellStyle name="Accent5 5" xfId="1331"/>
    <cellStyle name="Accent6 2" xfId="1332"/>
    <cellStyle name="Accent6 3" xfId="1333"/>
    <cellStyle name="Accent6 4" xfId="1334"/>
    <cellStyle name="Accent6 5" xfId="1335"/>
    <cellStyle name="alarm" xfId="1336"/>
    <cellStyle name="assumption" xfId="1337"/>
    <cellStyle name="assumption 2" xfId="1338"/>
    <cellStyle name="Bad 2" xfId="1339"/>
    <cellStyle name="Bad 3" xfId="1340"/>
    <cellStyle name="Bad 4" xfId="1341"/>
    <cellStyle name="Bad 5" xfId="1342"/>
    <cellStyle name="Bad 6" xfId="1343"/>
    <cellStyle name="Blank" xfId="1344"/>
    <cellStyle name="Calculation 2" xfId="1345"/>
    <cellStyle name="Calculation 3" xfId="1346"/>
    <cellStyle name="Calculation 4" xfId="1347"/>
    <cellStyle name="Calculation 5" xfId="1348"/>
    <cellStyle name="Calculation 6" xfId="1349"/>
    <cellStyle name="Centered Heading" xfId="1350"/>
    <cellStyle name="Centered Heading 2" xfId="1351"/>
    <cellStyle name="Centered Heading 3" xfId="1352"/>
    <cellStyle name="Check Cell 2" xfId="1353"/>
    <cellStyle name="Check Cell 3" xfId="1354"/>
    <cellStyle name="Check Cell 4" xfId="1355"/>
    <cellStyle name="Check Cell 5" xfId="1356"/>
    <cellStyle name="Column Header" xfId="1357"/>
    <cellStyle name="Comma 0" xfId="1358"/>
    <cellStyle name="Comma 0.0" xfId="1359"/>
    <cellStyle name="Comma 0.00" xfId="1360"/>
    <cellStyle name="Comma 0.000" xfId="1361"/>
    <cellStyle name="Comma 10 5" xfId="1362"/>
    <cellStyle name="Comma 10 2 4" xfId="1363"/>
    <cellStyle name="Comma 10 2 2" xfId="1364"/>
    <cellStyle name="Comma 10 2 3" xfId="1365"/>
    <cellStyle name="Comma 10 3" xfId="1366"/>
    <cellStyle name="Comma 100" xfId="1367"/>
    <cellStyle name="Comma 101" xfId="1368"/>
    <cellStyle name="Comma 102" xfId="1369"/>
    <cellStyle name="Comma 103" xfId="1370"/>
    <cellStyle name="Comma 104" xfId="1371"/>
    <cellStyle name="Comma 105" xfId="1372"/>
    <cellStyle name="Comma 106" xfId="1373"/>
    <cellStyle name="Comma 107" xfId="1374"/>
    <cellStyle name="Comma 108" xfId="1375"/>
    <cellStyle name="Comma 109" xfId="1376"/>
    <cellStyle name="Comma 11 6" xfId="1377"/>
    <cellStyle name="Comma 11 2 2" xfId="1378"/>
    <cellStyle name="Comma 11 3" xfId="1379"/>
    <cellStyle name="Comma 11 3 2" xfId="1380"/>
    <cellStyle name="Comma 11 3 3" xfId="1381"/>
    <cellStyle name="Comma 11 4" xfId="1382"/>
    <cellStyle name="Comma 110" xfId="1383"/>
    <cellStyle name="Comma 111" xfId="1384"/>
    <cellStyle name="Comma 112" xfId="1385"/>
    <cellStyle name="Comma 113" xfId="1386"/>
    <cellStyle name="Comma 114" xfId="1387"/>
    <cellStyle name="Comma 115" xfId="1388"/>
    <cellStyle name="Comma 116" xfId="1389"/>
    <cellStyle name="Comma 117" xfId="1390"/>
    <cellStyle name="Comma 118" xfId="1391"/>
    <cellStyle name="Comma 119" xfId="1392"/>
    <cellStyle name="Comma 12 4" xfId="1393"/>
    <cellStyle name="Comma 12 2 4" xfId="1394"/>
    <cellStyle name="Comma 12 2 2" xfId="1395"/>
    <cellStyle name="Comma 12 2 3" xfId="1396"/>
    <cellStyle name="Comma 12 3" xfId="1397"/>
    <cellStyle name="Comma 120" xfId="1398"/>
    <cellStyle name="Comma 121" xfId="1399"/>
    <cellStyle name="Comma 122" xfId="1400"/>
    <cellStyle name="Comma 123" xfId="1401"/>
    <cellStyle name="Comma 124" xfId="1402"/>
    <cellStyle name="Comma 125" xfId="1403"/>
    <cellStyle name="Comma 126" xfId="1404"/>
    <cellStyle name="Comma 127" xfId="1405"/>
    <cellStyle name="Comma 128" xfId="1406"/>
    <cellStyle name="Comma 129" xfId="1407"/>
    <cellStyle name="Comma 13 3" xfId="1408"/>
    <cellStyle name="Comma 13 2 4" xfId="1409"/>
    <cellStyle name="Comma 13 2 2" xfId="1410"/>
    <cellStyle name="Comma 13 2 3" xfId="1411"/>
    <cellStyle name="Comma 130" xfId="1412"/>
    <cellStyle name="Comma 131" xfId="1413"/>
    <cellStyle name="Comma 132" xfId="1414"/>
    <cellStyle name="Comma 133" xfId="1415"/>
    <cellStyle name="Comma 134" xfId="1416"/>
    <cellStyle name="Comma 135" xfId="1417"/>
    <cellStyle name="Comma 136" xfId="1418"/>
    <cellStyle name="Comma 137" xfId="1419"/>
    <cellStyle name="Comma 138" xfId="1420"/>
    <cellStyle name="Comma 139" xfId="1421"/>
    <cellStyle name="Comma 14 3" xfId="1422"/>
    <cellStyle name="Comma 140" xfId="1423"/>
    <cellStyle name="Comma 141" xfId="1424"/>
    <cellStyle name="Comma 141 2" xfId="1425"/>
    <cellStyle name="Comma 141 2 2" xfId="1426"/>
    <cellStyle name="Comma 141 2 2 2" xfId="1427"/>
    <cellStyle name="Comma 141 2 3" xfId="1428"/>
    <cellStyle name="Comma 141 3" xfId="1429"/>
    <cellStyle name="Comma 141 3 2" xfId="1430"/>
    <cellStyle name="Comma 141 4" xfId="1431"/>
    <cellStyle name="Comma 141 4 2" xfId="1432"/>
    <cellStyle name="Comma 141 5" xfId="1433"/>
    <cellStyle name="Comma 142" xfId="1434"/>
    <cellStyle name="Comma 142 2" xfId="1435"/>
    <cellStyle name="Comma 142 2 2" xfId="1436"/>
    <cellStyle name="Comma 142 2 2 2" xfId="1437"/>
    <cellStyle name="Comma 142 2 3" xfId="1438"/>
    <cellStyle name="Comma 142 3" xfId="1439"/>
    <cellStyle name="Comma 142 3 2" xfId="1440"/>
    <cellStyle name="Comma 142 4" xfId="1441"/>
    <cellStyle name="Comma 142 4 2" xfId="1442"/>
    <cellStyle name="Comma 142 5" xfId="1443"/>
    <cellStyle name="Comma 143" xfId="1444"/>
    <cellStyle name="Comma 144" xfId="1445"/>
    <cellStyle name="Comma 145" xfId="1446"/>
    <cellStyle name="Comma 146" xfId="1447"/>
    <cellStyle name="Comma 147" xfId="1448"/>
    <cellStyle name="Comma 148" xfId="1449"/>
    <cellStyle name="Comma 149" xfId="1450"/>
    <cellStyle name="Comma 15 3" xfId="1451"/>
    <cellStyle name="Comma 15 2 2" xfId="1452"/>
    <cellStyle name="Comma 150" xfId="1453"/>
    <cellStyle name="Comma 151" xfId="1454"/>
    <cellStyle name="Comma 152" xfId="1455"/>
    <cellStyle name="Comma 153" xfId="1456"/>
    <cellStyle name="Comma 154" xfId="1457"/>
    <cellStyle name="Comma 154 2" xfId="1458"/>
    <cellStyle name="Comma 155" xfId="1459"/>
    <cellStyle name="Comma 155 2" xfId="1460"/>
    <cellStyle name="Comma 156" xfId="1461"/>
    <cellStyle name="Comma 156 2" xfId="1462"/>
    <cellStyle name="Comma 157" xfId="1463"/>
    <cellStyle name="Comma 158" xfId="1464"/>
    <cellStyle name="Comma 159" xfId="1465"/>
    <cellStyle name="Comma 16 3" xfId="1466"/>
    <cellStyle name="Comma 160" xfId="1467"/>
    <cellStyle name="Comma 161" xfId="1468"/>
    <cellStyle name="Comma 162" xfId="1469"/>
    <cellStyle name="Comma 163" xfId="1470"/>
    <cellStyle name="Comma 164" xfId="1471"/>
    <cellStyle name="Comma 165" xfId="1472"/>
    <cellStyle name="Comma 166" xfId="1473"/>
    <cellStyle name="Comma 167" xfId="1474"/>
    <cellStyle name="Comma 168" xfId="1475"/>
    <cellStyle name="Comma 169" xfId="1476"/>
    <cellStyle name="Comma 17 3" xfId="1477"/>
    <cellStyle name="Comma 170" xfId="1478"/>
    <cellStyle name="Comma 171" xfId="1479"/>
    <cellStyle name="Comma 172" xfId="1480"/>
    <cellStyle name="Comma 173" xfId="1481"/>
    <cellStyle name="Comma 174" xfId="1482"/>
    <cellStyle name="Comma 175" xfId="1483"/>
    <cellStyle name="Comma 176" xfId="1484"/>
    <cellStyle name="Comma 177" xfId="1485"/>
    <cellStyle name="Comma 178" xfId="1486"/>
    <cellStyle name="Comma 179" xfId="1487"/>
    <cellStyle name="Comma 18 3" xfId="1488"/>
    <cellStyle name="Comma 180" xfId="1489"/>
    <cellStyle name="Comma 181" xfId="1490"/>
    <cellStyle name="Comma 182" xfId="1491"/>
    <cellStyle name="Comma 183" xfId="1492"/>
    <cellStyle name="Comma 19 3" xfId="1493"/>
    <cellStyle name="Comma 2 23 7" xfId="1494"/>
    <cellStyle name="Comma 2 10 3" xfId="1495"/>
    <cellStyle name="Comma 2 11 3" xfId="1496"/>
    <cellStyle name="Comma 2 12 3" xfId="1497"/>
    <cellStyle name="Comma 2 13 3" xfId="1498"/>
    <cellStyle name="Comma 2 14 3" xfId="1499"/>
    <cellStyle name="Comma 2 15 3" xfId="1500"/>
    <cellStyle name="Comma 2 16 3" xfId="1501"/>
    <cellStyle name="Comma 2 17 3" xfId="1502"/>
    <cellStyle name="Comma 2 18 3" xfId="1503"/>
    <cellStyle name="Comma 2 19 3" xfId="1504"/>
    <cellStyle name="Comma 2 2 10" xfId="1505"/>
    <cellStyle name="Comma 2 2 11" xfId="1506"/>
    <cellStyle name="Comma 2 2 12" xfId="1507"/>
    <cellStyle name="Comma 2 2 13" xfId="1508"/>
    <cellStyle name="Comma 2 2 14" xfId="1509"/>
    <cellStyle name="Comma 2 2 15" xfId="1510"/>
    <cellStyle name="Comma 2 2 16" xfId="1511"/>
    <cellStyle name="Comma 2 2 17" xfId="1512"/>
    <cellStyle name="Comma 2 2 18" xfId="1513"/>
    <cellStyle name="Comma 2 2 2" xfId="1514"/>
    <cellStyle name="Comma 2 2 2 2" xfId="1515"/>
    <cellStyle name="Comma 2 2 2 2 2" xfId="1516"/>
    <cellStyle name="Comma 2 2 2 2 3" xfId="1517"/>
    <cellStyle name="Comma 2 2 2 2 4" xfId="1518"/>
    <cellStyle name="Comma 2 2 2 2 5" xfId="1519"/>
    <cellStyle name="Comma 2 2 2 3" xfId="1520"/>
    <cellStyle name="Comma 2 2 2 4" xfId="1521"/>
    <cellStyle name="Comma 2 2 2 5" xfId="1522"/>
    <cellStyle name="Comma 2 2 2 6" xfId="1523"/>
    <cellStyle name="Comma 2 2 2 7" xfId="1524"/>
    <cellStyle name="Comma 2 2 2 8" xfId="1525"/>
    <cellStyle name="Comma 2 2 3" xfId="1526"/>
    <cellStyle name="Comma 2 2 3 2" xfId="1527"/>
    <cellStyle name="Comma 2 2 3 2 2" xfId="1528"/>
    <cellStyle name="Comma 2 2 3 2 3" xfId="1529"/>
    <cellStyle name="Comma 2 2 3 2 4" xfId="1530"/>
    <cellStyle name="Comma 2 2 3 2 5" xfId="1531"/>
    <cellStyle name="Comma 2 2 3 3" xfId="1532"/>
    <cellStyle name="Comma 2 2 3 4" xfId="1533"/>
    <cellStyle name="Comma 2 2 3 4 2" xfId="1534"/>
    <cellStyle name="Comma 2 2 3 5" xfId="1535"/>
    <cellStyle name="Comma 2 2 3 5 2" xfId="1536"/>
    <cellStyle name="Comma 2 2 4" xfId="1537"/>
    <cellStyle name="Comma 2 2 4 2" xfId="1538"/>
    <cellStyle name="Comma 2 2 4 3" xfId="1539"/>
    <cellStyle name="Comma 2 2 4 4" xfId="1540"/>
    <cellStyle name="Comma 2 2 5" xfId="1541"/>
    <cellStyle name="Comma 2 2 6" xfId="1542"/>
    <cellStyle name="Comma 2 2 7" xfId="1543"/>
    <cellStyle name="Comma 2 2 8" xfId="1544"/>
    <cellStyle name="Comma 2 2 9" xfId="1545"/>
    <cellStyle name="Comma 2 20 2" xfId="1546"/>
    <cellStyle name="Comma 2 21 2" xfId="1547"/>
    <cellStyle name="Comma 2 22 2" xfId="1548"/>
    <cellStyle name="Comma 2 3 5" xfId="1549"/>
    <cellStyle name="Comma 2 3 2 2" xfId="1550"/>
    <cellStyle name="Comma 2 3 3" xfId="1551"/>
    <cellStyle name="Comma 2 4 6" xfId="1552"/>
    <cellStyle name="Comma 2 4 2" xfId="1553"/>
    <cellStyle name="Comma 2 4 3" xfId="1554"/>
    <cellStyle name="Comma 2 4 4" xfId="1555"/>
    <cellStyle name="Comma 2 4 4 2" xfId="1556"/>
    <cellStyle name="Comma 2 4 5" xfId="1557"/>
    <cellStyle name="Comma 2 4 5 2" xfId="1558"/>
    <cellStyle name="Comma 2 5 5" xfId="1559"/>
    <cellStyle name="Comma 2 5 2" xfId="1560"/>
    <cellStyle name="Comma 2 5 3" xfId="1561"/>
    <cellStyle name="Comma 2 6 4" xfId="1562"/>
    <cellStyle name="Comma 2 6 2" xfId="1563"/>
    <cellStyle name="Comma 2 6 3" xfId="1564"/>
    <cellStyle name="Comma 2 7 3" xfId="1565"/>
    <cellStyle name="Comma 2 8 3" xfId="1566"/>
    <cellStyle name="Comma 2 9 3" xfId="1567"/>
    <cellStyle name="Comma 20 3" xfId="1568"/>
    <cellStyle name="Comma 21 3" xfId="1569"/>
    <cellStyle name="Comma 22 3" xfId="1570"/>
    <cellStyle name="Comma 23 3" xfId="1571"/>
    <cellStyle name="Comma 24" xfId="1572"/>
    <cellStyle name="Comma 25" xfId="1573"/>
    <cellStyle name="Comma 26" xfId="1574"/>
    <cellStyle name="Comma 27" xfId="1575"/>
    <cellStyle name="Comma 28" xfId="1576"/>
    <cellStyle name="Comma 29" xfId="1577"/>
    <cellStyle name="Comma 3 10 7" xfId="1578"/>
    <cellStyle name="Comma 3 11 7" xfId="1579"/>
    <cellStyle name="Comma 3 12 7" xfId="1580"/>
    <cellStyle name="Comma 3 13 7" xfId="1581"/>
    <cellStyle name="Comma 3 14 7" xfId="1582"/>
    <cellStyle name="Comma 3 15 7" xfId="1583"/>
    <cellStyle name="Comma 3 16 7" xfId="1584"/>
    <cellStyle name="Comma 3 17 7" xfId="1585"/>
    <cellStyle name="Comma 3 18 7" xfId="1586"/>
    <cellStyle name="Comma 3 19 7" xfId="1587"/>
    <cellStyle name="Comma 3 2 8" xfId="1588"/>
    <cellStyle name="Comma 3 2 2 7" xfId="1589"/>
    <cellStyle name="Comma 3 2 3" xfId="1590"/>
    <cellStyle name="Comma 3 2 4" xfId="1591"/>
    <cellStyle name="Comma 3 2 5" xfId="1592"/>
    <cellStyle name="Comma 3 2 6" xfId="1593"/>
    <cellStyle name="Comma 3 2 7" xfId="1594"/>
    <cellStyle name="Comma 3 2 7 2" xfId="1595"/>
    <cellStyle name="Comma 3 2 7 3" xfId="1596"/>
    <cellStyle name="Comma 3 2 7 4" xfId="1597"/>
    <cellStyle name="Comma 3 20 7" xfId="1598"/>
    <cellStyle name="Comma 3 21 7" xfId="1599"/>
    <cellStyle name="Comma 3 22 2" xfId="1600"/>
    <cellStyle name="Comma 3 23 2" xfId="1601"/>
    <cellStyle name="Comma 3 3 11" xfId="1602"/>
    <cellStyle name="Comma 3 3 2 7" xfId="1603"/>
    <cellStyle name="Comma 3 3 3" xfId="1604"/>
    <cellStyle name="Comma 3 3 4" xfId="1605"/>
    <cellStyle name="Comma 3 3 5" xfId="1606"/>
    <cellStyle name="Comma 3 4 8" xfId="1607"/>
    <cellStyle name="Comma 3 4 2" xfId="1608"/>
    <cellStyle name="Comma 3 5 8" xfId="1609"/>
    <cellStyle name="Comma 3 5 2" xfId="1610"/>
    <cellStyle name="Comma 3 6 8" xfId="1611"/>
    <cellStyle name="Comma 3 6 2" xfId="1612"/>
    <cellStyle name="Comma 3 7 7" xfId="1613"/>
    <cellStyle name="Comma 3 8 7" xfId="1614"/>
    <cellStyle name="Comma 3 9 7" xfId="1615"/>
    <cellStyle name="Comma 30" xfId="1616"/>
    <cellStyle name="Comma 31" xfId="1617"/>
    <cellStyle name="Comma 32" xfId="1618"/>
    <cellStyle name="Comma 33" xfId="1619"/>
    <cellStyle name="Comma 34" xfId="1620"/>
    <cellStyle name="Comma 35" xfId="1621"/>
    <cellStyle name="Comma 36" xfId="1622"/>
    <cellStyle name="Comma 37" xfId="1623"/>
    <cellStyle name="Comma 38" xfId="1624"/>
    <cellStyle name="Comma 39" xfId="1625"/>
    <cellStyle name="Comma 4 2 4" xfId="1626"/>
    <cellStyle name="Comma 4 2 2" xfId="1627"/>
    <cellStyle name="Comma 4 2 2 2" xfId="1628"/>
    <cellStyle name="Comma 4 2 2 3" xfId="1629"/>
    <cellStyle name="Comma 4 4 2" xfId="1630"/>
    <cellStyle name="Comma 40" xfId="1631"/>
    <cellStyle name="Comma 41" xfId="1632"/>
    <cellStyle name="Comma 42" xfId="1633"/>
    <cellStyle name="Comma 43" xfId="1634"/>
    <cellStyle name="Comma 43 10" xfId="1635"/>
    <cellStyle name="Comma 43 10 2" xfId="1636"/>
    <cellStyle name="Comma 43 11" xfId="1637"/>
    <cellStyle name="Comma 43 11 2" xfId="1638"/>
    <cellStyle name="Comma 43 12" xfId="1639"/>
    <cellStyle name="Comma 43 2" xfId="1640"/>
    <cellStyle name="Comma 43 2 2" xfId="1641"/>
    <cellStyle name="Comma 43 2 2 2" xfId="1642"/>
    <cellStyle name="Comma 43 2 2 2 2" xfId="1643"/>
    <cellStyle name="Comma 43 2 2 3" xfId="1644"/>
    <cellStyle name="Comma 43 2 3" xfId="1645"/>
    <cellStyle name="Comma 43 2 3 2" xfId="1646"/>
    <cellStyle name="Comma 43 2 4" xfId="1647"/>
    <cellStyle name="Comma 43 2 4 2" xfId="1648"/>
    <cellStyle name="Comma 43 2 5" xfId="1649"/>
    <cellStyle name="Comma 43 3" xfId="1650"/>
    <cellStyle name="Comma 43 3 2" xfId="1651"/>
    <cellStyle name="Comma 43 3 2 2" xfId="1652"/>
    <cellStyle name="Comma 43 3 2 2 2" xfId="1653"/>
    <cellStyle name="Comma 43 3 2 3" xfId="1654"/>
    <cellStyle name="Comma 43 3 3" xfId="1655"/>
    <cellStyle name="Comma 43 3 3 2" xfId="1656"/>
    <cellStyle name="Comma 43 3 4" xfId="1657"/>
    <cellStyle name="Comma 43 3 4 2" xfId="1658"/>
    <cellStyle name="Comma 43 3 5" xfId="1659"/>
    <cellStyle name="Comma 43 4" xfId="1660"/>
    <cellStyle name="Comma 43 4 2" xfId="1661"/>
    <cellStyle name="Comma 43 4 2 2" xfId="1662"/>
    <cellStyle name="Comma 43 4 2 2 2" xfId="1663"/>
    <cellStyle name="Comma 43 4 2 3" xfId="1664"/>
    <cellStyle name="Comma 43 4 3" xfId="1665"/>
    <cellStyle name="Comma 43 4 3 2" xfId="1666"/>
    <cellStyle name="Comma 43 4 4" xfId="1667"/>
    <cellStyle name="Comma 43 4 4 2" xfId="1668"/>
    <cellStyle name="Comma 43 4 5" xfId="1669"/>
    <cellStyle name="Comma 43 5" xfId="1670"/>
    <cellStyle name="Comma 43 5 2" xfId="1671"/>
    <cellStyle name="Comma 43 5 2 2" xfId="1672"/>
    <cellStyle name="Comma 43 5 2 2 2" xfId="1673"/>
    <cellStyle name="Comma 43 5 2 3" xfId="1674"/>
    <cellStyle name="Comma 43 5 3" xfId="1675"/>
    <cellStyle name="Comma 43 5 3 2" xfId="1676"/>
    <cellStyle name="Comma 43 5 4" xfId="1677"/>
    <cellStyle name="Comma 43 5 4 2" xfId="1678"/>
    <cellStyle name="Comma 43 5 5" xfId="1679"/>
    <cellStyle name="Comma 43 6" xfId="1680"/>
    <cellStyle name="Comma 43 6 2" xfId="1681"/>
    <cellStyle name="Comma 43 6 2 2" xfId="1682"/>
    <cellStyle name="Comma 43 6 2 2 2" xfId="1683"/>
    <cellStyle name="Comma 43 6 2 3" xfId="1684"/>
    <cellStyle name="Comma 43 6 3" xfId="1685"/>
    <cellStyle name="Comma 43 6 3 2" xfId="1686"/>
    <cellStyle name="Comma 43 6 4" xfId="1687"/>
    <cellStyle name="Comma 43 6 4 2" xfId="1688"/>
    <cellStyle name="Comma 43 6 5" xfId="1689"/>
    <cellStyle name="Comma 43 7" xfId="1690"/>
    <cellStyle name="Comma 43 7 2" xfId="1691"/>
    <cellStyle name="Comma 43 7 2 2" xfId="1692"/>
    <cellStyle name="Comma 43 7 2 2 2" xfId="1693"/>
    <cellStyle name="Comma 43 7 2 3" xfId="1694"/>
    <cellStyle name="Comma 43 7 3" xfId="1695"/>
    <cellStyle name="Comma 43 7 3 2" xfId="1696"/>
    <cellStyle name="Comma 43 7 4" xfId="1697"/>
    <cellStyle name="Comma 43 8" xfId="1698"/>
    <cellStyle name="Comma 43 8 2" xfId="1699"/>
    <cellStyle name="Comma 43 8 2 2" xfId="1700"/>
    <cellStyle name="Comma 43 8 2 2 2" xfId="1701"/>
    <cellStyle name="Comma 43 8 2 3" xfId="1702"/>
    <cellStyle name="Comma 43 8 3" xfId="1703"/>
    <cellStyle name="Comma 43 8 3 2" xfId="1704"/>
    <cellStyle name="Comma 43 8 4" xfId="1705"/>
    <cellStyle name="Comma 43 9" xfId="1706"/>
    <cellStyle name="Comma 43 9 2" xfId="1707"/>
    <cellStyle name="Comma 43 9 2 2" xfId="1708"/>
    <cellStyle name="Comma 43 9 3" xfId="1709"/>
    <cellStyle name="Comma 44" xfId="1710"/>
    <cellStyle name="Comma 44 10" xfId="1711"/>
    <cellStyle name="Comma 44 10 2" xfId="1712"/>
    <cellStyle name="Comma 44 11" xfId="1713"/>
    <cellStyle name="Comma 44 11 2" xfId="1714"/>
    <cellStyle name="Comma 44 12" xfId="1715"/>
    <cellStyle name="Comma 44 2" xfId="1716"/>
    <cellStyle name="Comma 44 2 2" xfId="1717"/>
    <cellStyle name="Comma 44 2 2 2" xfId="1718"/>
    <cellStyle name="Comma 44 2 2 2 2" xfId="1719"/>
    <cellStyle name="Comma 44 2 2 3" xfId="1720"/>
    <cellStyle name="Comma 44 2 3" xfId="1721"/>
    <cellStyle name="Comma 44 2 3 2" xfId="1722"/>
    <cellStyle name="Comma 44 2 4" xfId="1723"/>
    <cellStyle name="Comma 44 2 4 2" xfId="1724"/>
    <cellStyle name="Comma 44 2 5" xfId="1725"/>
    <cellStyle name="Comma 44 3" xfId="1726"/>
    <cellStyle name="Comma 44 3 2" xfId="1727"/>
    <cellStyle name="Comma 44 3 2 2" xfId="1728"/>
    <cellStyle name="Comma 44 3 2 2 2" xfId="1729"/>
    <cellStyle name="Comma 44 3 2 3" xfId="1730"/>
    <cellStyle name="Comma 44 3 3" xfId="1731"/>
    <cellStyle name="Comma 44 3 3 2" xfId="1732"/>
    <cellStyle name="Comma 44 3 4" xfId="1733"/>
    <cellStyle name="Comma 44 3 4 2" xfId="1734"/>
    <cellStyle name="Comma 44 3 5" xfId="1735"/>
    <cellStyle name="Comma 44 4" xfId="1736"/>
    <cellStyle name="Comma 44 4 2" xfId="1737"/>
    <cellStyle name="Comma 44 4 2 2" xfId="1738"/>
    <cellStyle name="Comma 44 4 2 2 2" xfId="1739"/>
    <cellStyle name="Comma 44 4 2 3" xfId="1740"/>
    <cellStyle name="Comma 44 4 3" xfId="1741"/>
    <cellStyle name="Comma 44 4 3 2" xfId="1742"/>
    <cellStyle name="Comma 44 4 4" xfId="1743"/>
    <cellStyle name="Comma 44 4 4 2" xfId="1744"/>
    <cellStyle name="Comma 44 4 5" xfId="1745"/>
    <cellStyle name="Comma 44 5" xfId="1746"/>
    <cellStyle name="Comma 44 5 2" xfId="1747"/>
    <cellStyle name="Comma 44 5 2 2" xfId="1748"/>
    <cellStyle name="Comma 44 5 2 2 2" xfId="1749"/>
    <cellStyle name="Comma 44 5 2 3" xfId="1750"/>
    <cellStyle name="Comma 44 5 3" xfId="1751"/>
    <cellStyle name="Comma 44 5 3 2" xfId="1752"/>
    <cellStyle name="Comma 44 5 4" xfId="1753"/>
    <cellStyle name="Comma 44 5 4 2" xfId="1754"/>
    <cellStyle name="Comma 44 5 5" xfId="1755"/>
    <cellStyle name="Comma 44 6" xfId="1756"/>
    <cellStyle name="Comma 44 6 2" xfId="1757"/>
    <cellStyle name="Comma 44 6 2 2" xfId="1758"/>
    <cellStyle name="Comma 44 6 2 2 2" xfId="1759"/>
    <cellStyle name="Comma 44 6 2 3" xfId="1760"/>
    <cellStyle name="Comma 44 6 3" xfId="1761"/>
    <cellStyle name="Comma 44 6 3 2" xfId="1762"/>
    <cellStyle name="Comma 44 6 4" xfId="1763"/>
    <cellStyle name="Comma 44 6 4 2" xfId="1764"/>
    <cellStyle name="Comma 44 6 5" xfId="1765"/>
    <cellStyle name="Comma 44 7" xfId="1766"/>
    <cellStyle name="Comma 44 7 2" xfId="1767"/>
    <cellStyle name="Comma 44 7 2 2" xfId="1768"/>
    <cellStyle name="Comma 44 7 2 2 2" xfId="1769"/>
    <cellStyle name="Comma 44 7 2 3" xfId="1770"/>
    <cellStyle name="Comma 44 7 3" xfId="1771"/>
    <cellStyle name="Comma 44 7 3 2" xfId="1772"/>
    <cellStyle name="Comma 44 7 4" xfId="1773"/>
    <cellStyle name="Comma 44 8" xfId="1774"/>
    <cellStyle name="Comma 44 8 2" xfId="1775"/>
    <cellStyle name="Comma 44 8 2 2" xfId="1776"/>
    <cellStyle name="Comma 44 8 2 2 2" xfId="1777"/>
    <cellStyle name="Comma 44 8 2 3" xfId="1778"/>
    <cellStyle name="Comma 44 8 3" xfId="1779"/>
    <cellStyle name="Comma 44 8 3 2" xfId="1780"/>
    <cellStyle name="Comma 44 8 4" xfId="1781"/>
    <cellStyle name="Comma 44 9" xfId="1782"/>
    <cellStyle name="Comma 44 9 2" xfId="1783"/>
    <cellStyle name="Comma 44 9 2 2" xfId="1784"/>
    <cellStyle name="Comma 44 9 3" xfId="1785"/>
    <cellStyle name="Comma 45" xfId="1786"/>
    <cellStyle name="Comma 45 10" xfId="1787"/>
    <cellStyle name="Comma 45 10 2" xfId="1788"/>
    <cellStyle name="Comma 45 11" xfId="1789"/>
    <cellStyle name="Comma 45 11 2" xfId="1790"/>
    <cellStyle name="Comma 45 12" xfId="1791"/>
    <cellStyle name="Comma 45 2" xfId="1792"/>
    <cellStyle name="Comma 45 2 2" xfId="1793"/>
    <cellStyle name="Comma 45 2 2 2" xfId="1794"/>
    <cellStyle name="Comma 45 2 2 2 2" xfId="1795"/>
    <cellStyle name="Comma 45 2 2 3" xfId="1796"/>
    <cellStyle name="Comma 45 2 3" xfId="1797"/>
    <cellStyle name="Comma 45 2 3 2" xfId="1798"/>
    <cellStyle name="Comma 45 2 4" xfId="1799"/>
    <cellStyle name="Comma 45 2 4 2" xfId="1800"/>
    <cellStyle name="Comma 45 2 5" xfId="1801"/>
    <cellStyle name="Comma 45 3" xfId="1802"/>
    <cellStyle name="Comma 45 3 2" xfId="1803"/>
    <cellStyle name="Comma 45 3 2 2" xfId="1804"/>
    <cellStyle name="Comma 45 3 2 2 2" xfId="1805"/>
    <cellStyle name="Comma 45 3 2 3" xfId="1806"/>
    <cellStyle name="Comma 45 3 3" xfId="1807"/>
    <cellStyle name="Comma 45 3 3 2" xfId="1808"/>
    <cellStyle name="Comma 45 3 4" xfId="1809"/>
    <cellStyle name="Comma 45 3 4 2" xfId="1810"/>
    <cellStyle name="Comma 45 3 5" xfId="1811"/>
    <cellStyle name="Comma 45 4" xfId="1812"/>
    <cellStyle name="Comma 45 4 2" xfId="1813"/>
    <cellStyle name="Comma 45 4 2 2" xfId="1814"/>
    <cellStyle name="Comma 45 4 2 2 2" xfId="1815"/>
    <cellStyle name="Comma 45 4 2 3" xfId="1816"/>
    <cellStyle name="Comma 45 4 3" xfId="1817"/>
    <cellStyle name="Comma 45 4 3 2" xfId="1818"/>
    <cellStyle name="Comma 45 4 4" xfId="1819"/>
    <cellStyle name="Comma 45 4 4 2" xfId="1820"/>
    <cellStyle name="Comma 45 4 5" xfId="1821"/>
    <cellStyle name="Comma 45 5" xfId="1822"/>
    <cellStyle name="Comma 45 5 2" xfId="1823"/>
    <cellStyle name="Comma 45 5 2 2" xfId="1824"/>
    <cellStyle name="Comma 45 5 2 2 2" xfId="1825"/>
    <cellStyle name="Comma 45 5 2 3" xfId="1826"/>
    <cellStyle name="Comma 45 5 3" xfId="1827"/>
    <cellStyle name="Comma 45 5 3 2" xfId="1828"/>
    <cellStyle name="Comma 45 5 4" xfId="1829"/>
    <cellStyle name="Comma 45 5 4 2" xfId="1830"/>
    <cellStyle name="Comma 45 5 5" xfId="1831"/>
    <cellStyle name="Comma 45 6" xfId="1832"/>
    <cellStyle name="Comma 45 6 2" xfId="1833"/>
    <cellStyle name="Comma 45 6 2 2" xfId="1834"/>
    <cellStyle name="Comma 45 6 2 2 2" xfId="1835"/>
    <cellStyle name="Comma 45 6 2 3" xfId="1836"/>
    <cellStyle name="Comma 45 6 3" xfId="1837"/>
    <cellStyle name="Comma 45 6 3 2" xfId="1838"/>
    <cellStyle name="Comma 45 6 4" xfId="1839"/>
    <cellStyle name="Comma 45 6 4 2" xfId="1840"/>
    <cellStyle name="Comma 45 6 5" xfId="1841"/>
    <cellStyle name="Comma 45 7" xfId="1842"/>
    <cellStyle name="Comma 45 7 2" xfId="1843"/>
    <cellStyle name="Comma 45 7 2 2" xfId="1844"/>
    <cellStyle name="Comma 45 7 2 2 2" xfId="1845"/>
    <cellStyle name="Comma 45 7 2 3" xfId="1846"/>
    <cellStyle name="Comma 45 7 3" xfId="1847"/>
    <cellStyle name="Comma 45 7 3 2" xfId="1848"/>
    <cellStyle name="Comma 45 7 4" xfId="1849"/>
    <cellStyle name="Comma 45 8" xfId="1850"/>
    <cellStyle name="Comma 45 8 2" xfId="1851"/>
    <cellStyle name="Comma 45 8 2 2" xfId="1852"/>
    <cellStyle name="Comma 45 8 2 2 2" xfId="1853"/>
    <cellStyle name="Comma 45 8 2 3" xfId="1854"/>
    <cellStyle name="Comma 45 8 3" xfId="1855"/>
    <cellStyle name="Comma 45 8 3 2" xfId="1856"/>
    <cellStyle name="Comma 45 8 4" xfId="1857"/>
    <cellStyle name="Comma 45 9" xfId="1858"/>
    <cellStyle name="Comma 45 9 2" xfId="1859"/>
    <cellStyle name="Comma 45 9 2 2" xfId="1860"/>
    <cellStyle name="Comma 45 9 3" xfId="1861"/>
    <cellStyle name="Comma 46" xfId="1862"/>
    <cellStyle name="Comma 46 10" xfId="1863"/>
    <cellStyle name="Comma 46 10 2" xfId="1864"/>
    <cellStyle name="Comma 46 11" xfId="1865"/>
    <cellStyle name="Comma 46 11 2" xfId="1866"/>
    <cellStyle name="Comma 46 12" xfId="1867"/>
    <cellStyle name="Comma 46 2" xfId="1868"/>
    <cellStyle name="Comma 46 2 2" xfId="1869"/>
    <cellStyle name="Comma 46 2 2 2" xfId="1870"/>
    <cellStyle name="Comma 46 2 2 2 2" xfId="1871"/>
    <cellStyle name="Comma 46 2 2 3" xfId="1872"/>
    <cellStyle name="Comma 46 2 3" xfId="1873"/>
    <cellStyle name="Comma 46 2 3 2" xfId="1874"/>
    <cellStyle name="Comma 46 2 4" xfId="1875"/>
    <cellStyle name="Comma 46 2 4 2" xfId="1876"/>
    <cellStyle name="Comma 46 2 5" xfId="1877"/>
    <cellStyle name="Comma 46 3" xfId="1878"/>
    <cellStyle name="Comma 46 3 2" xfId="1879"/>
    <cellStyle name="Comma 46 3 2 2" xfId="1880"/>
    <cellStyle name="Comma 46 3 2 2 2" xfId="1881"/>
    <cellStyle name="Comma 46 3 2 3" xfId="1882"/>
    <cellStyle name="Comma 46 3 3" xfId="1883"/>
    <cellStyle name="Comma 46 3 3 2" xfId="1884"/>
    <cellStyle name="Comma 46 3 4" xfId="1885"/>
    <cellStyle name="Comma 46 3 4 2" xfId="1886"/>
    <cellStyle name="Comma 46 3 5" xfId="1887"/>
    <cellStyle name="Comma 46 4" xfId="1888"/>
    <cellStyle name="Comma 46 4 2" xfId="1889"/>
    <cellStyle name="Comma 46 4 2 2" xfId="1890"/>
    <cellStyle name="Comma 46 4 2 2 2" xfId="1891"/>
    <cellStyle name="Comma 46 4 2 3" xfId="1892"/>
    <cellStyle name="Comma 46 4 3" xfId="1893"/>
    <cellStyle name="Comma 46 4 3 2" xfId="1894"/>
    <cellStyle name="Comma 46 4 4" xfId="1895"/>
    <cellStyle name="Comma 46 4 4 2" xfId="1896"/>
    <cellStyle name="Comma 46 4 5" xfId="1897"/>
    <cellStyle name="Comma 46 5" xfId="1898"/>
    <cellStyle name="Comma 46 5 2" xfId="1899"/>
    <cellStyle name="Comma 46 5 2 2" xfId="1900"/>
    <cellStyle name="Comma 46 5 2 2 2" xfId="1901"/>
    <cellStyle name="Comma 46 5 2 3" xfId="1902"/>
    <cellStyle name="Comma 46 5 3" xfId="1903"/>
    <cellStyle name="Comma 46 5 3 2" xfId="1904"/>
    <cellStyle name="Comma 46 5 4" xfId="1905"/>
    <cellStyle name="Comma 46 5 4 2" xfId="1906"/>
    <cellStyle name="Comma 46 5 5" xfId="1907"/>
    <cellStyle name="Comma 46 6" xfId="1908"/>
    <cellStyle name="Comma 46 6 2" xfId="1909"/>
    <cellStyle name="Comma 46 6 2 2" xfId="1910"/>
    <cellStyle name="Comma 46 6 2 2 2" xfId="1911"/>
    <cellStyle name="Comma 46 6 2 3" xfId="1912"/>
    <cellStyle name="Comma 46 6 3" xfId="1913"/>
    <cellStyle name="Comma 46 6 3 2" xfId="1914"/>
    <cellStyle name="Comma 46 6 4" xfId="1915"/>
    <cellStyle name="Comma 46 6 4 2" xfId="1916"/>
    <cellStyle name="Comma 46 6 5" xfId="1917"/>
    <cellStyle name="Comma 46 7" xfId="1918"/>
    <cellStyle name="Comma 46 7 2" xfId="1919"/>
    <cellStyle name="Comma 46 7 2 2" xfId="1920"/>
    <cellStyle name="Comma 46 7 2 2 2" xfId="1921"/>
    <cellStyle name="Comma 46 7 2 3" xfId="1922"/>
    <cellStyle name="Comma 46 7 3" xfId="1923"/>
    <cellStyle name="Comma 46 7 3 2" xfId="1924"/>
    <cellStyle name="Comma 46 7 4" xfId="1925"/>
    <cellStyle name="Comma 46 8" xfId="1926"/>
    <cellStyle name="Comma 46 8 2" xfId="1927"/>
    <cellStyle name="Comma 46 8 2 2" xfId="1928"/>
    <cellStyle name="Comma 46 8 2 2 2" xfId="1929"/>
    <cellStyle name="Comma 46 8 2 3" xfId="1930"/>
    <cellStyle name="Comma 46 8 3" xfId="1931"/>
    <cellStyle name="Comma 46 8 3 2" xfId="1932"/>
    <cellStyle name="Comma 46 8 4" xfId="1933"/>
    <cellStyle name="Comma 46 9" xfId="1934"/>
    <cellStyle name="Comma 46 9 2" xfId="1935"/>
    <cellStyle name="Comma 46 9 2 2" xfId="1936"/>
    <cellStyle name="Comma 46 9 3" xfId="1937"/>
    <cellStyle name="Comma 47" xfId="1938"/>
    <cellStyle name="Comma 47 10" xfId="1939"/>
    <cellStyle name="Comma 47 10 2" xfId="1940"/>
    <cellStyle name="Comma 47 11" xfId="1941"/>
    <cellStyle name="Comma 47 11 2" xfId="1942"/>
    <cellStyle name="Comma 47 12" xfId="1943"/>
    <cellStyle name="Comma 47 2" xfId="1944"/>
    <cellStyle name="Comma 47 2 2" xfId="1945"/>
    <cellStyle name="Comma 47 2 2 2" xfId="1946"/>
    <cellStyle name="Comma 47 2 2 2 2" xfId="1947"/>
    <cellStyle name="Comma 47 2 2 3" xfId="1948"/>
    <cellStyle name="Comma 47 2 3" xfId="1949"/>
    <cellStyle name="Comma 47 2 3 2" xfId="1950"/>
    <cellStyle name="Comma 47 2 4" xfId="1951"/>
    <cellStyle name="Comma 47 2 4 2" xfId="1952"/>
    <cellStyle name="Comma 47 2 5" xfId="1953"/>
    <cellStyle name="Comma 47 3" xfId="1954"/>
    <cellStyle name="Comma 47 3 2" xfId="1955"/>
    <cellStyle name="Comma 47 3 2 2" xfId="1956"/>
    <cellStyle name="Comma 47 3 2 2 2" xfId="1957"/>
    <cellStyle name="Comma 47 3 2 3" xfId="1958"/>
    <cellStyle name="Comma 47 3 3" xfId="1959"/>
    <cellStyle name="Comma 47 3 3 2" xfId="1960"/>
    <cellStyle name="Comma 47 3 4" xfId="1961"/>
    <cellStyle name="Comma 47 3 4 2" xfId="1962"/>
    <cellStyle name="Comma 47 3 5" xfId="1963"/>
    <cellStyle name="Comma 47 4" xfId="1964"/>
    <cellStyle name="Comma 47 4 2" xfId="1965"/>
    <cellStyle name="Comma 47 4 2 2" xfId="1966"/>
    <cellStyle name="Comma 47 4 2 2 2" xfId="1967"/>
    <cellStyle name="Comma 47 4 2 3" xfId="1968"/>
    <cellStyle name="Comma 47 4 3" xfId="1969"/>
    <cellStyle name="Comma 47 4 3 2" xfId="1970"/>
    <cellStyle name="Comma 47 4 4" xfId="1971"/>
    <cellStyle name="Comma 47 4 4 2" xfId="1972"/>
    <cellStyle name="Comma 47 4 5" xfId="1973"/>
    <cellStyle name="Comma 47 5" xfId="1974"/>
    <cellStyle name="Comma 47 5 2" xfId="1975"/>
    <cellStyle name="Comma 47 5 2 2" xfId="1976"/>
    <cellStyle name="Comma 47 5 2 2 2" xfId="1977"/>
    <cellStyle name="Comma 47 5 2 3" xfId="1978"/>
    <cellStyle name="Comma 47 5 3" xfId="1979"/>
    <cellStyle name="Comma 47 5 3 2" xfId="1980"/>
    <cellStyle name="Comma 47 5 4" xfId="1981"/>
    <cellStyle name="Comma 47 5 4 2" xfId="1982"/>
    <cellStyle name="Comma 47 5 5" xfId="1983"/>
    <cellStyle name="Comma 47 6" xfId="1984"/>
    <cellStyle name="Comma 47 6 2" xfId="1985"/>
    <cellStyle name="Comma 47 6 2 2" xfId="1986"/>
    <cellStyle name="Comma 47 6 2 2 2" xfId="1987"/>
    <cellStyle name="Comma 47 6 2 3" xfId="1988"/>
    <cellStyle name="Comma 47 6 3" xfId="1989"/>
    <cellStyle name="Comma 47 6 3 2" xfId="1990"/>
    <cellStyle name="Comma 47 6 4" xfId="1991"/>
    <cellStyle name="Comma 47 6 4 2" xfId="1992"/>
    <cellStyle name="Comma 47 6 5" xfId="1993"/>
    <cellStyle name="Comma 47 7" xfId="1994"/>
    <cellStyle name="Comma 47 7 2" xfId="1995"/>
    <cellStyle name="Comma 47 7 2 2" xfId="1996"/>
    <cellStyle name="Comma 47 7 2 2 2" xfId="1997"/>
    <cellStyle name="Comma 47 7 2 3" xfId="1998"/>
    <cellStyle name="Comma 47 7 3" xfId="1999"/>
    <cellStyle name="Comma 47 7 3 2" xfId="2000"/>
    <cellStyle name="Comma 47 7 4" xfId="2001"/>
    <cellStyle name="Comma 47 8" xfId="2002"/>
    <cellStyle name="Comma 47 8 2" xfId="2003"/>
    <cellStyle name="Comma 47 8 2 2" xfId="2004"/>
    <cellStyle name="Comma 47 8 2 2 2" xfId="2005"/>
    <cellStyle name="Comma 47 8 2 3" xfId="2006"/>
    <cellStyle name="Comma 47 8 3" xfId="2007"/>
    <cellStyle name="Comma 47 8 3 2" xfId="2008"/>
    <cellStyle name="Comma 47 8 4" xfId="2009"/>
    <cellStyle name="Comma 47 9" xfId="2010"/>
    <cellStyle name="Comma 47 9 2" xfId="2011"/>
    <cellStyle name="Comma 47 9 2 2" xfId="2012"/>
    <cellStyle name="Comma 47 9 3" xfId="2013"/>
    <cellStyle name="Comma 48" xfId="2014"/>
    <cellStyle name="Comma 48 10" xfId="2015"/>
    <cellStyle name="Comma 48 10 2" xfId="2016"/>
    <cellStyle name="Comma 48 11" xfId="2017"/>
    <cellStyle name="Comma 48 11 2" xfId="2018"/>
    <cellStyle name="Comma 48 12" xfId="2019"/>
    <cellStyle name="Comma 48 2" xfId="2020"/>
    <cellStyle name="Comma 48 2 2" xfId="2021"/>
    <cellStyle name="Comma 48 2 2 2" xfId="2022"/>
    <cellStyle name="Comma 48 2 2 2 2" xfId="2023"/>
    <cellStyle name="Comma 48 2 2 3" xfId="2024"/>
    <cellStyle name="Comma 48 2 3" xfId="2025"/>
    <cellStyle name="Comma 48 2 3 2" xfId="2026"/>
    <cellStyle name="Comma 48 2 4" xfId="2027"/>
    <cellStyle name="Comma 48 2 4 2" xfId="2028"/>
    <cellStyle name="Comma 48 2 5" xfId="2029"/>
    <cellStyle name="Comma 48 3" xfId="2030"/>
    <cellStyle name="Comma 48 3 2" xfId="2031"/>
    <cellStyle name="Comma 48 3 2 2" xfId="2032"/>
    <cellStyle name="Comma 48 3 2 2 2" xfId="2033"/>
    <cellStyle name="Comma 48 3 2 3" xfId="2034"/>
    <cellStyle name="Comma 48 3 3" xfId="2035"/>
    <cellStyle name="Comma 48 3 3 2" xfId="2036"/>
    <cellStyle name="Comma 48 3 4" xfId="2037"/>
    <cellStyle name="Comma 48 3 4 2" xfId="2038"/>
    <cellStyle name="Comma 48 3 5" xfId="2039"/>
    <cellStyle name="Comma 48 4" xfId="2040"/>
    <cellStyle name="Comma 48 4 2" xfId="2041"/>
    <cellStyle name="Comma 48 4 2 2" xfId="2042"/>
    <cellStyle name="Comma 48 4 2 2 2" xfId="2043"/>
    <cellStyle name="Comma 48 4 2 3" xfId="2044"/>
    <cellStyle name="Comma 48 4 3" xfId="2045"/>
    <cellStyle name="Comma 48 4 3 2" xfId="2046"/>
    <cellStyle name="Comma 48 4 4" xfId="2047"/>
    <cellStyle name="Comma 48 4 4 2" xfId="2048"/>
    <cellStyle name="Comma 48 4 5" xfId="2049"/>
    <cellStyle name="Comma 48 5" xfId="2050"/>
    <cellStyle name="Comma 48 5 2" xfId="2051"/>
    <cellStyle name="Comma 48 5 2 2" xfId="2052"/>
    <cellStyle name="Comma 48 5 2 2 2" xfId="2053"/>
    <cellStyle name="Comma 48 5 2 3" xfId="2054"/>
    <cellStyle name="Comma 48 5 3" xfId="2055"/>
    <cellStyle name="Comma 48 5 3 2" xfId="2056"/>
    <cellStyle name="Comma 48 5 4" xfId="2057"/>
    <cellStyle name="Comma 48 5 4 2" xfId="2058"/>
    <cellStyle name="Comma 48 5 5" xfId="2059"/>
    <cellStyle name="Comma 48 6" xfId="2060"/>
    <cellStyle name="Comma 48 6 2" xfId="2061"/>
    <cellStyle name="Comma 48 6 2 2" xfId="2062"/>
    <cellStyle name="Comma 48 6 2 2 2" xfId="2063"/>
    <cellStyle name="Comma 48 6 2 3" xfId="2064"/>
    <cellStyle name="Comma 48 6 3" xfId="2065"/>
    <cellStyle name="Comma 48 6 3 2" xfId="2066"/>
    <cellStyle name="Comma 48 6 4" xfId="2067"/>
    <cellStyle name="Comma 48 6 4 2" xfId="2068"/>
    <cellStyle name="Comma 48 6 5" xfId="2069"/>
    <cellStyle name="Comma 48 7" xfId="2070"/>
    <cellStyle name="Comma 48 7 2" xfId="2071"/>
    <cellStyle name="Comma 48 7 2 2" xfId="2072"/>
    <cellStyle name="Comma 48 7 2 2 2" xfId="2073"/>
    <cellStyle name="Comma 48 7 2 3" xfId="2074"/>
    <cellStyle name="Comma 48 7 3" xfId="2075"/>
    <cellStyle name="Comma 48 7 3 2" xfId="2076"/>
    <cellStyle name="Comma 48 7 4" xfId="2077"/>
    <cellStyle name="Comma 48 8" xfId="2078"/>
    <cellStyle name="Comma 48 8 2" xfId="2079"/>
    <cellStyle name="Comma 48 8 2 2" xfId="2080"/>
    <cellStyle name="Comma 48 8 2 2 2" xfId="2081"/>
    <cellStyle name="Comma 48 8 2 3" xfId="2082"/>
    <cellStyle name="Comma 48 8 3" xfId="2083"/>
    <cellStyle name="Comma 48 8 3 2" xfId="2084"/>
    <cellStyle name="Comma 48 8 4" xfId="2085"/>
    <cellStyle name="Comma 48 9" xfId="2086"/>
    <cellStyle name="Comma 48 9 2" xfId="2087"/>
    <cellStyle name="Comma 48 9 2 2" xfId="2088"/>
    <cellStyle name="Comma 48 9 3" xfId="2089"/>
    <cellStyle name="Comma 49" xfId="2090"/>
    <cellStyle name="Comma 49 10" xfId="2091"/>
    <cellStyle name="Comma 49 10 2" xfId="2092"/>
    <cellStyle name="Comma 49 11" xfId="2093"/>
    <cellStyle name="Comma 49 11 2" xfId="2094"/>
    <cellStyle name="Comma 49 12" xfId="2095"/>
    <cellStyle name="Comma 49 2" xfId="2096"/>
    <cellStyle name="Comma 49 2 2" xfId="2097"/>
    <cellStyle name="Comma 49 2 2 2" xfId="2098"/>
    <cellStyle name="Comma 49 2 2 2 2" xfId="2099"/>
    <cellStyle name="Comma 49 2 2 3" xfId="2100"/>
    <cellStyle name="Comma 49 2 3" xfId="2101"/>
    <cellStyle name="Comma 49 2 3 2" xfId="2102"/>
    <cellStyle name="Comma 49 2 4" xfId="2103"/>
    <cellStyle name="Comma 49 2 4 2" xfId="2104"/>
    <cellStyle name="Comma 49 2 5" xfId="2105"/>
    <cellStyle name="Comma 49 3" xfId="2106"/>
    <cellStyle name="Comma 49 3 2" xfId="2107"/>
    <cellStyle name="Comma 49 3 2 2" xfId="2108"/>
    <cellStyle name="Comma 49 3 2 2 2" xfId="2109"/>
    <cellStyle name="Comma 49 3 2 3" xfId="2110"/>
    <cellStyle name="Comma 49 3 3" xfId="2111"/>
    <cellStyle name="Comma 49 3 3 2" xfId="2112"/>
    <cellStyle name="Comma 49 3 4" xfId="2113"/>
    <cellStyle name="Comma 49 3 4 2" xfId="2114"/>
    <cellStyle name="Comma 49 3 5" xfId="2115"/>
    <cellStyle name="Comma 49 4" xfId="2116"/>
    <cellStyle name="Comma 49 4 2" xfId="2117"/>
    <cellStyle name="Comma 49 4 2 2" xfId="2118"/>
    <cellStyle name="Comma 49 4 2 2 2" xfId="2119"/>
    <cellStyle name="Comma 49 4 2 3" xfId="2120"/>
    <cellStyle name="Comma 49 4 3" xfId="2121"/>
    <cellStyle name="Comma 49 4 3 2" xfId="2122"/>
    <cellStyle name="Comma 49 4 4" xfId="2123"/>
    <cellStyle name="Comma 49 4 4 2" xfId="2124"/>
    <cellStyle name="Comma 49 4 5" xfId="2125"/>
    <cellStyle name="Comma 49 5" xfId="2126"/>
    <cellStyle name="Comma 49 5 2" xfId="2127"/>
    <cellStyle name="Comma 49 5 2 2" xfId="2128"/>
    <cellStyle name="Comma 49 5 2 2 2" xfId="2129"/>
    <cellStyle name="Comma 49 5 2 3" xfId="2130"/>
    <cellStyle name="Comma 49 5 3" xfId="2131"/>
    <cellStyle name="Comma 49 5 3 2" xfId="2132"/>
    <cellStyle name="Comma 49 5 4" xfId="2133"/>
    <cellStyle name="Comma 49 5 4 2" xfId="2134"/>
    <cellStyle name="Comma 49 5 5" xfId="2135"/>
    <cellStyle name="Comma 49 6" xfId="2136"/>
    <cellStyle name="Comma 49 6 2" xfId="2137"/>
    <cellStyle name="Comma 49 6 2 2" xfId="2138"/>
    <cellStyle name="Comma 49 6 2 2 2" xfId="2139"/>
    <cellStyle name="Comma 49 6 2 3" xfId="2140"/>
    <cellStyle name="Comma 49 6 3" xfId="2141"/>
    <cellStyle name="Comma 49 6 3 2" xfId="2142"/>
    <cellStyle name="Comma 49 6 4" xfId="2143"/>
    <cellStyle name="Comma 49 6 4 2" xfId="2144"/>
    <cellStyle name="Comma 49 6 5" xfId="2145"/>
    <cellStyle name="Comma 49 7" xfId="2146"/>
    <cellStyle name="Comma 49 7 2" xfId="2147"/>
    <cellStyle name="Comma 49 7 2 2" xfId="2148"/>
    <cellStyle name="Comma 49 7 2 2 2" xfId="2149"/>
    <cellStyle name="Comma 49 7 2 3" xfId="2150"/>
    <cellStyle name="Comma 49 7 3" xfId="2151"/>
    <cellStyle name="Comma 49 7 3 2" xfId="2152"/>
    <cellStyle name="Comma 49 7 4" xfId="2153"/>
    <cellStyle name="Comma 49 8" xfId="2154"/>
    <cellStyle name="Comma 49 8 2" xfId="2155"/>
    <cellStyle name="Comma 49 8 2 2" xfId="2156"/>
    <cellStyle name="Comma 49 8 2 2 2" xfId="2157"/>
    <cellStyle name="Comma 49 8 2 3" xfId="2158"/>
    <cellStyle name="Comma 49 8 3" xfId="2159"/>
    <cellStyle name="Comma 49 8 3 2" xfId="2160"/>
    <cellStyle name="Comma 49 8 4" xfId="2161"/>
    <cellStyle name="Comma 49 9" xfId="2162"/>
    <cellStyle name="Comma 49 9 2" xfId="2163"/>
    <cellStyle name="Comma 49 9 2 2" xfId="2164"/>
    <cellStyle name="Comma 49 9 3" xfId="2165"/>
    <cellStyle name="Comma 5 8 3" xfId="2166"/>
    <cellStyle name="Comma 5 2 5" xfId="2167"/>
    <cellStyle name="Comma 5 2 2 3" xfId="2168"/>
    <cellStyle name="Comma 5 2 3" xfId="2169"/>
    <cellStyle name="Comma 5 3 3" xfId="2170"/>
    <cellStyle name="Comma 5 4 3" xfId="2171"/>
    <cellStyle name="Comma 5 5 4" xfId="2172"/>
    <cellStyle name="Comma 5 5 2 2" xfId="2173"/>
    <cellStyle name="Comma 5 5 3" xfId="2174"/>
    <cellStyle name="Comma 5 6 3" xfId="2175"/>
    <cellStyle name="Comma 50" xfId="2176"/>
    <cellStyle name="Comma 50 10" xfId="2177"/>
    <cellStyle name="Comma 50 10 2" xfId="2178"/>
    <cellStyle name="Comma 50 11" xfId="2179"/>
    <cellStyle name="Comma 50 11 2" xfId="2180"/>
    <cellStyle name="Comma 50 12" xfId="2181"/>
    <cellStyle name="Comma 50 2" xfId="2182"/>
    <cellStyle name="Comma 50 2 2" xfId="2183"/>
    <cellStyle name="Comma 50 2 2 2" xfId="2184"/>
    <cellStyle name="Comma 50 2 2 2 2" xfId="2185"/>
    <cellStyle name="Comma 50 2 2 3" xfId="2186"/>
    <cellStyle name="Comma 50 2 3" xfId="2187"/>
    <cellStyle name="Comma 50 2 3 2" xfId="2188"/>
    <cellStyle name="Comma 50 2 4" xfId="2189"/>
    <cellStyle name="Comma 50 2 4 2" xfId="2190"/>
    <cellStyle name="Comma 50 2 5" xfId="2191"/>
    <cellStyle name="Comma 50 3" xfId="2192"/>
    <cellStyle name="Comma 50 3 2" xfId="2193"/>
    <cellStyle name="Comma 50 3 2 2" xfId="2194"/>
    <cellStyle name="Comma 50 3 2 2 2" xfId="2195"/>
    <cellStyle name="Comma 50 3 2 3" xfId="2196"/>
    <cellStyle name="Comma 50 3 3" xfId="2197"/>
    <cellStyle name="Comma 50 3 3 2" xfId="2198"/>
    <cellStyle name="Comma 50 3 4" xfId="2199"/>
    <cellStyle name="Comma 50 3 4 2" xfId="2200"/>
    <cellStyle name="Comma 50 3 5" xfId="2201"/>
    <cellStyle name="Comma 50 4" xfId="2202"/>
    <cellStyle name="Comma 50 4 2" xfId="2203"/>
    <cellStyle name="Comma 50 4 2 2" xfId="2204"/>
    <cellStyle name="Comma 50 4 2 2 2" xfId="2205"/>
    <cellStyle name="Comma 50 4 2 3" xfId="2206"/>
    <cellStyle name="Comma 50 4 3" xfId="2207"/>
    <cellStyle name="Comma 50 4 3 2" xfId="2208"/>
    <cellStyle name="Comma 50 4 4" xfId="2209"/>
    <cellStyle name="Comma 50 4 4 2" xfId="2210"/>
    <cellStyle name="Comma 50 4 5" xfId="2211"/>
    <cellStyle name="Comma 50 5" xfId="2212"/>
    <cellStyle name="Comma 50 5 2" xfId="2213"/>
    <cellStyle name="Comma 50 5 2 2" xfId="2214"/>
    <cellStyle name="Comma 50 5 2 2 2" xfId="2215"/>
    <cellStyle name="Comma 50 5 2 3" xfId="2216"/>
    <cellStyle name="Comma 50 5 3" xfId="2217"/>
    <cellStyle name="Comma 50 5 3 2" xfId="2218"/>
    <cellStyle name="Comma 50 5 4" xfId="2219"/>
    <cellStyle name="Comma 50 5 4 2" xfId="2220"/>
    <cellStyle name="Comma 50 5 5" xfId="2221"/>
    <cellStyle name="Comma 50 6" xfId="2222"/>
    <cellStyle name="Comma 50 6 2" xfId="2223"/>
    <cellStyle name="Comma 50 6 2 2" xfId="2224"/>
    <cellStyle name="Comma 50 6 2 2 2" xfId="2225"/>
    <cellStyle name="Comma 50 6 2 3" xfId="2226"/>
    <cellStyle name="Comma 50 6 3" xfId="2227"/>
    <cellStyle name="Comma 50 6 3 2" xfId="2228"/>
    <cellStyle name="Comma 50 6 4" xfId="2229"/>
    <cellStyle name="Comma 50 6 4 2" xfId="2230"/>
    <cellStyle name="Comma 50 6 5" xfId="2231"/>
    <cellStyle name="Comma 50 7" xfId="2232"/>
    <cellStyle name="Comma 50 7 2" xfId="2233"/>
    <cellStyle name="Comma 50 7 2 2" xfId="2234"/>
    <cellStyle name="Comma 50 7 2 2 2" xfId="2235"/>
    <cellStyle name="Comma 50 7 2 3" xfId="2236"/>
    <cellStyle name="Comma 50 7 3" xfId="2237"/>
    <cellStyle name="Comma 50 7 3 2" xfId="2238"/>
    <cellStyle name="Comma 50 7 4" xfId="2239"/>
    <cellStyle name="Comma 50 8" xfId="2240"/>
    <cellStyle name="Comma 50 8 2" xfId="2241"/>
    <cellStyle name="Comma 50 8 2 2" xfId="2242"/>
    <cellStyle name="Comma 50 8 2 2 2" xfId="2243"/>
    <cellStyle name="Comma 50 8 2 3" xfId="2244"/>
    <cellStyle name="Comma 50 8 3" xfId="2245"/>
    <cellStyle name="Comma 50 8 3 2" xfId="2246"/>
    <cellStyle name="Comma 50 8 4" xfId="2247"/>
    <cellStyle name="Comma 50 9" xfId="2248"/>
    <cellStyle name="Comma 50 9 2" xfId="2249"/>
    <cellStyle name="Comma 50 9 2 2" xfId="2250"/>
    <cellStyle name="Comma 50 9 3" xfId="2251"/>
    <cellStyle name="Comma 51" xfId="2252"/>
    <cellStyle name="Comma 51 10" xfId="2253"/>
    <cellStyle name="Comma 51 10 2" xfId="2254"/>
    <cellStyle name="Comma 51 11" xfId="2255"/>
    <cellStyle name="Comma 51 11 2" xfId="2256"/>
    <cellStyle name="Comma 51 12" xfId="2257"/>
    <cellStyle name="Comma 51 2" xfId="2258"/>
    <cellStyle name="Comma 51 2 2" xfId="2259"/>
    <cellStyle name="Comma 51 2 2 2" xfId="2260"/>
    <cellStyle name="Comma 51 2 2 2 2" xfId="2261"/>
    <cellStyle name="Comma 51 2 2 3" xfId="2262"/>
    <cellStyle name="Comma 51 2 3" xfId="2263"/>
    <cellStyle name="Comma 51 2 3 2" xfId="2264"/>
    <cellStyle name="Comma 51 2 4" xfId="2265"/>
    <cellStyle name="Comma 51 2 4 2" xfId="2266"/>
    <cellStyle name="Comma 51 2 5" xfId="2267"/>
    <cellStyle name="Comma 51 3" xfId="2268"/>
    <cellStyle name="Comma 51 3 2" xfId="2269"/>
    <cellStyle name="Comma 51 3 2 2" xfId="2270"/>
    <cellStyle name="Comma 51 3 2 2 2" xfId="2271"/>
    <cellStyle name="Comma 51 3 2 3" xfId="2272"/>
    <cellStyle name="Comma 51 3 3" xfId="2273"/>
    <cellStyle name="Comma 51 3 3 2" xfId="2274"/>
    <cellStyle name="Comma 51 3 4" xfId="2275"/>
    <cellStyle name="Comma 51 3 4 2" xfId="2276"/>
    <cellStyle name="Comma 51 3 5" xfId="2277"/>
    <cellStyle name="Comma 51 4" xfId="2278"/>
    <cellStyle name="Comma 51 4 2" xfId="2279"/>
    <cellStyle name="Comma 51 4 2 2" xfId="2280"/>
    <cellStyle name="Comma 51 4 2 2 2" xfId="2281"/>
    <cellStyle name="Comma 51 4 2 3" xfId="2282"/>
    <cellStyle name="Comma 51 4 3" xfId="2283"/>
    <cellStyle name="Comma 51 4 3 2" xfId="2284"/>
    <cellStyle name="Comma 51 4 4" xfId="2285"/>
    <cellStyle name="Comma 51 4 4 2" xfId="2286"/>
    <cellStyle name="Comma 51 4 5" xfId="2287"/>
    <cellStyle name="Comma 51 5" xfId="2288"/>
    <cellStyle name="Comma 51 5 2" xfId="2289"/>
    <cellStyle name="Comma 51 5 2 2" xfId="2290"/>
    <cellStyle name="Comma 51 5 2 2 2" xfId="2291"/>
    <cellStyle name="Comma 51 5 2 3" xfId="2292"/>
    <cellStyle name="Comma 51 5 3" xfId="2293"/>
    <cellStyle name="Comma 51 5 3 2" xfId="2294"/>
    <cellStyle name="Comma 51 5 4" xfId="2295"/>
    <cellStyle name="Comma 51 5 4 2" xfId="2296"/>
    <cellStyle name="Comma 51 5 5" xfId="2297"/>
    <cellStyle name="Comma 51 6" xfId="2298"/>
    <cellStyle name="Comma 51 6 2" xfId="2299"/>
    <cellStyle name="Comma 51 6 2 2" xfId="2300"/>
    <cellStyle name="Comma 51 6 2 2 2" xfId="2301"/>
    <cellStyle name="Comma 51 6 2 3" xfId="2302"/>
    <cellStyle name="Comma 51 6 3" xfId="2303"/>
    <cellStyle name="Comma 51 6 3 2" xfId="2304"/>
    <cellStyle name="Comma 51 6 4" xfId="2305"/>
    <cellStyle name="Comma 51 6 4 2" xfId="2306"/>
    <cellStyle name="Comma 51 6 5" xfId="2307"/>
    <cellStyle name="Comma 51 7" xfId="2308"/>
    <cellStyle name="Comma 51 7 2" xfId="2309"/>
    <cellStyle name="Comma 51 7 2 2" xfId="2310"/>
    <cellStyle name="Comma 51 7 2 2 2" xfId="2311"/>
    <cellStyle name="Comma 51 7 2 3" xfId="2312"/>
    <cellStyle name="Comma 51 7 3" xfId="2313"/>
    <cellStyle name="Comma 51 7 3 2" xfId="2314"/>
    <cellStyle name="Comma 51 7 4" xfId="2315"/>
    <cellStyle name="Comma 51 8" xfId="2316"/>
    <cellStyle name="Comma 51 8 2" xfId="2317"/>
    <cellStyle name="Comma 51 8 2 2" xfId="2318"/>
    <cellStyle name="Comma 51 8 2 2 2" xfId="2319"/>
    <cellStyle name="Comma 51 8 2 3" xfId="2320"/>
    <cellStyle name="Comma 51 8 3" xfId="2321"/>
    <cellStyle name="Comma 51 8 3 2" xfId="2322"/>
    <cellStyle name="Comma 51 8 4" xfId="2323"/>
    <cellStyle name="Comma 51 9" xfId="2324"/>
    <cellStyle name="Comma 51 9 2" xfId="2325"/>
    <cellStyle name="Comma 51 9 2 2" xfId="2326"/>
    <cellStyle name="Comma 51 9 3" xfId="2327"/>
    <cellStyle name="Comma 52" xfId="2328"/>
    <cellStyle name="Comma 52 10" xfId="2329"/>
    <cellStyle name="Comma 52 10 2" xfId="2330"/>
    <cellStyle name="Comma 52 11" xfId="2331"/>
    <cellStyle name="Comma 52 11 2" xfId="2332"/>
    <cellStyle name="Comma 52 12" xfId="2333"/>
    <cellStyle name="Comma 52 2" xfId="2334"/>
    <cellStyle name="Comma 52 2 2" xfId="2335"/>
    <cellStyle name="Comma 52 2 2 2" xfId="2336"/>
    <cellStyle name="Comma 52 2 2 2 2" xfId="2337"/>
    <cellStyle name="Comma 52 2 2 3" xfId="2338"/>
    <cellStyle name="Comma 52 2 3" xfId="2339"/>
    <cellStyle name="Comma 52 2 3 2" xfId="2340"/>
    <cellStyle name="Comma 52 2 4" xfId="2341"/>
    <cellStyle name="Comma 52 2 4 2" xfId="2342"/>
    <cellStyle name="Comma 52 2 5" xfId="2343"/>
    <cellStyle name="Comma 52 3" xfId="2344"/>
    <cellStyle name="Comma 52 3 2" xfId="2345"/>
    <cellStyle name="Comma 52 3 2 2" xfId="2346"/>
    <cellStyle name="Comma 52 3 2 2 2" xfId="2347"/>
    <cellStyle name="Comma 52 3 2 3" xfId="2348"/>
    <cellStyle name="Comma 52 3 3" xfId="2349"/>
    <cellStyle name="Comma 52 3 3 2" xfId="2350"/>
    <cellStyle name="Comma 52 3 4" xfId="2351"/>
    <cellStyle name="Comma 52 3 4 2" xfId="2352"/>
    <cellStyle name="Comma 52 3 5" xfId="2353"/>
    <cellStyle name="Comma 52 4" xfId="2354"/>
    <cellStyle name="Comma 52 4 2" xfId="2355"/>
    <cellStyle name="Comma 52 4 2 2" xfId="2356"/>
    <cellStyle name="Comma 52 4 2 2 2" xfId="2357"/>
    <cellStyle name="Comma 52 4 2 3" xfId="2358"/>
    <cellStyle name="Comma 52 4 3" xfId="2359"/>
    <cellStyle name="Comma 52 4 3 2" xfId="2360"/>
    <cellStyle name="Comma 52 4 4" xfId="2361"/>
    <cellStyle name="Comma 52 4 4 2" xfId="2362"/>
    <cellStyle name="Comma 52 4 5" xfId="2363"/>
    <cellStyle name="Comma 52 5" xfId="2364"/>
    <cellStyle name="Comma 52 5 2" xfId="2365"/>
    <cellStyle name="Comma 52 5 2 2" xfId="2366"/>
    <cellStyle name="Comma 52 5 2 2 2" xfId="2367"/>
    <cellStyle name="Comma 52 5 2 3" xfId="2368"/>
    <cellStyle name="Comma 52 5 3" xfId="2369"/>
    <cellStyle name="Comma 52 5 3 2" xfId="2370"/>
    <cellStyle name="Comma 52 5 4" xfId="2371"/>
    <cellStyle name="Comma 52 5 4 2" xfId="2372"/>
    <cellStyle name="Comma 52 5 5" xfId="2373"/>
    <cellStyle name="Comma 52 6" xfId="2374"/>
    <cellStyle name="Comma 52 6 2" xfId="2375"/>
    <cellStyle name="Comma 52 6 2 2" xfId="2376"/>
    <cellStyle name="Comma 52 6 2 2 2" xfId="2377"/>
    <cellStyle name="Comma 52 6 2 3" xfId="2378"/>
    <cellStyle name="Comma 52 6 3" xfId="2379"/>
    <cellStyle name="Comma 52 6 3 2" xfId="2380"/>
    <cellStyle name="Comma 52 6 4" xfId="2381"/>
    <cellStyle name="Comma 52 6 4 2" xfId="2382"/>
    <cellStyle name="Comma 52 6 5" xfId="2383"/>
    <cellStyle name="Comma 52 7" xfId="2384"/>
    <cellStyle name="Comma 52 7 2" xfId="2385"/>
    <cellStyle name="Comma 52 7 2 2" xfId="2386"/>
    <cellStyle name="Comma 52 7 2 2 2" xfId="2387"/>
    <cellStyle name="Comma 52 7 2 3" xfId="2388"/>
    <cellStyle name="Comma 52 7 3" xfId="2389"/>
    <cellStyle name="Comma 52 7 3 2" xfId="2390"/>
    <cellStyle name="Comma 52 7 4" xfId="2391"/>
    <cellStyle name="Comma 52 8" xfId="2392"/>
    <cellStyle name="Comma 52 8 2" xfId="2393"/>
    <cellStyle name="Comma 52 8 2 2" xfId="2394"/>
    <cellStyle name="Comma 52 8 2 2 2" xfId="2395"/>
    <cellStyle name="Comma 52 8 2 3" xfId="2396"/>
    <cellStyle name="Comma 52 8 3" xfId="2397"/>
    <cellStyle name="Comma 52 8 3 2" xfId="2398"/>
    <cellStyle name="Comma 52 8 4" xfId="2399"/>
    <cellStyle name="Comma 52 9" xfId="2400"/>
    <cellStyle name="Comma 52 9 2" xfId="2401"/>
    <cellStyle name="Comma 52 9 2 2" xfId="2402"/>
    <cellStyle name="Comma 52 9 3" xfId="2403"/>
    <cellStyle name="Comma 53" xfId="2404"/>
    <cellStyle name="Comma 53 10" xfId="2405"/>
    <cellStyle name="Comma 53 10 2" xfId="2406"/>
    <cellStyle name="Comma 53 11" xfId="2407"/>
    <cellStyle name="Comma 53 11 2" xfId="2408"/>
    <cellStyle name="Comma 53 12" xfId="2409"/>
    <cellStyle name="Comma 53 2" xfId="2410"/>
    <cellStyle name="Comma 53 2 2" xfId="2411"/>
    <cellStyle name="Comma 53 2 2 2" xfId="2412"/>
    <cellStyle name="Comma 53 2 2 2 2" xfId="2413"/>
    <cellStyle name="Comma 53 2 2 3" xfId="2414"/>
    <cellStyle name="Comma 53 2 3" xfId="2415"/>
    <cellStyle name="Comma 53 2 3 2" xfId="2416"/>
    <cellStyle name="Comma 53 2 4" xfId="2417"/>
    <cellStyle name="Comma 53 2 4 2" xfId="2418"/>
    <cellStyle name="Comma 53 2 5" xfId="2419"/>
    <cellStyle name="Comma 53 3" xfId="2420"/>
    <cellStyle name="Comma 53 3 2" xfId="2421"/>
    <cellStyle name="Comma 53 3 2 2" xfId="2422"/>
    <cellStyle name="Comma 53 3 2 2 2" xfId="2423"/>
    <cellStyle name="Comma 53 3 2 3" xfId="2424"/>
    <cellStyle name="Comma 53 3 3" xfId="2425"/>
    <cellStyle name="Comma 53 3 3 2" xfId="2426"/>
    <cellStyle name="Comma 53 3 4" xfId="2427"/>
    <cellStyle name="Comma 53 3 4 2" xfId="2428"/>
    <cellStyle name="Comma 53 3 5" xfId="2429"/>
    <cellStyle name="Comma 53 4" xfId="2430"/>
    <cellStyle name="Comma 53 4 2" xfId="2431"/>
    <cellStyle name="Comma 53 4 2 2" xfId="2432"/>
    <cellStyle name="Comma 53 4 2 2 2" xfId="2433"/>
    <cellStyle name="Comma 53 4 2 3" xfId="2434"/>
    <cellStyle name="Comma 53 4 3" xfId="2435"/>
    <cellStyle name="Comma 53 4 3 2" xfId="2436"/>
    <cellStyle name="Comma 53 4 4" xfId="2437"/>
    <cellStyle name="Comma 53 4 4 2" xfId="2438"/>
    <cellStyle name="Comma 53 4 5" xfId="2439"/>
    <cellStyle name="Comma 53 5" xfId="2440"/>
    <cellStyle name="Comma 53 5 2" xfId="2441"/>
    <cellStyle name="Comma 53 5 2 2" xfId="2442"/>
    <cellStyle name="Comma 53 5 2 2 2" xfId="2443"/>
    <cellStyle name="Comma 53 5 2 3" xfId="2444"/>
    <cellStyle name="Comma 53 5 3" xfId="2445"/>
    <cellStyle name="Comma 53 5 3 2" xfId="2446"/>
    <cellStyle name="Comma 53 5 4" xfId="2447"/>
    <cellStyle name="Comma 53 5 4 2" xfId="2448"/>
    <cellStyle name="Comma 53 5 5" xfId="2449"/>
    <cellStyle name="Comma 53 6" xfId="2450"/>
    <cellStyle name="Comma 53 6 2" xfId="2451"/>
    <cellStyle name="Comma 53 6 2 2" xfId="2452"/>
    <cellStyle name="Comma 53 6 2 2 2" xfId="2453"/>
    <cellStyle name="Comma 53 6 2 3" xfId="2454"/>
    <cellStyle name="Comma 53 6 3" xfId="2455"/>
    <cellStyle name="Comma 53 6 3 2" xfId="2456"/>
    <cellStyle name="Comma 53 6 4" xfId="2457"/>
    <cellStyle name="Comma 53 6 4 2" xfId="2458"/>
    <cellStyle name="Comma 53 6 5" xfId="2459"/>
    <cellStyle name="Comma 53 7" xfId="2460"/>
    <cellStyle name="Comma 53 7 2" xfId="2461"/>
    <cellStyle name="Comma 53 7 2 2" xfId="2462"/>
    <cellStyle name="Comma 53 7 2 2 2" xfId="2463"/>
    <cellStyle name="Comma 53 7 2 3" xfId="2464"/>
    <cellStyle name="Comma 53 7 3" xfId="2465"/>
    <cellStyle name="Comma 53 7 3 2" xfId="2466"/>
    <cellStyle name="Comma 53 7 4" xfId="2467"/>
    <cellStyle name="Comma 53 8" xfId="2468"/>
    <cellStyle name="Comma 53 8 2" xfId="2469"/>
    <cellStyle name="Comma 53 8 2 2" xfId="2470"/>
    <cellStyle name="Comma 53 8 2 2 2" xfId="2471"/>
    <cellStyle name="Comma 53 8 2 3" xfId="2472"/>
    <cellStyle name="Comma 53 8 3" xfId="2473"/>
    <cellStyle name="Comma 53 8 3 2" xfId="2474"/>
    <cellStyle name="Comma 53 8 4" xfId="2475"/>
    <cellStyle name="Comma 53 9" xfId="2476"/>
    <cellStyle name="Comma 53 9 2" xfId="2477"/>
    <cellStyle name="Comma 53 9 2 2" xfId="2478"/>
    <cellStyle name="Comma 53 9 3" xfId="2479"/>
    <cellStyle name="Comma 54" xfId="2480"/>
    <cellStyle name="Comma 54 10" xfId="2481"/>
    <cellStyle name="Comma 54 10 2" xfId="2482"/>
    <cellStyle name="Comma 54 11" xfId="2483"/>
    <cellStyle name="Comma 54 11 2" xfId="2484"/>
    <cellStyle name="Comma 54 12" xfId="2485"/>
    <cellStyle name="Comma 54 2" xfId="2486"/>
    <cellStyle name="Comma 54 2 2" xfId="2487"/>
    <cellStyle name="Comma 54 2 2 2" xfId="2488"/>
    <cellStyle name="Comma 54 2 2 2 2" xfId="2489"/>
    <cellStyle name="Comma 54 2 2 3" xfId="2490"/>
    <cellStyle name="Comma 54 2 3" xfId="2491"/>
    <cellStyle name="Comma 54 2 3 2" xfId="2492"/>
    <cellStyle name="Comma 54 2 4" xfId="2493"/>
    <cellStyle name="Comma 54 2 4 2" xfId="2494"/>
    <cellStyle name="Comma 54 2 5" xfId="2495"/>
    <cellStyle name="Comma 54 3" xfId="2496"/>
    <cellStyle name="Comma 54 3 2" xfId="2497"/>
    <cellStyle name="Comma 54 3 2 2" xfId="2498"/>
    <cellStyle name="Comma 54 3 2 2 2" xfId="2499"/>
    <cellStyle name="Comma 54 3 2 3" xfId="2500"/>
    <cellStyle name="Comma 54 3 3" xfId="2501"/>
    <cellStyle name="Comma 54 3 3 2" xfId="2502"/>
    <cellStyle name="Comma 54 3 4" xfId="2503"/>
    <cellStyle name="Comma 54 3 4 2" xfId="2504"/>
    <cellStyle name="Comma 54 3 5" xfId="2505"/>
    <cellStyle name="Comma 54 4" xfId="2506"/>
    <cellStyle name="Comma 54 4 2" xfId="2507"/>
    <cellStyle name="Comma 54 4 2 2" xfId="2508"/>
    <cellStyle name="Comma 54 4 2 2 2" xfId="2509"/>
    <cellStyle name="Comma 54 4 2 3" xfId="2510"/>
    <cellStyle name="Comma 54 4 3" xfId="2511"/>
    <cellStyle name="Comma 54 4 3 2" xfId="2512"/>
    <cellStyle name="Comma 54 4 4" xfId="2513"/>
    <cellStyle name="Comma 54 4 4 2" xfId="2514"/>
    <cellStyle name="Comma 54 4 5" xfId="2515"/>
    <cellStyle name="Comma 54 5" xfId="2516"/>
    <cellStyle name="Comma 54 5 2" xfId="2517"/>
    <cellStyle name="Comma 54 5 2 2" xfId="2518"/>
    <cellStyle name="Comma 54 5 2 2 2" xfId="2519"/>
    <cellStyle name="Comma 54 5 2 3" xfId="2520"/>
    <cellStyle name="Comma 54 5 3" xfId="2521"/>
    <cellStyle name="Comma 54 5 3 2" xfId="2522"/>
    <cellStyle name="Comma 54 5 4" xfId="2523"/>
    <cellStyle name="Comma 54 5 4 2" xfId="2524"/>
    <cellStyle name="Comma 54 5 5" xfId="2525"/>
    <cellStyle name="Comma 54 6" xfId="2526"/>
    <cellStyle name="Comma 54 6 2" xfId="2527"/>
    <cellStyle name="Comma 54 6 2 2" xfId="2528"/>
    <cellStyle name="Comma 54 6 2 2 2" xfId="2529"/>
    <cellStyle name="Comma 54 6 2 3" xfId="2530"/>
    <cellStyle name="Comma 54 6 3" xfId="2531"/>
    <cellStyle name="Comma 54 6 3 2" xfId="2532"/>
    <cellStyle name="Comma 54 6 4" xfId="2533"/>
    <cellStyle name="Comma 54 6 4 2" xfId="2534"/>
    <cellStyle name="Comma 54 6 5" xfId="2535"/>
    <cellStyle name="Comma 54 7" xfId="2536"/>
    <cellStyle name="Comma 54 7 2" xfId="2537"/>
    <cellStyle name="Comma 54 7 2 2" xfId="2538"/>
    <cellStyle name="Comma 54 7 2 2 2" xfId="2539"/>
    <cellStyle name="Comma 54 7 2 3" xfId="2540"/>
    <cellStyle name="Comma 54 7 3" xfId="2541"/>
    <cellStyle name="Comma 54 7 3 2" xfId="2542"/>
    <cellStyle name="Comma 54 7 4" xfId="2543"/>
    <cellStyle name="Comma 54 8" xfId="2544"/>
    <cellStyle name="Comma 54 8 2" xfId="2545"/>
    <cellStyle name="Comma 54 8 2 2" xfId="2546"/>
    <cellStyle name="Comma 54 8 2 2 2" xfId="2547"/>
    <cellStyle name="Comma 54 8 2 3" xfId="2548"/>
    <cellStyle name="Comma 54 8 3" xfId="2549"/>
    <cellStyle name="Comma 54 8 3 2" xfId="2550"/>
    <cellStyle name="Comma 54 8 4" xfId="2551"/>
    <cellStyle name="Comma 54 9" xfId="2552"/>
    <cellStyle name="Comma 54 9 2" xfId="2553"/>
    <cellStyle name="Comma 54 9 2 2" xfId="2554"/>
    <cellStyle name="Comma 54 9 3" xfId="2555"/>
    <cellStyle name="Comma 55" xfId="2556"/>
    <cellStyle name="Comma 55 10" xfId="2557"/>
    <cellStyle name="Comma 55 10 2" xfId="2558"/>
    <cellStyle name="Comma 55 11" xfId="2559"/>
    <cellStyle name="Comma 55 11 2" xfId="2560"/>
    <cellStyle name="Comma 55 12" xfId="2561"/>
    <cellStyle name="Comma 55 2" xfId="2562"/>
    <cellStyle name="Comma 55 2 2" xfId="2563"/>
    <cellStyle name="Comma 55 2 2 2" xfId="2564"/>
    <cellStyle name="Comma 55 2 2 2 2" xfId="2565"/>
    <cellStyle name="Comma 55 2 2 3" xfId="2566"/>
    <cellStyle name="Comma 55 2 3" xfId="2567"/>
    <cellStyle name="Comma 55 2 3 2" xfId="2568"/>
    <cellStyle name="Comma 55 2 4" xfId="2569"/>
    <cellStyle name="Comma 55 2 4 2" xfId="2570"/>
    <cellStyle name="Comma 55 2 5" xfId="2571"/>
    <cellStyle name="Comma 55 3" xfId="2572"/>
    <cellStyle name="Comma 55 3 2" xfId="2573"/>
    <cellStyle name="Comma 55 3 2 2" xfId="2574"/>
    <cellStyle name="Comma 55 3 2 2 2" xfId="2575"/>
    <cellStyle name="Comma 55 3 2 3" xfId="2576"/>
    <cellStyle name="Comma 55 3 3" xfId="2577"/>
    <cellStyle name="Comma 55 3 3 2" xfId="2578"/>
    <cellStyle name="Comma 55 3 4" xfId="2579"/>
    <cellStyle name="Comma 55 3 4 2" xfId="2580"/>
    <cellStyle name="Comma 55 3 5" xfId="2581"/>
    <cellStyle name="Comma 55 4" xfId="2582"/>
    <cellStyle name="Comma 55 4 2" xfId="2583"/>
    <cellStyle name="Comma 55 4 2 2" xfId="2584"/>
    <cellStyle name="Comma 55 4 2 2 2" xfId="2585"/>
    <cellStyle name="Comma 55 4 2 3" xfId="2586"/>
    <cellStyle name="Comma 55 4 3" xfId="2587"/>
    <cellStyle name="Comma 55 4 3 2" xfId="2588"/>
    <cellStyle name="Comma 55 4 4" xfId="2589"/>
    <cellStyle name="Comma 55 4 4 2" xfId="2590"/>
    <cellStyle name="Comma 55 4 5" xfId="2591"/>
    <cellStyle name="Comma 55 5" xfId="2592"/>
    <cellStyle name="Comma 55 5 2" xfId="2593"/>
    <cellStyle name="Comma 55 5 2 2" xfId="2594"/>
    <cellStyle name="Comma 55 5 2 2 2" xfId="2595"/>
    <cellStyle name="Comma 55 5 2 3" xfId="2596"/>
    <cellStyle name="Comma 55 5 3" xfId="2597"/>
    <cellStyle name="Comma 55 5 3 2" xfId="2598"/>
    <cellStyle name="Comma 55 5 4" xfId="2599"/>
    <cellStyle name="Comma 55 5 4 2" xfId="2600"/>
    <cellStyle name="Comma 55 5 5" xfId="2601"/>
    <cellStyle name="Comma 55 6" xfId="2602"/>
    <cellStyle name="Comma 55 6 2" xfId="2603"/>
    <cellStyle name="Comma 55 6 2 2" xfId="2604"/>
    <cellStyle name="Comma 55 6 2 2 2" xfId="2605"/>
    <cellStyle name="Comma 55 6 2 3" xfId="2606"/>
    <cellStyle name="Comma 55 6 3" xfId="2607"/>
    <cellStyle name="Comma 55 6 3 2" xfId="2608"/>
    <cellStyle name="Comma 55 6 4" xfId="2609"/>
    <cellStyle name="Comma 55 6 4 2" xfId="2610"/>
    <cellStyle name="Comma 55 6 5" xfId="2611"/>
    <cellStyle name="Comma 55 7" xfId="2612"/>
    <cellStyle name="Comma 55 7 2" xfId="2613"/>
    <cellStyle name="Comma 55 7 2 2" xfId="2614"/>
    <cellStyle name="Comma 55 7 2 2 2" xfId="2615"/>
    <cellStyle name="Comma 55 7 2 3" xfId="2616"/>
    <cellStyle name="Comma 55 7 3" xfId="2617"/>
    <cellStyle name="Comma 55 7 3 2" xfId="2618"/>
    <cellStyle name="Comma 55 7 4" xfId="2619"/>
    <cellStyle name="Comma 55 8" xfId="2620"/>
    <cellStyle name="Comma 55 8 2" xfId="2621"/>
    <cellStyle name="Comma 55 8 2 2" xfId="2622"/>
    <cellStyle name="Comma 55 8 2 2 2" xfId="2623"/>
    <cellStyle name="Comma 55 8 2 3" xfId="2624"/>
    <cellStyle name="Comma 55 8 3" xfId="2625"/>
    <cellStyle name="Comma 55 8 3 2" xfId="2626"/>
    <cellStyle name="Comma 55 8 4" xfId="2627"/>
    <cellStyle name="Comma 55 9" xfId="2628"/>
    <cellStyle name="Comma 55 9 2" xfId="2629"/>
    <cellStyle name="Comma 55 9 2 2" xfId="2630"/>
    <cellStyle name="Comma 55 9 3" xfId="2631"/>
    <cellStyle name="Comma 56" xfId="2632"/>
    <cellStyle name="Comma 56 10" xfId="2633"/>
    <cellStyle name="Comma 56 10 2" xfId="2634"/>
    <cellStyle name="Comma 56 11" xfId="2635"/>
    <cellStyle name="Comma 56 11 2" xfId="2636"/>
    <cellStyle name="Comma 56 12" xfId="2637"/>
    <cellStyle name="Comma 56 2" xfId="2638"/>
    <cellStyle name="Comma 56 2 2" xfId="2639"/>
    <cellStyle name="Comma 56 2 2 2" xfId="2640"/>
    <cellStyle name="Comma 56 2 2 2 2" xfId="2641"/>
    <cellStyle name="Comma 56 2 2 3" xfId="2642"/>
    <cellStyle name="Comma 56 2 3" xfId="2643"/>
    <cellStyle name="Comma 56 2 3 2" xfId="2644"/>
    <cellStyle name="Comma 56 2 4" xfId="2645"/>
    <cellStyle name="Comma 56 2 4 2" xfId="2646"/>
    <cellStyle name="Comma 56 2 5" xfId="2647"/>
    <cellStyle name="Comma 56 3" xfId="2648"/>
    <cellStyle name="Comma 56 3 2" xfId="2649"/>
    <cellStyle name="Comma 56 3 2 2" xfId="2650"/>
    <cellStyle name="Comma 56 3 2 2 2" xfId="2651"/>
    <cellStyle name="Comma 56 3 2 3" xfId="2652"/>
    <cellStyle name="Comma 56 3 3" xfId="2653"/>
    <cellStyle name="Comma 56 3 3 2" xfId="2654"/>
    <cellStyle name="Comma 56 3 4" xfId="2655"/>
    <cellStyle name="Comma 56 3 4 2" xfId="2656"/>
    <cellStyle name="Comma 56 3 5" xfId="2657"/>
    <cellStyle name="Comma 56 4" xfId="2658"/>
    <cellStyle name="Comma 56 4 2" xfId="2659"/>
    <cellStyle name="Comma 56 4 2 2" xfId="2660"/>
    <cellStyle name="Comma 56 4 2 2 2" xfId="2661"/>
    <cellStyle name="Comma 56 4 2 3" xfId="2662"/>
    <cellStyle name="Comma 56 4 3" xfId="2663"/>
    <cellStyle name="Comma 56 4 3 2" xfId="2664"/>
    <cellStyle name="Comma 56 4 4" xfId="2665"/>
    <cellStyle name="Comma 56 4 4 2" xfId="2666"/>
    <cellStyle name="Comma 56 4 5" xfId="2667"/>
    <cellStyle name="Comma 56 5" xfId="2668"/>
    <cellStyle name="Comma 56 5 2" xfId="2669"/>
    <cellStyle name="Comma 56 5 2 2" xfId="2670"/>
    <cellStyle name="Comma 56 5 2 2 2" xfId="2671"/>
    <cellStyle name="Comma 56 5 2 3" xfId="2672"/>
    <cellStyle name="Comma 56 5 3" xfId="2673"/>
    <cellStyle name="Comma 56 5 3 2" xfId="2674"/>
    <cellStyle name="Comma 56 5 4" xfId="2675"/>
    <cellStyle name="Comma 56 5 4 2" xfId="2676"/>
    <cellStyle name="Comma 56 5 5" xfId="2677"/>
    <cellStyle name="Comma 56 6" xfId="2678"/>
    <cellStyle name="Comma 56 6 2" xfId="2679"/>
    <cellStyle name="Comma 56 6 2 2" xfId="2680"/>
    <cellStyle name="Comma 56 6 2 2 2" xfId="2681"/>
    <cellStyle name="Comma 56 6 2 3" xfId="2682"/>
    <cellStyle name="Comma 56 6 3" xfId="2683"/>
    <cellStyle name="Comma 56 6 3 2" xfId="2684"/>
    <cellStyle name="Comma 56 6 4" xfId="2685"/>
    <cellStyle name="Comma 56 6 4 2" xfId="2686"/>
    <cellStyle name="Comma 56 6 5" xfId="2687"/>
    <cellStyle name="Comma 56 7" xfId="2688"/>
    <cellStyle name="Comma 56 7 2" xfId="2689"/>
    <cellStyle name="Comma 56 7 2 2" xfId="2690"/>
    <cellStyle name="Comma 56 7 2 2 2" xfId="2691"/>
    <cellStyle name="Comma 56 7 2 3" xfId="2692"/>
    <cellStyle name="Comma 56 7 3" xfId="2693"/>
    <cellStyle name="Comma 56 7 3 2" xfId="2694"/>
    <cellStyle name="Comma 56 7 4" xfId="2695"/>
    <cellStyle name="Comma 56 8" xfId="2696"/>
    <cellStyle name="Comma 56 8 2" xfId="2697"/>
    <cellStyle name="Comma 56 8 2 2" xfId="2698"/>
    <cellStyle name="Comma 56 8 2 2 2" xfId="2699"/>
    <cellStyle name="Comma 56 8 2 3" xfId="2700"/>
    <cellStyle name="Comma 56 8 3" xfId="2701"/>
    <cellStyle name="Comma 56 8 3 2" xfId="2702"/>
    <cellStyle name="Comma 56 8 4" xfId="2703"/>
    <cellStyle name="Comma 56 9" xfId="2704"/>
    <cellStyle name="Comma 56 9 2" xfId="2705"/>
    <cellStyle name="Comma 56 9 2 2" xfId="2706"/>
    <cellStyle name="Comma 56 9 3" xfId="2707"/>
    <cellStyle name="Comma 57" xfId="2708"/>
    <cellStyle name="Comma 57 10" xfId="2709"/>
    <cellStyle name="Comma 57 10 2" xfId="2710"/>
    <cellStyle name="Comma 57 11" xfId="2711"/>
    <cellStyle name="Comma 57 11 2" xfId="2712"/>
    <cellStyle name="Comma 57 12" xfId="2713"/>
    <cellStyle name="Comma 57 2" xfId="2714"/>
    <cellStyle name="Comma 57 2 2" xfId="2715"/>
    <cellStyle name="Comma 57 2 2 2" xfId="2716"/>
    <cellStyle name="Comma 57 2 2 2 2" xfId="2717"/>
    <cellStyle name="Comma 57 2 2 3" xfId="2718"/>
    <cellStyle name="Comma 57 2 3" xfId="2719"/>
    <cellStyle name="Comma 57 2 3 2" xfId="2720"/>
    <cellStyle name="Comma 57 2 4" xfId="2721"/>
    <cellStyle name="Comma 57 2 4 2" xfId="2722"/>
    <cellStyle name="Comma 57 2 5" xfId="2723"/>
    <cellStyle name="Comma 57 3" xfId="2724"/>
    <cellStyle name="Comma 57 3 2" xfId="2725"/>
    <cellStyle name="Comma 57 3 2 2" xfId="2726"/>
    <cellStyle name="Comma 57 3 2 2 2" xfId="2727"/>
    <cellStyle name="Comma 57 3 2 3" xfId="2728"/>
    <cellStyle name="Comma 57 3 3" xfId="2729"/>
    <cellStyle name="Comma 57 3 3 2" xfId="2730"/>
    <cellStyle name="Comma 57 3 4" xfId="2731"/>
    <cellStyle name="Comma 57 3 4 2" xfId="2732"/>
    <cellStyle name="Comma 57 3 5" xfId="2733"/>
    <cellStyle name="Comma 57 4" xfId="2734"/>
    <cellStyle name="Comma 57 4 2" xfId="2735"/>
    <cellStyle name="Comma 57 4 2 2" xfId="2736"/>
    <cellStyle name="Comma 57 4 2 2 2" xfId="2737"/>
    <cellStyle name="Comma 57 4 2 3" xfId="2738"/>
    <cellStyle name="Comma 57 4 3" xfId="2739"/>
    <cellStyle name="Comma 57 4 3 2" xfId="2740"/>
    <cellStyle name="Comma 57 4 4" xfId="2741"/>
    <cellStyle name="Comma 57 4 4 2" xfId="2742"/>
    <cellStyle name="Comma 57 4 5" xfId="2743"/>
    <cellStyle name="Comma 57 5" xfId="2744"/>
    <cellStyle name="Comma 57 5 2" xfId="2745"/>
    <cellStyle name="Comma 57 5 2 2" xfId="2746"/>
    <cellStyle name="Comma 57 5 2 2 2" xfId="2747"/>
    <cellStyle name="Comma 57 5 2 3" xfId="2748"/>
    <cellStyle name="Comma 57 5 3" xfId="2749"/>
    <cellStyle name="Comma 57 5 3 2" xfId="2750"/>
    <cellStyle name="Comma 57 5 4" xfId="2751"/>
    <cellStyle name="Comma 57 5 4 2" xfId="2752"/>
    <cellStyle name="Comma 57 5 5" xfId="2753"/>
    <cellStyle name="Comma 57 6" xfId="2754"/>
    <cellStyle name="Comma 57 6 2" xfId="2755"/>
    <cellStyle name="Comma 57 6 2 2" xfId="2756"/>
    <cellStyle name="Comma 57 6 2 2 2" xfId="2757"/>
    <cellStyle name="Comma 57 6 2 3" xfId="2758"/>
    <cellStyle name="Comma 57 6 3" xfId="2759"/>
    <cellStyle name="Comma 57 6 3 2" xfId="2760"/>
    <cellStyle name="Comma 57 6 4" xfId="2761"/>
    <cellStyle name="Comma 57 6 4 2" xfId="2762"/>
    <cellStyle name="Comma 57 6 5" xfId="2763"/>
    <cellStyle name="Comma 57 7" xfId="2764"/>
    <cellStyle name="Comma 57 7 2" xfId="2765"/>
    <cellStyle name="Comma 57 7 2 2" xfId="2766"/>
    <cellStyle name="Comma 57 7 2 2 2" xfId="2767"/>
    <cellStyle name="Comma 57 7 2 3" xfId="2768"/>
    <cellStyle name="Comma 57 7 3" xfId="2769"/>
    <cellStyle name="Comma 57 7 3 2" xfId="2770"/>
    <cellStyle name="Comma 57 7 4" xfId="2771"/>
    <cellStyle name="Comma 57 8" xfId="2772"/>
    <cellStyle name="Comma 57 8 2" xfId="2773"/>
    <cellStyle name="Comma 57 8 2 2" xfId="2774"/>
    <cellStyle name="Comma 57 8 2 2 2" xfId="2775"/>
    <cellStyle name="Comma 57 8 2 3" xfId="2776"/>
    <cellStyle name="Comma 57 8 3" xfId="2777"/>
    <cellStyle name="Comma 57 8 3 2" xfId="2778"/>
    <cellStyle name="Comma 57 8 4" xfId="2779"/>
    <cellStyle name="Comma 57 9" xfId="2780"/>
    <cellStyle name="Comma 57 9 2" xfId="2781"/>
    <cellStyle name="Comma 57 9 2 2" xfId="2782"/>
    <cellStyle name="Comma 57 9 3" xfId="2783"/>
    <cellStyle name="Comma 58" xfId="2784"/>
    <cellStyle name="Comma 58 10" xfId="2785"/>
    <cellStyle name="Comma 58 10 2" xfId="2786"/>
    <cellStyle name="Comma 58 11" xfId="2787"/>
    <cellStyle name="Comma 58 11 2" xfId="2788"/>
    <cellStyle name="Comma 58 12" xfId="2789"/>
    <cellStyle name="Comma 58 2" xfId="2790"/>
    <cellStyle name="Comma 58 2 2" xfId="2791"/>
    <cellStyle name="Comma 58 2 2 2" xfId="2792"/>
    <cellStyle name="Comma 58 2 2 2 2" xfId="2793"/>
    <cellStyle name="Comma 58 2 2 3" xfId="2794"/>
    <cellStyle name="Comma 58 2 3" xfId="2795"/>
    <cellStyle name="Comma 58 2 3 2" xfId="2796"/>
    <cellStyle name="Comma 58 2 4" xfId="2797"/>
    <cellStyle name="Comma 58 2 4 2" xfId="2798"/>
    <cellStyle name="Comma 58 2 5" xfId="2799"/>
    <cellStyle name="Comma 58 3" xfId="2800"/>
    <cellStyle name="Comma 58 3 2" xfId="2801"/>
    <cellStyle name="Comma 58 3 2 2" xfId="2802"/>
    <cellStyle name="Comma 58 3 2 2 2" xfId="2803"/>
    <cellStyle name="Comma 58 3 2 3" xfId="2804"/>
    <cellStyle name="Comma 58 3 3" xfId="2805"/>
    <cellStyle name="Comma 58 3 3 2" xfId="2806"/>
    <cellStyle name="Comma 58 3 4" xfId="2807"/>
    <cellStyle name="Comma 58 3 4 2" xfId="2808"/>
    <cellStyle name="Comma 58 3 5" xfId="2809"/>
    <cellStyle name="Comma 58 4" xfId="2810"/>
    <cellStyle name="Comma 58 4 2" xfId="2811"/>
    <cellStyle name="Comma 58 4 2 2" xfId="2812"/>
    <cellStyle name="Comma 58 4 2 2 2" xfId="2813"/>
    <cellStyle name="Comma 58 4 2 3" xfId="2814"/>
    <cellStyle name="Comma 58 4 3" xfId="2815"/>
    <cellStyle name="Comma 58 4 3 2" xfId="2816"/>
    <cellStyle name="Comma 58 4 4" xfId="2817"/>
    <cellStyle name="Comma 58 4 4 2" xfId="2818"/>
    <cellStyle name="Comma 58 4 5" xfId="2819"/>
    <cellStyle name="Comma 58 5" xfId="2820"/>
    <cellStyle name="Comma 58 5 2" xfId="2821"/>
    <cellStyle name="Comma 58 5 2 2" xfId="2822"/>
    <cellStyle name="Comma 58 5 2 2 2" xfId="2823"/>
    <cellStyle name="Comma 58 5 2 3" xfId="2824"/>
    <cellStyle name="Comma 58 5 3" xfId="2825"/>
    <cellStyle name="Comma 58 5 3 2" xfId="2826"/>
    <cellStyle name="Comma 58 5 4" xfId="2827"/>
    <cellStyle name="Comma 58 5 4 2" xfId="2828"/>
    <cellStyle name="Comma 58 5 5" xfId="2829"/>
    <cellStyle name="Comma 58 6" xfId="2830"/>
    <cellStyle name="Comma 58 6 2" xfId="2831"/>
    <cellStyle name="Comma 58 6 2 2" xfId="2832"/>
    <cellStyle name="Comma 58 6 2 2 2" xfId="2833"/>
    <cellStyle name="Comma 58 6 2 3" xfId="2834"/>
    <cellStyle name="Comma 58 6 3" xfId="2835"/>
    <cellStyle name="Comma 58 6 3 2" xfId="2836"/>
    <cellStyle name="Comma 58 6 4" xfId="2837"/>
    <cellStyle name="Comma 58 6 4 2" xfId="2838"/>
    <cellStyle name="Comma 58 6 5" xfId="2839"/>
    <cellStyle name="Comma 58 7" xfId="2840"/>
    <cellStyle name="Comma 58 7 2" xfId="2841"/>
    <cellStyle name="Comma 58 7 2 2" xfId="2842"/>
    <cellStyle name="Comma 58 7 2 2 2" xfId="2843"/>
    <cellStyle name="Comma 58 7 2 3" xfId="2844"/>
    <cellStyle name="Comma 58 7 3" xfId="2845"/>
    <cellStyle name="Comma 58 7 3 2" xfId="2846"/>
    <cellStyle name="Comma 58 7 4" xfId="2847"/>
    <cellStyle name="Comma 58 8" xfId="2848"/>
    <cellStyle name="Comma 58 8 2" xfId="2849"/>
    <cellStyle name="Comma 58 8 2 2" xfId="2850"/>
    <cellStyle name="Comma 58 8 2 2 2" xfId="2851"/>
    <cellStyle name="Comma 58 8 2 3" xfId="2852"/>
    <cellStyle name="Comma 58 8 3" xfId="2853"/>
    <cellStyle name="Comma 58 8 3 2" xfId="2854"/>
    <cellStyle name="Comma 58 8 4" xfId="2855"/>
    <cellStyle name="Comma 58 9" xfId="2856"/>
    <cellStyle name="Comma 58 9 2" xfId="2857"/>
    <cellStyle name="Comma 58 9 2 2" xfId="2858"/>
    <cellStyle name="Comma 58 9 3" xfId="2859"/>
    <cellStyle name="Comma 59" xfId="2860"/>
    <cellStyle name="Comma 6 6" xfId="2861"/>
    <cellStyle name="Comma 6 2 4" xfId="2862"/>
    <cellStyle name="Comma 6 3 5" xfId="2863"/>
    <cellStyle name="Comma 6 3 2" xfId="2864"/>
    <cellStyle name="Comma 6 3 3" xfId="2865"/>
    <cellStyle name="Comma 6 4" xfId="2866"/>
    <cellStyle name="Comma 60" xfId="2867"/>
    <cellStyle name="Comma 61" xfId="2868"/>
    <cellStyle name="Comma 62" xfId="2869"/>
    <cellStyle name="Comma 63" xfId="2870"/>
    <cellStyle name="Comma 64" xfId="2871"/>
    <cellStyle name="Comma 65" xfId="2872"/>
    <cellStyle name="Comma 66" xfId="2873"/>
    <cellStyle name="Comma 67" xfId="2874"/>
    <cellStyle name="Comma 68" xfId="2875"/>
    <cellStyle name="Comma 69" xfId="2876"/>
    <cellStyle name="Comma 7 6" xfId="2877"/>
    <cellStyle name="Comma 7 2 2" xfId="2878"/>
    <cellStyle name="Comma 7 3" xfId="2879"/>
    <cellStyle name="Comma 7 3 2" xfId="2880"/>
    <cellStyle name="Comma 7 3 3" xfId="2881"/>
    <cellStyle name="Comma 7 4" xfId="2882"/>
    <cellStyle name="Comma 70" xfId="2883"/>
    <cellStyle name="Comma 71" xfId="2884"/>
    <cellStyle name="Comma 72" xfId="2885"/>
    <cellStyle name="Comma 73" xfId="2886"/>
    <cellStyle name="Comma 74" xfId="2887"/>
    <cellStyle name="Comma 75" xfId="2888"/>
    <cellStyle name="Comma 76" xfId="2889"/>
    <cellStyle name="Comma 77" xfId="2890"/>
    <cellStyle name="Comma 78" xfId="2891"/>
    <cellStyle name="Comma 79" xfId="2892"/>
    <cellStyle name="Comma 8 4" xfId="2893"/>
    <cellStyle name="Comma 8 2 4" xfId="2894"/>
    <cellStyle name="Comma 8 2 2" xfId="2895"/>
    <cellStyle name="Comma 8 2 3" xfId="2896"/>
    <cellStyle name="Comma 80" xfId="2897"/>
    <cellStyle name="Comma 81" xfId="2898"/>
    <cellStyle name="Comma 82" xfId="2899"/>
    <cellStyle name="Comma 83" xfId="2900"/>
    <cellStyle name="Comma 84" xfId="2901"/>
    <cellStyle name="Comma 85" xfId="2902"/>
    <cellStyle name="Comma 86" xfId="2903"/>
    <cellStyle name="Comma 87" xfId="2904"/>
    <cellStyle name="Comma 88" xfId="2905"/>
    <cellStyle name="Comma 89" xfId="2906"/>
    <cellStyle name="Comma 9 5" xfId="2907"/>
    <cellStyle name="Comma 9 2 4" xfId="2908"/>
    <cellStyle name="Comma 9 2 2" xfId="2909"/>
    <cellStyle name="Comma 9 2 3" xfId="2910"/>
    <cellStyle name="Comma 9 3" xfId="2911"/>
    <cellStyle name="Comma 90" xfId="2912"/>
    <cellStyle name="Comma 91" xfId="2913"/>
    <cellStyle name="Comma 92" xfId="2914"/>
    <cellStyle name="Comma 93" xfId="2915"/>
    <cellStyle name="Comma 94" xfId="2916"/>
    <cellStyle name="Comma 95" xfId="2917"/>
    <cellStyle name="Comma 96" xfId="2918"/>
    <cellStyle name="Comma 97" xfId="2919"/>
    <cellStyle name="Comma 98" xfId="2920"/>
    <cellStyle name="Comma 99" xfId="2921"/>
    <cellStyle name="Comma(+Credit)" xfId="2922"/>
    <cellStyle name="Company Name" xfId="2923"/>
    <cellStyle name="Company Name 2" xfId="2924"/>
    <cellStyle name="Company Name 3" xfId="2925"/>
    <cellStyle name="Currency 0.0" xfId="2926"/>
    <cellStyle name="Currency 0.00" xfId="2927"/>
    <cellStyle name="Currency 0.000" xfId="2928"/>
    <cellStyle name="Currency 10 9" xfId="2929"/>
    <cellStyle name="Currency 10 2" xfId="2930"/>
    <cellStyle name="Currency 10 3" xfId="2931"/>
    <cellStyle name="Currency 10 4" xfId="2932"/>
    <cellStyle name="Currency 10 5" xfId="2933"/>
    <cellStyle name="Currency 10 6" xfId="2934"/>
    <cellStyle name="Currency 10 6 2" xfId="2935"/>
    <cellStyle name="Currency 10 6 3" xfId="2936"/>
    <cellStyle name="Currency 10 7" xfId="2937"/>
    <cellStyle name="Currency 100" xfId="2938"/>
    <cellStyle name="Currency 101" xfId="2939"/>
    <cellStyle name="Currency 102" xfId="2940"/>
    <cellStyle name="Currency 103" xfId="2941"/>
    <cellStyle name="Currency 104" xfId="2942"/>
    <cellStyle name="Currency 105" xfId="2943"/>
    <cellStyle name="Currency 106" xfId="2944"/>
    <cellStyle name="Currency 107" xfId="2945"/>
    <cellStyle name="Currency 108" xfId="2946"/>
    <cellStyle name="Currency 109" xfId="2947"/>
    <cellStyle name="Currency 11" xfId="2948"/>
    <cellStyle name="Currency 11 2" xfId="2949"/>
    <cellStyle name="Currency 11 3" xfId="2950"/>
    <cellStyle name="Currency 110" xfId="2951"/>
    <cellStyle name="Currency 111" xfId="2952"/>
    <cellStyle name="Currency 112" xfId="2953"/>
    <cellStyle name="Currency 113" xfId="2954"/>
    <cellStyle name="Currency 114" xfId="2955"/>
    <cellStyle name="Currency 115" xfId="2956"/>
    <cellStyle name="Currency 116" xfId="2957"/>
    <cellStyle name="Currency 117" xfId="2958"/>
    <cellStyle name="Currency 118" xfId="2959"/>
    <cellStyle name="Currency 118 2" xfId="2960"/>
    <cellStyle name="Currency 118 2 2" xfId="2961"/>
    <cellStyle name="Currency 118 2 2 2" xfId="2962"/>
    <cellStyle name="Currency 118 2 3" xfId="2963"/>
    <cellStyle name="Currency 118 3" xfId="2964"/>
    <cellStyle name="Currency 118 3 2" xfId="2965"/>
    <cellStyle name="Currency 118 4" xfId="2966"/>
    <cellStyle name="Currency 118 4 2" xfId="2967"/>
    <cellStyle name="Currency 118 5" xfId="2968"/>
    <cellStyle name="Currency 119" xfId="2969"/>
    <cellStyle name="Currency 119 2" xfId="2970"/>
    <cellStyle name="Currency 119 2 2" xfId="2971"/>
    <cellStyle name="Currency 119 2 2 2" xfId="2972"/>
    <cellStyle name="Currency 119 2 3" xfId="2973"/>
    <cellStyle name="Currency 119 3" xfId="2974"/>
    <cellStyle name="Currency 119 3 2" xfId="2975"/>
    <cellStyle name="Currency 119 4" xfId="2976"/>
    <cellStyle name="Currency 119 4 2" xfId="2977"/>
    <cellStyle name="Currency 119 5" xfId="2978"/>
    <cellStyle name="Currency 12" xfId="2979"/>
    <cellStyle name="Currency 12 2" xfId="2980"/>
    <cellStyle name="Currency 12 3" xfId="2981"/>
    <cellStyle name="Currency 120" xfId="2982"/>
    <cellStyle name="Currency 121" xfId="2983"/>
    <cellStyle name="Currency 122" xfId="2984"/>
    <cellStyle name="Currency 123" xfId="2985"/>
    <cellStyle name="Currency 124" xfId="2986"/>
    <cellStyle name="Currency 125" xfId="2987"/>
    <cellStyle name="Currency 126" xfId="2988"/>
    <cellStyle name="Currency 127" xfId="2989"/>
    <cellStyle name="Currency 128" xfId="2990"/>
    <cellStyle name="Currency 129" xfId="2991"/>
    <cellStyle name="Currency 13" xfId="2992"/>
    <cellStyle name="Currency 13 2" xfId="2993"/>
    <cellStyle name="Currency 13 3" xfId="2994"/>
    <cellStyle name="Currency 130" xfId="2995"/>
    <cellStyle name="Currency 131" xfId="2996"/>
    <cellStyle name="Currency 132" xfId="2997"/>
    <cellStyle name="Currency 133" xfId="2998"/>
    <cellStyle name="Currency 134" xfId="2999"/>
    <cellStyle name="Currency 135" xfId="3000"/>
    <cellStyle name="Currency 136" xfId="3001"/>
    <cellStyle name="Currency 137" xfId="3002"/>
    <cellStyle name="Currency 138" xfId="3003"/>
    <cellStyle name="Currency 139" xfId="3004"/>
    <cellStyle name="Currency 14" xfId="3005"/>
    <cellStyle name="Currency 14 2" xfId="3006"/>
    <cellStyle name="Currency 14 3" xfId="3007"/>
    <cellStyle name="Currency 140" xfId="3008"/>
    <cellStyle name="Currency 141" xfId="3009"/>
    <cellStyle name="Currency 142" xfId="3010"/>
    <cellStyle name="Currency 143" xfId="3011"/>
    <cellStyle name="Currency 144" xfId="3012"/>
    <cellStyle name="Currency 145" xfId="3013"/>
    <cellStyle name="Currency 146" xfId="3014"/>
    <cellStyle name="Currency 147" xfId="3015"/>
    <cellStyle name="Currency 148" xfId="3016"/>
    <cellStyle name="Currency 149" xfId="3017"/>
    <cellStyle name="Currency 15" xfId="3018"/>
    <cellStyle name="Currency 15 2" xfId="3019"/>
    <cellStyle name="Currency 15 3" xfId="3020"/>
    <cellStyle name="Currency 150" xfId="3021"/>
    <cellStyle name="Currency 151" xfId="3022"/>
    <cellStyle name="Currency 152" xfId="3023"/>
    <cellStyle name="Currency 153" xfId="3024"/>
    <cellStyle name="Currency 154" xfId="3025"/>
    <cellStyle name="Currency 155" xfId="3026"/>
    <cellStyle name="Currency 156" xfId="3027"/>
    <cellStyle name="Currency 157" xfId="3028"/>
    <cellStyle name="Currency 158" xfId="3029"/>
    <cellStyle name="Currency 159" xfId="3030"/>
    <cellStyle name="Currency 16" xfId="3031"/>
    <cellStyle name="Currency 16 2" xfId="3032"/>
    <cellStyle name="Currency 16 3" xfId="3033"/>
    <cellStyle name="Currency 17" xfId="3034"/>
    <cellStyle name="Currency 17 2" xfId="3035"/>
    <cellStyle name="Currency 17 3" xfId="3036"/>
    <cellStyle name="Currency 18" xfId="3037"/>
    <cellStyle name="Currency 18 2" xfId="3038"/>
    <cellStyle name="Currency 18 3" xfId="3039"/>
    <cellStyle name="Currency 19" xfId="3040"/>
    <cellStyle name="Currency 19 2" xfId="3041"/>
    <cellStyle name="Currency 19 3" xfId="3042"/>
    <cellStyle name="Currency 2 27 7" xfId="3043"/>
    <cellStyle name="Currency 2 10 3" xfId="3044"/>
    <cellStyle name="Currency 2 11 3" xfId="3045"/>
    <cellStyle name="Currency 2 12 3" xfId="3046"/>
    <cellStyle name="Currency 2 13 3" xfId="3047"/>
    <cellStyle name="Currency 2 14 3" xfId="3048"/>
    <cellStyle name="Currency 2 15 3" xfId="3049"/>
    <cellStyle name="Currency 2 16 3" xfId="3050"/>
    <cellStyle name="Currency 2 17 3" xfId="3051"/>
    <cellStyle name="Currency 2 18 3" xfId="3052"/>
    <cellStyle name="Currency 2 19 3" xfId="3053"/>
    <cellStyle name="Currency 2 2 20" xfId="3054"/>
    <cellStyle name="Currency 2 2 10" xfId="3055"/>
    <cellStyle name="Currency 2 2 11" xfId="3056"/>
    <cellStyle name="Currency 2 2 12" xfId="3057"/>
    <cellStyle name="Currency 2 2 13" xfId="3058"/>
    <cellStyle name="Currency 2 2 14" xfId="3059"/>
    <cellStyle name="Currency 2 2 15" xfId="3060"/>
    <cellStyle name="Currency 2 2 16" xfId="3061"/>
    <cellStyle name="Currency 2 2 17" xfId="3062"/>
    <cellStyle name="Currency 2 2 18" xfId="3063"/>
    <cellStyle name="Currency 2 2 19" xfId="3064"/>
    <cellStyle name="Currency 2 2 2" xfId="3065"/>
    <cellStyle name="Currency 2 2 2 2" xfId="3066"/>
    <cellStyle name="Currency 2 2 2 3" xfId="3067"/>
    <cellStyle name="Currency 2 2 2 4" xfId="3068"/>
    <cellStyle name="Currency 2 2 2 5" xfId="3069"/>
    <cellStyle name="Currency 2 2 3" xfId="3070"/>
    <cellStyle name="Currency 2 2 3 2" xfId="3071"/>
    <cellStyle name="Currency 2 2 3 3" xfId="3072"/>
    <cellStyle name="Currency 2 2 3 4" xfId="3073"/>
    <cellStyle name="Currency 2 2 3 5" xfId="3074"/>
    <cellStyle name="Currency 2 2 4" xfId="3075"/>
    <cellStyle name="Currency 2 2 5" xfId="3076"/>
    <cellStyle name="Currency 2 2 6" xfId="3077"/>
    <cellStyle name="Currency 2 2 7" xfId="3078"/>
    <cellStyle name="Currency 2 2 8" xfId="3079"/>
    <cellStyle name="Currency 2 2 9" xfId="3080"/>
    <cellStyle name="Currency 2 20 2" xfId="3081"/>
    <cellStyle name="Currency 2 21 2" xfId="3082"/>
    <cellStyle name="Currency 2 22 2" xfId="3083"/>
    <cellStyle name="Currency 2 23 2" xfId="3084"/>
    <cellStyle name="Currency 2 24 2" xfId="3085"/>
    <cellStyle name="Currency 2 24 3" xfId="3086"/>
    <cellStyle name="Currency 2 25 3" xfId="3087"/>
    <cellStyle name="Currency 2 25 2" xfId="3088"/>
    <cellStyle name="Currency 2 26 3" xfId="3089"/>
    <cellStyle name="Currency 2 26 2" xfId="3090"/>
    <cellStyle name="Currency 2 3 4" xfId="3091"/>
    <cellStyle name="Currency 2 3 2" xfId="3092"/>
    <cellStyle name="Currency 2 4 3" xfId="3093"/>
    <cellStyle name="Currency 2 6 3" xfId="3094"/>
    <cellStyle name="Currency 2 7 3" xfId="3095"/>
    <cellStyle name="Currency 2 8 3" xfId="3096"/>
    <cellStyle name="Currency 2 9 3" xfId="3097"/>
    <cellStyle name="Currency 20" xfId="3098"/>
    <cellStyle name="Currency 20 2" xfId="3099"/>
    <cellStyle name="Currency 20 3" xfId="3100"/>
    <cellStyle name="Currency 21" xfId="3101"/>
    <cellStyle name="Currency 22" xfId="3102"/>
    <cellStyle name="Currency 23" xfId="3103"/>
    <cellStyle name="Currency 24" xfId="3104"/>
    <cellStyle name="Currency 25" xfId="3105"/>
    <cellStyle name="Currency 26" xfId="3106"/>
    <cellStyle name="Currency 27" xfId="3107"/>
    <cellStyle name="Currency 28" xfId="3108"/>
    <cellStyle name="Currency 29" xfId="3109"/>
    <cellStyle name="Currency 3 10 7" xfId="3110"/>
    <cellStyle name="Currency 3 11 7" xfId="3111"/>
    <cellStyle name="Currency 3 12 7" xfId="3112"/>
    <cellStyle name="Currency 3 13 7" xfId="3113"/>
    <cellStyle name="Currency 3 14 7" xfId="3114"/>
    <cellStyle name="Currency 3 15 7" xfId="3115"/>
    <cellStyle name="Currency 3 16 7" xfId="3116"/>
    <cellStyle name="Currency 3 17 7" xfId="3117"/>
    <cellStyle name="Currency 3 18 7" xfId="3118"/>
    <cellStyle name="Currency 3 19 7" xfId="3119"/>
    <cellStyle name="Currency 3 2 9" xfId="3120"/>
    <cellStyle name="Currency 3 2 2 7" xfId="3121"/>
    <cellStyle name="Currency 3 2 3" xfId="3122"/>
    <cellStyle name="Currency 3 2 4" xfId="3123"/>
    <cellStyle name="Currency 3 2 5" xfId="3124"/>
    <cellStyle name="Currency 3 2 6" xfId="3125"/>
    <cellStyle name="Currency 3 2 7" xfId="3126"/>
    <cellStyle name="Currency 3 20 7" xfId="3127"/>
    <cellStyle name="Currency 3 21 7" xfId="3128"/>
    <cellStyle name="Currency 3 22 4" xfId="3129"/>
    <cellStyle name="Currency 3 22 2" xfId="3130"/>
    <cellStyle name="Currency 3 22 3" xfId="3131"/>
    <cellStyle name="Currency 3 3 14" xfId="3132"/>
    <cellStyle name="Currency 3 3 2 7" xfId="3133"/>
    <cellStyle name="Currency 3 3 3" xfId="3134"/>
    <cellStyle name="Currency 3 3 4" xfId="3135"/>
    <cellStyle name="Currency 3 3 5" xfId="3136"/>
    <cellStyle name="Currency 3 3 6" xfId="3137"/>
    <cellStyle name="Currency 3 3 7" xfId="3138"/>
    <cellStyle name="Currency 3 4 8" xfId="3139"/>
    <cellStyle name="Currency 3 4 2" xfId="3140"/>
    <cellStyle name="Currency 3 5 8" xfId="3141"/>
    <cellStyle name="Currency 3 5 2" xfId="3142"/>
    <cellStyle name="Currency 3 6 8" xfId="3143"/>
    <cellStyle name="Currency 3 6 2" xfId="3144"/>
    <cellStyle name="Currency 3 7 7" xfId="3145"/>
    <cellStyle name="Currency 3 8 7" xfId="3146"/>
    <cellStyle name="Currency 3 9 7" xfId="3147"/>
    <cellStyle name="Currency 30" xfId="3148"/>
    <cellStyle name="Currency 31" xfId="3149"/>
    <cellStyle name="Currency 32" xfId="3150"/>
    <cellStyle name="Currency 33" xfId="3151"/>
    <cellStyle name="Currency 34" xfId="3152"/>
    <cellStyle name="Currency 35" xfId="3153"/>
    <cellStyle name="Currency 36" xfId="3154"/>
    <cellStyle name="Currency 37" xfId="3155"/>
    <cellStyle name="Currency 38" xfId="3156"/>
    <cellStyle name="Currency 39" xfId="3157"/>
    <cellStyle name="Currency 4 6" xfId="3158"/>
    <cellStyle name="Currency 4 2" xfId="3159"/>
    <cellStyle name="Currency 4 3" xfId="3160"/>
    <cellStyle name="Currency 4 3 2" xfId="3161"/>
    <cellStyle name="Currency 4 3 3" xfId="3162"/>
    <cellStyle name="Currency 4 3 4" xfId="3163"/>
    <cellStyle name="Currency 4 4" xfId="3164"/>
    <cellStyle name="Currency 40" xfId="3165"/>
    <cellStyle name="Currency 41" xfId="3166"/>
    <cellStyle name="Currency 42" xfId="3167"/>
    <cellStyle name="Currency 43" xfId="3168"/>
    <cellStyle name="Currency 44" xfId="3169"/>
    <cellStyle name="Currency 45" xfId="3170"/>
    <cellStyle name="Currency 46" xfId="3171"/>
    <cellStyle name="Currency 47" xfId="3172"/>
    <cellStyle name="Currency 48" xfId="3173"/>
    <cellStyle name="Currency 49" xfId="3174"/>
    <cellStyle name="Currency 5 5" xfId="3175"/>
    <cellStyle name="Currency 5 2 5" xfId="3176"/>
    <cellStyle name="Currency 5 2 2 3" xfId="3177"/>
    <cellStyle name="Currency 5 2 3" xfId="3178"/>
    <cellStyle name="Currency 5 3 3" xfId="3179"/>
    <cellStyle name="Currency 50" xfId="3180"/>
    <cellStyle name="Currency 51" xfId="3181"/>
    <cellStyle name="Currency 52" xfId="3182"/>
    <cellStyle name="Currency 53" xfId="3183"/>
    <cellStyle name="Currency 54" xfId="3184"/>
    <cellStyle name="Currency 55" xfId="3185"/>
    <cellStyle name="Currency 56" xfId="3186"/>
    <cellStyle name="Currency 57" xfId="3187"/>
    <cellStyle name="Currency 58" xfId="3188"/>
    <cellStyle name="Currency 59" xfId="3189"/>
    <cellStyle name="Currency 6 5" xfId="3190"/>
    <cellStyle name="Currency 6 2" xfId="3191"/>
    <cellStyle name="Currency 6 2 2" xfId="3192"/>
    <cellStyle name="Currency 6 2 3" xfId="3193"/>
    <cellStyle name="Currency 6 3" xfId="3194"/>
    <cellStyle name="Currency 60" xfId="3195"/>
    <cellStyle name="Currency 61" xfId="3196"/>
    <cellStyle name="Currency 62" xfId="3197"/>
    <cellStyle name="Currency 63" xfId="3198"/>
    <cellStyle name="Currency 64" xfId="3199"/>
    <cellStyle name="Currency 65" xfId="3200"/>
    <cellStyle name="Currency 66" xfId="3201"/>
    <cellStyle name="Currency 67" xfId="3202"/>
    <cellStyle name="Currency 68" xfId="3203"/>
    <cellStyle name="Currency 69" xfId="3204"/>
    <cellStyle name="Currency 7 5" xfId="3205"/>
    <cellStyle name="Currency 7 2" xfId="3206"/>
    <cellStyle name="Currency 7 2 2" xfId="3207"/>
    <cellStyle name="Currency 7 2 3" xfId="3208"/>
    <cellStyle name="Currency 7 3" xfId="3209"/>
    <cellStyle name="Currency 70" xfId="3210"/>
    <cellStyle name="Currency 71" xfId="3211"/>
    <cellStyle name="Currency 72" xfId="3212"/>
    <cellStyle name="Currency 73" xfId="3213"/>
    <cellStyle name="Currency 74" xfId="3214"/>
    <cellStyle name="Currency 75" xfId="3215"/>
    <cellStyle name="Currency 76" xfId="3216"/>
    <cellStyle name="Currency 77" xfId="3217"/>
    <cellStyle name="Currency 78" xfId="3218"/>
    <cellStyle name="Currency 79" xfId="3219"/>
    <cellStyle name="Currency 8 5" xfId="3220"/>
    <cellStyle name="Currency 8 2" xfId="3221"/>
    <cellStyle name="Currency 8 2 2" xfId="3222"/>
    <cellStyle name="Currency 8 2 3" xfId="3223"/>
    <cellStyle name="Currency 8 3" xfId="3224"/>
    <cellStyle name="Currency 80" xfId="3225"/>
    <cellStyle name="Currency 81" xfId="3226"/>
    <cellStyle name="Currency 82" xfId="3227"/>
    <cellStyle name="Currency 83" xfId="3228"/>
    <cellStyle name="Currency 84" xfId="3229"/>
    <cellStyle name="Currency 85" xfId="3230"/>
    <cellStyle name="Currency 86" xfId="3231"/>
    <cellStyle name="Currency 87" xfId="3232"/>
    <cellStyle name="Currency 88" xfId="3233"/>
    <cellStyle name="Currency 89" xfId="3234"/>
    <cellStyle name="Currency 9 5" xfId="3235"/>
    <cellStyle name="Currency 9 2" xfId="3236"/>
    <cellStyle name="Currency 9 2 2" xfId="3237"/>
    <cellStyle name="Currency 9 2 3" xfId="3238"/>
    <cellStyle name="Currency 9 3" xfId="3239"/>
    <cellStyle name="Currency 90" xfId="3240"/>
    <cellStyle name="Currency 91" xfId="3241"/>
    <cellStyle name="Currency 92" xfId="3242"/>
    <cellStyle name="Currency 93" xfId="3243"/>
    <cellStyle name="Currency 94" xfId="3244"/>
    <cellStyle name="Currency 95" xfId="3245"/>
    <cellStyle name="Currency 96" xfId="3246"/>
    <cellStyle name="Currency 97" xfId="3247"/>
    <cellStyle name="Currency 98" xfId="3248"/>
    <cellStyle name="Currency 99" xfId="3249"/>
    <cellStyle name="Currency(+Credit)" xfId="3250"/>
    <cellStyle name="Date 3" xfId="3251"/>
    <cellStyle name="exceptions" xfId="3252"/>
    <cellStyle name="Explanatory Text 2" xfId="3253"/>
    <cellStyle name="Explanatory Text 3" xfId="3254"/>
    <cellStyle name="Explanatory Text 4" xfId="3255"/>
    <cellStyle name="Explanatory Text 5" xfId="3256"/>
    <cellStyle name="FRxAmtStyle" xfId="3257"/>
    <cellStyle name="FRxAmtStyle 2" xfId="3258"/>
    <cellStyle name="FRxAmtStyle 2 10" xfId="3259"/>
    <cellStyle name="FRxAmtStyle 2 2" xfId="3260"/>
    <cellStyle name="FRxAmtStyle 2 3" xfId="3261"/>
    <cellStyle name="FRxAmtStyle 3" xfId="3262"/>
    <cellStyle name="FRxAmtStyle 4" xfId="3263"/>
    <cellStyle name="FRxAmtStyle 5" xfId="3264"/>
    <cellStyle name="FRxCurrStyle" xfId="3265"/>
    <cellStyle name="FRxCurrStyle 2" xfId="3266"/>
    <cellStyle name="FRxPcntStyle" xfId="3267"/>
    <cellStyle name="Good 2" xfId="3268"/>
    <cellStyle name="Good 3" xfId="3269"/>
    <cellStyle name="Good 4" xfId="3270"/>
    <cellStyle name="Good 5" xfId="3271"/>
    <cellStyle name="Heading 1 2" xfId="3272"/>
    <cellStyle name="Heading 1 3" xfId="3273"/>
    <cellStyle name="Heading 1 4" xfId="3274"/>
    <cellStyle name="Heading 1 5" xfId="3275"/>
    <cellStyle name="Heading 1 6" xfId="3276"/>
    <cellStyle name="Heading 2 2" xfId="3277"/>
    <cellStyle name="Heading 2 3" xfId="3278"/>
    <cellStyle name="Heading 2 4" xfId="3279"/>
    <cellStyle name="Heading 2 5" xfId="3280"/>
    <cellStyle name="Heading 2 6" xfId="3281"/>
    <cellStyle name="Heading 3 3 3" xfId="3282"/>
    <cellStyle name="Heading 3 4" xfId="3283"/>
    <cellStyle name="Heading 3 5" xfId="3284"/>
    <cellStyle name="Heading 3 6" xfId="3285"/>
    <cellStyle name="Heading 4 2" xfId="3286"/>
    <cellStyle name="Heading 4 3" xfId="3287"/>
    <cellStyle name="Heading 4 4" xfId="3288"/>
    <cellStyle name="Heading 4 5" xfId="3289"/>
    <cellStyle name="Heading 4 6" xfId="3290"/>
    <cellStyle name="Heading No Underline" xfId="3291"/>
    <cellStyle name="Heading No Underline 2" xfId="3292"/>
    <cellStyle name="Heading No Underline 3" xfId="3293"/>
    <cellStyle name="Heading With Underline" xfId="3294"/>
    <cellStyle name="Heading With Underline 2" xfId="3295"/>
    <cellStyle name="Heading With Underline 3" xfId="3296"/>
    <cellStyle name="HNU" xfId="3297"/>
    <cellStyle name="Hyperlink 2 4" xfId="3298"/>
    <cellStyle name="Input 2" xfId="3299"/>
    <cellStyle name="Input 3" xfId="3300"/>
    <cellStyle name="Input 4" xfId="3301"/>
    <cellStyle name="Input 5" xfId="3302"/>
    <cellStyle name="input highlight" xfId="3303"/>
    <cellStyle name="input highlight 2" xfId="3304"/>
    <cellStyle name="Linked Cell 2" xfId="3305"/>
    <cellStyle name="Linked Cell 3" xfId="3306"/>
    <cellStyle name="Linked Cell 4" xfId="3307"/>
    <cellStyle name="Linked Cell 5" xfId="3308"/>
    <cellStyle name="Neutral 2" xfId="3309"/>
    <cellStyle name="Neutral 3" xfId="3310"/>
    <cellStyle name="Neutral 4" xfId="3311"/>
    <cellStyle name="Neutral 5" xfId="3312"/>
    <cellStyle name="Normal 10 2 4" xfId="3313"/>
    <cellStyle name="Normal 10 2 2 3" xfId="3314"/>
    <cellStyle name="Normal 10 2 2 2" xfId="3315"/>
    <cellStyle name="Normal 10 2 3" xfId="3316"/>
    <cellStyle name="Normal 10 3" xfId="3317"/>
    <cellStyle name="Normal 10 3 2" xfId="3318"/>
    <cellStyle name="Normal 10 3 2 2" xfId="3319"/>
    <cellStyle name="Normal 10 3 2 2 2" xfId="3320"/>
    <cellStyle name="Normal 10 3 2 3" xfId="3321"/>
    <cellStyle name="Normal 10 3 2 3 2" xfId="3322"/>
    <cellStyle name="Normal 10 3 2 4" xfId="3323"/>
    <cellStyle name="Normal 10 3 3" xfId="3324"/>
    <cellStyle name="Normal 10 3 3 2" xfId="3325"/>
    <cellStyle name="Normal 10 3 4" xfId="3326"/>
    <cellStyle name="Normal 10 3 4 2" xfId="3327"/>
    <cellStyle name="Normal 10 3 5" xfId="3328"/>
    <cellStyle name="Normal 10 4" xfId="3329"/>
    <cellStyle name="Normal 10 4 2" xfId="3330"/>
    <cellStyle name="Normal 10 4 2 2" xfId="3331"/>
    <cellStyle name="Normal 10 4 3" xfId="3332"/>
    <cellStyle name="Normal 10 4 3 2" xfId="3333"/>
    <cellStyle name="Normal 10 4 4" xfId="3334"/>
    <cellStyle name="Normal 10 5" xfId="3335"/>
    <cellStyle name="Normal 10 5 2" xfId="3336"/>
    <cellStyle name="Normal 10 5 2 2" xfId="3337"/>
    <cellStyle name="Normal 10 5 3" xfId="3338"/>
    <cellStyle name="Normal 10 5 3 2" xfId="3339"/>
    <cellStyle name="Normal 10 5 4" xfId="3340"/>
    <cellStyle name="Normal 10 6" xfId="3341"/>
    <cellStyle name="Normal 10 6 2" xfId="3342"/>
    <cellStyle name="Normal 10 7" xfId="3343"/>
    <cellStyle name="Normal 10 7 2" xfId="3344"/>
    <cellStyle name="Normal 10 8" xfId="3345"/>
    <cellStyle name="Normal 10 8 2" xfId="3346"/>
    <cellStyle name="Normal 10 9" xfId="3347"/>
    <cellStyle name="Normal 11 4" xfId="3348"/>
    <cellStyle name="Normal 11 2 3" xfId="3349"/>
    <cellStyle name="Normal 11 3" xfId="3350"/>
    <cellStyle name="Normal 12 14" xfId="3351"/>
    <cellStyle name="Normal 12 2" xfId="3352"/>
    <cellStyle name="Normal 12 2 2" xfId="3353"/>
    <cellStyle name="Normal 12 2 2 2" xfId="3354"/>
    <cellStyle name="Normal 12 2 2 2 2" xfId="3355"/>
    <cellStyle name="Normal 12 2 2 3" xfId="3356"/>
    <cellStyle name="Normal 12 2 2 3 2" xfId="3357"/>
    <cellStyle name="Normal 12 2 2 4" xfId="3358"/>
    <cellStyle name="Normal 12 2 3" xfId="3359"/>
    <cellStyle name="Normal 12 2 3 2" xfId="3360"/>
    <cellStyle name="Normal 12 2 4" xfId="3361"/>
    <cellStyle name="Normal 12 2 4 2" xfId="3362"/>
    <cellStyle name="Normal 12 2 5" xfId="3363"/>
    <cellStyle name="Normal 12 2 5 2" xfId="3364"/>
    <cellStyle name="Normal 12 2 6" xfId="3365"/>
    <cellStyle name="Normal 12 3" xfId="3366"/>
    <cellStyle name="Normal 12 3 2" xfId="3367"/>
    <cellStyle name="Normal 12 3 2 2" xfId="3368"/>
    <cellStyle name="Normal 12 3 3" xfId="3369"/>
    <cellStyle name="Normal 12 3 3 2" xfId="3370"/>
    <cellStyle name="Normal 12 3 4" xfId="3371"/>
    <cellStyle name="Normal 12 4" xfId="3372"/>
    <cellStyle name="Normal 12 4 2" xfId="3373"/>
    <cellStyle name="Normal 12 4 2 2" xfId="3374"/>
    <cellStyle name="Normal 12 4 3" xfId="3375"/>
    <cellStyle name="Normal 12 4 3 2" xfId="3376"/>
    <cellStyle name="Normal 12 4 4" xfId="3377"/>
    <cellStyle name="Normal 12 5" xfId="3378"/>
    <cellStyle name="Normal 12 5 2" xfId="3379"/>
    <cellStyle name="Normal 12 6" xfId="3380"/>
    <cellStyle name="Normal 12 6 2" xfId="3381"/>
    <cellStyle name="Normal 12 7" xfId="3382"/>
    <cellStyle name="Normal 14 2" xfId="3383"/>
    <cellStyle name="Normal 15 11" xfId="3384"/>
    <cellStyle name="Normal 15 2" xfId="3385"/>
    <cellStyle name="Normal 15 3" xfId="3386"/>
    <cellStyle name="Normal 15 4" xfId="3387"/>
    <cellStyle name="Normal 15 4 2" xfId="3388"/>
    <cellStyle name="Normal 15 5" xfId="3389"/>
    <cellStyle name="Normal 15 5 2" xfId="3390"/>
    <cellStyle name="Normal 16" xfId="3391"/>
    <cellStyle name="Normal 16 2" xfId="3392"/>
    <cellStyle name="Normal 16 2 2" xfId="3393"/>
    <cellStyle name="Normal 16 2 2 2" xfId="3394"/>
    <cellStyle name="Normal 16 2 3" xfId="3395"/>
    <cellStyle name="Normal 16 2 3 2" xfId="3396"/>
    <cellStyle name="Normal 16 2 4" xfId="3397"/>
    <cellStyle name="Normal 16 3" xfId="3398"/>
    <cellStyle name="Normal 16 3 2" xfId="3399"/>
    <cellStyle name="Normal 16 4" xfId="3400"/>
    <cellStyle name="Normal 16 4 2" xfId="3401"/>
    <cellStyle name="Normal 16 5" xfId="3402"/>
    <cellStyle name="Normal 16 5 2" xfId="3403"/>
    <cellStyle name="Normal 16 6" xfId="3404"/>
    <cellStyle name="Normal 17 2" xfId="3405"/>
    <cellStyle name="Normal 17 2 2" xfId="3406"/>
    <cellStyle name="Normal 17 2 2 2" xfId="3407"/>
    <cellStyle name="Normal 17 2 3" xfId="3408"/>
    <cellStyle name="Normal 17 2 3 2" xfId="3409"/>
    <cellStyle name="Normal 17 2 4" xfId="3410"/>
    <cellStyle name="Normal 17 3" xfId="3411"/>
    <cellStyle name="Normal 17 3 2" xfId="3412"/>
    <cellStyle name="Normal 17 4" xfId="3413"/>
    <cellStyle name="Normal 17 4 2" xfId="3414"/>
    <cellStyle name="Normal 17 5" xfId="3415"/>
    <cellStyle name="Normal 17 5 2" xfId="3416"/>
    <cellStyle name="Normal 17 6" xfId="3417"/>
    <cellStyle name="Normal 18 2" xfId="3418"/>
    <cellStyle name="Normal 19 2" xfId="3419"/>
    <cellStyle name="Normal 19 2 2" xfId="3420"/>
    <cellStyle name="Normal 19 2 2 2" xfId="3421"/>
    <cellStyle name="Normal 19 2 3" xfId="3422"/>
    <cellStyle name="Normal 19 3" xfId="3423"/>
    <cellStyle name="Normal 2 10 3" xfId="3424"/>
    <cellStyle name="Normal 2 11 3" xfId="3425"/>
    <cellStyle name="Normal 2 12 3" xfId="3426"/>
    <cellStyle name="Normal 2 13 3" xfId="3427"/>
    <cellStyle name="Normal 2 14 3" xfId="3428"/>
    <cellStyle name="Normal 2 15 3" xfId="3429"/>
    <cellStyle name="Normal 2 16 3" xfId="3430"/>
    <cellStyle name="Normal 2 17 3" xfId="3431"/>
    <cellStyle name="Normal 2 18 3" xfId="3432"/>
    <cellStyle name="Normal 2 19 3" xfId="3433"/>
    <cellStyle name="Normal 2 2 10 7" xfId="3434"/>
    <cellStyle name="Normal 2 2 11 7" xfId="3435"/>
    <cellStyle name="Normal 2 2 12 7" xfId="3436"/>
    <cellStyle name="Normal 2 2 13 7" xfId="3437"/>
    <cellStyle name="Normal 2 2 14 7" xfId="3438"/>
    <cellStyle name="Normal 2 2 15 7" xfId="3439"/>
    <cellStyle name="Normal 2 2 16 7" xfId="3440"/>
    <cellStyle name="Normal 2 2 17 7" xfId="3441"/>
    <cellStyle name="Normal 2 2 18 7" xfId="3442"/>
    <cellStyle name="Normal 2 2 19 7" xfId="3443"/>
    <cellStyle name="Normal 2 2 2 6" xfId="3444"/>
    <cellStyle name="Normal 2 2 2 2 11" xfId="3445"/>
    <cellStyle name="Normal 2 2 2 2 2" xfId="3446"/>
    <cellStyle name="Normal 2 2 2 2 2 2" xfId="3447"/>
    <cellStyle name="Normal 2 2 2 2 3" xfId="3448"/>
    <cellStyle name="Normal 2 2 2 2 4" xfId="3449"/>
    <cellStyle name="Normal 2 2 2 2 5" xfId="3450"/>
    <cellStyle name="Normal 2 2 2 3" xfId="3451"/>
    <cellStyle name="Normal 2 2 2 4" xfId="3452"/>
    <cellStyle name="Normal 2 2 2 4 2" xfId="3453"/>
    <cellStyle name="Normal 2 2 2 5" xfId="3454"/>
    <cellStyle name="Normal 2 2 2 5 2" xfId="3455"/>
    <cellStyle name="Normal 2 2 20 7" xfId="3456"/>
    <cellStyle name="Normal 2 2 21 7" xfId="3457"/>
    <cellStyle name="Normal 2 2 22 7" xfId="3458"/>
    <cellStyle name="Normal 2 2 23 3" xfId="3459"/>
    <cellStyle name="Normal 2 2 23 2" xfId="3460"/>
    <cellStyle name="Normal 2 2 24 3" xfId="3461"/>
    <cellStyle name="Normal 2 2 24 2" xfId="3462"/>
    <cellStyle name="Normal 2 2 3 14" xfId="3463"/>
    <cellStyle name="Normal 2 2 3 2" xfId="3464"/>
    <cellStyle name="Normal 2 2 3 3" xfId="3465"/>
    <cellStyle name="Normal 2 2 3 4" xfId="3466"/>
    <cellStyle name="Normal 2 2 3 5" xfId="3467"/>
    <cellStyle name="Normal 2 2 3 6" xfId="3468"/>
    <cellStyle name="Normal 2 2 3 7" xfId="3469"/>
    <cellStyle name="Normal 2 2 3 7 2" xfId="3470"/>
    <cellStyle name="Normal 2 2 3 8" xfId="3471"/>
    <cellStyle name="Normal 2 2 3 8 2" xfId="3472"/>
    <cellStyle name="Normal 2 2 4 10" xfId="3473"/>
    <cellStyle name="Normal 2 2 4 2" xfId="3474"/>
    <cellStyle name="Normal 2 2 4 3" xfId="3475"/>
    <cellStyle name="Normal 2 2 4 3 2" xfId="3476"/>
    <cellStyle name="Normal 2 2 4 4" xfId="3477"/>
    <cellStyle name="Normal 2 2 4 4 2" xfId="3478"/>
    <cellStyle name="Normal 2 2 5 9" xfId="3479"/>
    <cellStyle name="Normal 2 2 5 2" xfId="3480"/>
    <cellStyle name="Normal 2 2 5 3" xfId="3481"/>
    <cellStyle name="Normal 2 2 6 7" xfId="3482"/>
    <cellStyle name="Normal 2 2 7 7" xfId="3483"/>
    <cellStyle name="Normal 2 2 8 7" xfId="3484"/>
    <cellStyle name="Normal 2 2 9 7" xfId="3485"/>
    <cellStyle name="Normal 2 20" xfId="3486"/>
    <cellStyle name="Normal 2 21" xfId="3487"/>
    <cellStyle name="Normal 2 22 3" xfId="3488"/>
    <cellStyle name="Normal 2 3 9" xfId="3489"/>
    <cellStyle name="Normal 2 3 2" xfId="3490"/>
    <cellStyle name="Normal 2 3 2 2" xfId="3491"/>
    <cellStyle name="Normal 2 3 3" xfId="3492"/>
    <cellStyle name="Normal 2 3 4" xfId="3493"/>
    <cellStyle name="Normal 2 3 5" xfId="3494"/>
    <cellStyle name="Normal 2 3 6" xfId="3495"/>
    <cellStyle name="Normal 2 3 7" xfId="3496"/>
    <cellStyle name="Normal 2 3 8" xfId="3497"/>
    <cellStyle name="Normal 2 4 5" xfId="3498"/>
    <cellStyle name="Normal 2 4 2" xfId="3499"/>
    <cellStyle name="Normal 2 4 3" xfId="3500"/>
    <cellStyle name="Normal 2 5 3" xfId="3501"/>
    <cellStyle name="Normal 2 6 3" xfId="3502"/>
    <cellStyle name="Normal 2 7 3" xfId="3503"/>
    <cellStyle name="Normal 2 8 3" xfId="3504"/>
    <cellStyle name="Normal 2 9 3" xfId="3505"/>
    <cellStyle name="Normal 20 25" xfId="3506"/>
    <cellStyle name="Normal 20 10" xfId="3507"/>
    <cellStyle name="Normal 20 11" xfId="3508"/>
    <cellStyle name="Normal 20 12" xfId="3509"/>
    <cellStyle name="Normal 20 13" xfId="3510"/>
    <cellStyle name="Normal 20 14" xfId="3511"/>
    <cellStyle name="Normal 20 15" xfId="3512"/>
    <cellStyle name="Normal 20 16" xfId="3513"/>
    <cellStyle name="Normal 20 17" xfId="3514"/>
    <cellStyle name="Normal 20 18" xfId="3515"/>
    <cellStyle name="Normal 20 19" xfId="3516"/>
    <cellStyle name="Normal 20 2" xfId="3517"/>
    <cellStyle name="Normal 20 20" xfId="3518"/>
    <cellStyle name="Normal 20 21" xfId="3519"/>
    <cellStyle name="Normal 20 22" xfId="3520"/>
    <cellStyle name="Normal 20 23" xfId="3521"/>
    <cellStyle name="Normal 20 24" xfId="3522"/>
    <cellStyle name="Normal 20 3" xfId="3523"/>
    <cellStyle name="Normal 20 4" xfId="3524"/>
    <cellStyle name="Normal 20 5" xfId="3525"/>
    <cellStyle name="Normal 20 6" xfId="3526"/>
    <cellStyle name="Normal 20 7" xfId="3527"/>
    <cellStyle name="Normal 20 8" xfId="3528"/>
    <cellStyle name="Normal 20 9" xfId="3529"/>
    <cellStyle name="Normal 21 14" xfId="3530"/>
    <cellStyle name="Normal 21 2" xfId="3531"/>
    <cellStyle name="Normal 21 2 2" xfId="3532"/>
    <cellStyle name="Normal 21 2 3" xfId="3533"/>
    <cellStyle name="Normal 21 2 4" xfId="3534"/>
    <cellStyle name="Normal 21 2 5" xfId="3535"/>
    <cellStyle name="Normal 21 2 6" xfId="3536"/>
    <cellStyle name="Normal 21 3" xfId="3537"/>
    <cellStyle name="Normal 21 3 2" xfId="3538"/>
    <cellStyle name="Normal 21 4" xfId="3539"/>
    <cellStyle name="Normal 21 5" xfId="3540"/>
    <cellStyle name="Normal 21 6" xfId="3541"/>
    <cellStyle name="Normal 21 7" xfId="3542"/>
    <cellStyle name="Normal 21 8" xfId="3543"/>
    <cellStyle name="Normal 22 13" xfId="3544"/>
    <cellStyle name="Normal 22 2" xfId="3545"/>
    <cellStyle name="Normal 22 2 2" xfId="3546"/>
    <cellStyle name="Normal 22 2 3" xfId="3547"/>
    <cellStyle name="Normal 22 2 4" xfId="3548"/>
    <cellStyle name="Normal 22 2 5" xfId="3549"/>
    <cellStyle name="Normal 22 2 6" xfId="3550"/>
    <cellStyle name="Normal 22 3" xfId="3551"/>
    <cellStyle name="Normal 22 4" xfId="3552"/>
    <cellStyle name="Normal 22 5" xfId="3553"/>
    <cellStyle name="Normal 22 6" xfId="3554"/>
    <cellStyle name="Normal 22 7" xfId="3555"/>
    <cellStyle name="Normal 23 13" xfId="3556"/>
    <cellStyle name="Normal 23 2" xfId="3557"/>
    <cellStyle name="Normal 23 2 2" xfId="3558"/>
    <cellStyle name="Normal 23 2 3" xfId="3559"/>
    <cellStyle name="Normal 23 2 4" xfId="3560"/>
    <cellStyle name="Normal 23 2 5" xfId="3561"/>
    <cellStyle name="Normal 23 3" xfId="3562"/>
    <cellStyle name="Normal 23 4" xfId="3563"/>
    <cellStyle name="Normal 23 5" xfId="3564"/>
    <cellStyle name="Normal 23 6" xfId="3565"/>
    <cellStyle name="Normal 23 7" xfId="3566"/>
    <cellStyle name="Normal 24" xfId="3567"/>
    <cellStyle name="Normal 24 2" xfId="3568"/>
    <cellStyle name="Normal 24 2 2" xfId="3569"/>
    <cellStyle name="Normal 24 2 3" xfId="3570"/>
    <cellStyle name="Normal 24 2 4" xfId="3571"/>
    <cellStyle name="Normal 24 2 5" xfId="3572"/>
    <cellStyle name="Normal 24 3" xfId="3573"/>
    <cellStyle name="Normal 24 4" xfId="3574"/>
    <cellStyle name="Normal 24 5" xfId="3575"/>
    <cellStyle name="Normal 24 6" xfId="3576"/>
    <cellStyle name="Normal 24 7" xfId="3577"/>
    <cellStyle name="Normal 25 24" xfId="3578"/>
    <cellStyle name="Normal 25 10" xfId="3579"/>
    <cellStyle name="Normal 25 11" xfId="3580"/>
    <cellStyle name="Normal 25 12" xfId="3581"/>
    <cellStyle name="Normal 25 13" xfId="3582"/>
    <cellStyle name="Normal 25 14" xfId="3583"/>
    <cellStyle name="Normal 25 15" xfId="3584"/>
    <cellStyle name="Normal 25 16" xfId="3585"/>
    <cellStyle name="Normal 25 17" xfId="3586"/>
    <cellStyle name="Normal 25 18" xfId="3587"/>
    <cellStyle name="Normal 25 19" xfId="3588"/>
    <cellStyle name="Normal 25 2" xfId="3589"/>
    <cellStyle name="Normal 25 20" xfId="3590"/>
    <cellStyle name="Normal 25 21" xfId="3591"/>
    <cellStyle name="Normal 25 22" xfId="3592"/>
    <cellStyle name="Normal 25 23" xfId="3593"/>
    <cellStyle name="Normal 25 3" xfId="3594"/>
    <cellStyle name="Normal 25 4" xfId="3595"/>
    <cellStyle name="Normal 25 5" xfId="3596"/>
    <cellStyle name="Normal 25 6" xfId="3597"/>
    <cellStyle name="Normal 25 7" xfId="3598"/>
    <cellStyle name="Normal 25 8" xfId="3599"/>
    <cellStyle name="Normal 25 9" xfId="3600"/>
    <cellStyle name="Normal 26 13" xfId="3601"/>
    <cellStyle name="Normal 26 2" xfId="3602"/>
    <cellStyle name="Normal 26 2 2" xfId="3603"/>
    <cellStyle name="Normal 26 2 3" xfId="3604"/>
    <cellStyle name="Normal 26 2 4" xfId="3605"/>
    <cellStyle name="Normal 26 2 5" xfId="3606"/>
    <cellStyle name="Normal 26 3" xfId="3607"/>
    <cellStyle name="Normal 26 4" xfId="3608"/>
    <cellStyle name="Normal 26 5" xfId="3609"/>
    <cellStyle name="Normal 26 6" xfId="3610"/>
    <cellStyle name="Normal 26 7" xfId="3611"/>
    <cellStyle name="Normal 27" xfId="3612"/>
    <cellStyle name="Normal 28" xfId="3613"/>
    <cellStyle name="Normal 28 2" xfId="3614"/>
    <cellStyle name="Normal 29 3" xfId="3615"/>
    <cellStyle name="Normal 29 2" xfId="3616"/>
    <cellStyle name="Normal 3 10 7" xfId="3617"/>
    <cellStyle name="Normal 3 11 7" xfId="3618"/>
    <cellStyle name="Normal 3 12 7" xfId="3619"/>
    <cellStyle name="Normal 3 13 7" xfId="3620"/>
    <cellStyle name="Normal 3 14 7" xfId="3621"/>
    <cellStyle name="Normal 3 15 7" xfId="3622"/>
    <cellStyle name="Normal 3 16 7" xfId="3623"/>
    <cellStyle name="Normal 3 17 7" xfId="3624"/>
    <cellStyle name="Normal 3 18 7" xfId="3625"/>
    <cellStyle name="Normal 3 19 7" xfId="3626"/>
    <cellStyle name="Normal 3 2 7" xfId="3627"/>
    <cellStyle name="Normal 3 2 2" xfId="3628"/>
    <cellStyle name="Normal 3 2 3" xfId="3629"/>
    <cellStyle name="Normal 3 2 4" xfId="3630"/>
    <cellStyle name="Normal 3 2 5" xfId="3631"/>
    <cellStyle name="Normal 3 2 6" xfId="3632"/>
    <cellStyle name="Normal 3 20 7" xfId="3633"/>
    <cellStyle name="Normal 3 21 7" xfId="3634"/>
    <cellStyle name="Normal 3 22 7" xfId="3635"/>
    <cellStyle name="Normal 3 23 7" xfId="3636"/>
    <cellStyle name="Normal 3 24 7" xfId="3637"/>
    <cellStyle name="Normal 3 25 2" xfId="3638"/>
    <cellStyle name="Normal 3 26 5" xfId="3639"/>
    <cellStyle name="Normal 3 26 2" xfId="3640"/>
    <cellStyle name="Normal 3 26 3" xfId="3641"/>
    <cellStyle name="Normal 3 26 4" xfId="3642"/>
    <cellStyle name="Normal 3 27 2" xfId="3643"/>
    <cellStyle name="Normal 3 3 10" xfId="3644"/>
    <cellStyle name="Normal 3 3 2 7" xfId="3645"/>
    <cellStyle name="Normal 3 3 3" xfId="3646"/>
    <cellStyle name="Normal 3 3 4" xfId="3647"/>
    <cellStyle name="Normal 3 4 8" xfId="3648"/>
    <cellStyle name="Normal 3 4 2" xfId="3649"/>
    <cellStyle name="Normal 3 5 8" xfId="3650"/>
    <cellStyle name="Normal 3 5 2" xfId="3651"/>
    <cellStyle name="Normal 3 6 7" xfId="3652"/>
    <cellStyle name="Normal 3 7 7" xfId="3653"/>
    <cellStyle name="Normal 3 8 7" xfId="3654"/>
    <cellStyle name="Normal 3 9 7" xfId="3655"/>
    <cellStyle name="Normal 31" xfId="3656"/>
    <cellStyle name="Normal 31 2" xfId="3657"/>
    <cellStyle name="Normal 32" xfId="3658"/>
    <cellStyle name="Normal 32 2" xfId="3659"/>
    <cellStyle name="Normal 33" xfId="3660"/>
    <cellStyle name="Normal 33 2" xfId="3661"/>
    <cellStyle name="Normal 34" xfId="3662"/>
    <cellStyle name="Normal 34 10" xfId="3663"/>
    <cellStyle name="Normal 34 10 2" xfId="3664"/>
    <cellStyle name="Normal 34 11" xfId="3665"/>
    <cellStyle name="Normal 34 11 2" xfId="3666"/>
    <cellStyle name="Normal 34 12" xfId="3667"/>
    <cellStyle name="Normal 34 2" xfId="3668"/>
    <cellStyle name="Normal 34 2 2" xfId="3669"/>
    <cellStyle name="Normal 34 2 2 2" xfId="3670"/>
    <cellStyle name="Normal 34 2 2 2 2" xfId="3671"/>
    <cellStyle name="Normal 34 2 2 3" xfId="3672"/>
    <cellStyle name="Normal 34 2 3" xfId="3673"/>
    <cellStyle name="Normal 34 2 3 2" xfId="3674"/>
    <cellStyle name="Normal 34 2 4" xfId="3675"/>
    <cellStyle name="Normal 34 2 4 2" xfId="3676"/>
    <cellStyle name="Normal 34 2 5" xfId="3677"/>
    <cellStyle name="Normal 34 3" xfId="3678"/>
    <cellStyle name="Normal 34 3 2" xfId="3679"/>
    <cellStyle name="Normal 34 3 2 2" xfId="3680"/>
    <cellStyle name="Normal 34 3 2 2 2" xfId="3681"/>
    <cellStyle name="Normal 34 3 2 3" xfId="3682"/>
    <cellStyle name="Normal 34 3 3" xfId="3683"/>
    <cellStyle name="Normal 34 3 3 2" xfId="3684"/>
    <cellStyle name="Normal 34 3 4" xfId="3685"/>
    <cellStyle name="Normal 34 3 4 2" xfId="3686"/>
    <cellStyle name="Normal 34 3 5" xfId="3687"/>
    <cellStyle name="Normal 34 4" xfId="3688"/>
    <cellStyle name="Normal 34 4 2" xfId="3689"/>
    <cellStyle name="Normal 34 4 2 2" xfId="3690"/>
    <cellStyle name="Normal 34 4 2 2 2" xfId="3691"/>
    <cellStyle name="Normal 34 4 2 3" xfId="3692"/>
    <cellStyle name="Normal 34 4 3" xfId="3693"/>
    <cellStyle name="Normal 34 4 3 2" xfId="3694"/>
    <cellStyle name="Normal 34 4 4" xfId="3695"/>
    <cellStyle name="Normal 34 4 4 2" xfId="3696"/>
    <cellStyle name="Normal 34 4 5" xfId="3697"/>
    <cellStyle name="Normal 34 5" xfId="3698"/>
    <cellStyle name="Normal 34 5 2" xfId="3699"/>
    <cellStyle name="Normal 34 5 2 2" xfId="3700"/>
    <cellStyle name="Normal 34 5 2 2 2" xfId="3701"/>
    <cellStyle name="Normal 34 5 2 3" xfId="3702"/>
    <cellStyle name="Normal 34 5 3" xfId="3703"/>
    <cellStyle name="Normal 34 5 3 2" xfId="3704"/>
    <cellStyle name="Normal 34 5 4" xfId="3705"/>
    <cellStyle name="Normal 34 5 4 2" xfId="3706"/>
    <cellStyle name="Normal 34 5 5" xfId="3707"/>
    <cellStyle name="Normal 34 6" xfId="3708"/>
    <cellStyle name="Normal 34 6 2" xfId="3709"/>
    <cellStyle name="Normal 34 6 2 2" xfId="3710"/>
    <cellStyle name="Normal 34 6 2 2 2" xfId="3711"/>
    <cellStyle name="Normal 34 6 2 3" xfId="3712"/>
    <cellStyle name="Normal 34 6 3" xfId="3713"/>
    <cellStyle name="Normal 34 6 3 2" xfId="3714"/>
    <cellStyle name="Normal 34 6 4" xfId="3715"/>
    <cellStyle name="Normal 34 6 4 2" xfId="3716"/>
    <cellStyle name="Normal 34 6 5" xfId="3717"/>
    <cellStyle name="Normal 34 7" xfId="3718"/>
    <cellStyle name="Normal 34 7 2" xfId="3719"/>
    <cellStyle name="Normal 34 7 2 2" xfId="3720"/>
    <cellStyle name="Normal 34 7 2 2 2" xfId="3721"/>
    <cellStyle name="Normal 34 7 2 3" xfId="3722"/>
    <cellStyle name="Normal 34 7 3" xfId="3723"/>
    <cellStyle name="Normal 34 7 3 2" xfId="3724"/>
    <cellStyle name="Normal 34 7 4" xfId="3725"/>
    <cellStyle name="Normal 34 8" xfId="3726"/>
    <cellStyle name="Normal 34 8 2" xfId="3727"/>
    <cellStyle name="Normal 34 8 2 2" xfId="3728"/>
    <cellStyle name="Normal 34 8 2 2 2" xfId="3729"/>
    <cellStyle name="Normal 34 8 2 3" xfId="3730"/>
    <cellStyle name="Normal 34 8 3" xfId="3731"/>
    <cellStyle name="Normal 34 8 3 2" xfId="3732"/>
    <cellStyle name="Normal 34 8 4" xfId="3733"/>
    <cellStyle name="Normal 34 9" xfId="3734"/>
    <cellStyle name="Normal 34 9 2" xfId="3735"/>
    <cellStyle name="Normal 34 9 2 2" xfId="3736"/>
    <cellStyle name="Normal 34 9 3" xfId="3737"/>
    <cellStyle name="Normal 35" xfId="3738"/>
    <cellStyle name="Normal 35 10" xfId="3739"/>
    <cellStyle name="Normal 35 10 2" xfId="3740"/>
    <cellStyle name="Normal 35 11" xfId="3741"/>
    <cellStyle name="Normal 35 11 2" xfId="3742"/>
    <cellStyle name="Normal 35 12" xfId="3743"/>
    <cellStyle name="Normal 35 2" xfId="3744"/>
    <cellStyle name="Normal 35 2 2" xfId="3745"/>
    <cellStyle name="Normal 35 2 2 2" xfId="3746"/>
    <cellStyle name="Normal 35 2 2 2 2" xfId="3747"/>
    <cellStyle name="Normal 35 2 2 3" xfId="3748"/>
    <cellStyle name="Normal 35 2 3" xfId="3749"/>
    <cellStyle name="Normal 35 2 3 2" xfId="3750"/>
    <cellStyle name="Normal 35 2 4" xfId="3751"/>
    <cellStyle name="Normal 35 2 4 2" xfId="3752"/>
    <cellStyle name="Normal 35 2 5" xfId="3753"/>
    <cellStyle name="Normal 35 3" xfId="3754"/>
    <cellStyle name="Normal 35 3 2" xfId="3755"/>
    <cellStyle name="Normal 35 3 2 2" xfId="3756"/>
    <cellStyle name="Normal 35 3 2 2 2" xfId="3757"/>
    <cellStyle name="Normal 35 3 2 3" xfId="3758"/>
    <cellStyle name="Normal 35 3 3" xfId="3759"/>
    <cellStyle name="Normal 35 3 3 2" xfId="3760"/>
    <cellStyle name="Normal 35 3 4" xfId="3761"/>
    <cellStyle name="Normal 35 3 4 2" xfId="3762"/>
    <cellStyle name="Normal 35 3 5" xfId="3763"/>
    <cellStyle name="Normal 35 4" xfId="3764"/>
    <cellStyle name="Normal 35 4 2" xfId="3765"/>
    <cellStyle name="Normal 35 4 2 2" xfId="3766"/>
    <cellStyle name="Normal 35 4 2 2 2" xfId="3767"/>
    <cellStyle name="Normal 35 4 2 3" xfId="3768"/>
    <cellStyle name="Normal 35 4 3" xfId="3769"/>
    <cellStyle name="Normal 35 4 3 2" xfId="3770"/>
    <cellStyle name="Normal 35 4 4" xfId="3771"/>
    <cellStyle name="Normal 35 4 4 2" xfId="3772"/>
    <cellStyle name="Normal 35 4 5" xfId="3773"/>
    <cellStyle name="Normal 35 5" xfId="3774"/>
    <cellStyle name="Normal 35 5 2" xfId="3775"/>
    <cellStyle name="Normal 35 5 2 2" xfId="3776"/>
    <cellStyle name="Normal 35 5 2 2 2" xfId="3777"/>
    <cellStyle name="Normal 35 5 2 3" xfId="3778"/>
    <cellStyle name="Normal 35 5 3" xfId="3779"/>
    <cellStyle name="Normal 35 5 3 2" xfId="3780"/>
    <cellStyle name="Normal 35 5 4" xfId="3781"/>
    <cellStyle name="Normal 35 5 4 2" xfId="3782"/>
    <cellStyle name="Normal 35 5 5" xfId="3783"/>
    <cellStyle name="Normal 35 6" xfId="3784"/>
    <cellStyle name="Normal 35 6 2" xfId="3785"/>
    <cellStyle name="Normal 35 6 2 2" xfId="3786"/>
    <cellStyle name="Normal 35 6 2 2 2" xfId="3787"/>
    <cellStyle name="Normal 35 6 2 3" xfId="3788"/>
    <cellStyle name="Normal 35 6 3" xfId="3789"/>
    <cellStyle name="Normal 35 6 3 2" xfId="3790"/>
    <cellStyle name="Normal 35 6 4" xfId="3791"/>
    <cellStyle name="Normal 35 6 4 2" xfId="3792"/>
    <cellStyle name="Normal 35 6 5" xfId="3793"/>
    <cellStyle name="Normal 35 7" xfId="3794"/>
    <cellStyle name="Normal 35 7 2" xfId="3795"/>
    <cellStyle name="Normal 35 7 2 2" xfId="3796"/>
    <cellStyle name="Normal 35 7 2 2 2" xfId="3797"/>
    <cellStyle name="Normal 35 7 2 3" xfId="3798"/>
    <cellStyle name="Normal 35 7 3" xfId="3799"/>
    <cellStyle name="Normal 35 7 3 2" xfId="3800"/>
    <cellStyle name="Normal 35 7 4" xfId="3801"/>
    <cellStyle name="Normal 35 8" xfId="3802"/>
    <cellStyle name="Normal 35 8 2" xfId="3803"/>
    <cellStyle name="Normal 35 8 2 2" xfId="3804"/>
    <cellStyle name="Normal 35 8 2 2 2" xfId="3805"/>
    <cellStyle name="Normal 35 8 2 3" xfId="3806"/>
    <cellStyle name="Normal 35 8 3" xfId="3807"/>
    <cellStyle name="Normal 35 8 3 2" xfId="3808"/>
    <cellStyle name="Normal 35 8 4" xfId="3809"/>
    <cellStyle name="Normal 35 9" xfId="3810"/>
    <cellStyle name="Normal 35 9 2" xfId="3811"/>
    <cellStyle name="Normal 35 9 2 2" xfId="3812"/>
    <cellStyle name="Normal 35 9 3" xfId="3813"/>
    <cellStyle name="Normal 36" xfId="3814"/>
    <cellStyle name="Normal 36 2" xfId="3815"/>
    <cellStyle name="Normal 37" xfId="3816"/>
    <cellStyle name="Normal 37 2" xfId="3817"/>
    <cellStyle name="Normal 38" xfId="3818"/>
    <cellStyle name="Normal 38 2" xfId="3819"/>
    <cellStyle name="Normal 38 2 2" xfId="3820"/>
    <cellStyle name="Normal 38 2 2 2" xfId="3821"/>
    <cellStyle name="Normal 38 2 3" xfId="3822"/>
    <cellStyle name="Normal 38 3" xfId="3823"/>
    <cellStyle name="Normal 38 3 2" xfId="3824"/>
    <cellStyle name="Normal 38 4" xfId="3825"/>
    <cellStyle name="Normal 38 4 2" xfId="3826"/>
    <cellStyle name="Normal 38 5" xfId="3827"/>
    <cellStyle name="Normal 39" xfId="3828"/>
    <cellStyle name="Normal 39 2" xfId="3829"/>
    <cellStyle name="Normal 4 10 2" xfId="3830"/>
    <cellStyle name="Normal 4 12 3" xfId="3831"/>
    <cellStyle name="Normal 4 12 2" xfId="3832"/>
    <cellStyle name="Normal 4 13 3" xfId="3833"/>
    <cellStyle name="Normal 4 13 2" xfId="3834"/>
    <cellStyle name="Normal 4 2 29" xfId="3835"/>
    <cellStyle name="Normal 4 2 10" xfId="3836"/>
    <cellStyle name="Normal 4 2 11" xfId="3837"/>
    <cellStyle name="Normal 4 2 12" xfId="3838"/>
    <cellStyle name="Normal 4 2 13" xfId="3839"/>
    <cellStyle name="Normal 4 2 14" xfId="3840"/>
    <cellStyle name="Normal 4 2 15" xfId="3841"/>
    <cellStyle name="Normal 4 2 16" xfId="3842"/>
    <cellStyle name="Normal 4 2 17" xfId="3843"/>
    <cellStyle name="Normal 4 2 18" xfId="3844"/>
    <cellStyle name="Normal 4 2 19" xfId="3845"/>
    <cellStyle name="Normal 4 2 2" xfId="3846"/>
    <cellStyle name="Normal 4 2 2 2" xfId="3847"/>
    <cellStyle name="Normal 4 2 2 3" xfId="3848"/>
    <cellStyle name="Normal 4 2 2 4" xfId="3849"/>
    <cellStyle name="Normal 4 2 2 5" xfId="3850"/>
    <cellStyle name="Normal 4 2 20" xfId="3851"/>
    <cellStyle name="Normal 4 2 21" xfId="3852"/>
    <cellStyle name="Normal 4 2 22" xfId="3853"/>
    <cellStyle name="Normal 4 2 23" xfId="3854"/>
    <cellStyle name="Normal 4 2 24" xfId="3855"/>
    <cellStyle name="Normal 4 2 25" xfId="3856"/>
    <cellStyle name="Normal 4 2 26" xfId="3857"/>
    <cellStyle name="Normal 4 2 26 2" xfId="3858"/>
    <cellStyle name="Normal 4 2 27" xfId="3859"/>
    <cellStyle name="Normal 4 2 27 2" xfId="3860"/>
    <cellStyle name="Normal 4 2 3" xfId="3861"/>
    <cellStyle name="Normal 4 2 3 2" xfId="3862"/>
    <cellStyle name="Normal 4 2 4" xfId="3863"/>
    <cellStyle name="Normal 4 2 4 2" xfId="3864"/>
    <cellStyle name="Normal 4 2 5" xfId="3865"/>
    <cellStyle name="Normal 4 2 5 2" xfId="3866"/>
    <cellStyle name="Normal 4 2 6" xfId="3867"/>
    <cellStyle name="Normal 4 2 7" xfId="3868"/>
    <cellStyle name="Normal 4 2 8" xfId="3869"/>
    <cellStyle name="Normal 4 2 9" xfId="3870"/>
    <cellStyle name="Normal 4 3 12" xfId="3871"/>
    <cellStyle name="Normal 4 3 2" xfId="3872"/>
    <cellStyle name="Normal 4 3 2 2" xfId="3873"/>
    <cellStyle name="Normal 4 3 2 2 2" xfId="3874"/>
    <cellStyle name="Normal 4 3 2 2 2 2" xfId="3875"/>
    <cellStyle name="Normal 4 3 2 2 3" xfId="3876"/>
    <cellStyle name="Normal 4 3 2 2 3 2" xfId="3877"/>
    <cellStyle name="Normal 4 3 2 2 4" xfId="3878"/>
    <cellStyle name="Normal 4 3 2 3" xfId="3879"/>
    <cellStyle name="Normal 4 3 2 3 2" xfId="3880"/>
    <cellStyle name="Normal 4 3 2 4" xfId="3881"/>
    <cellStyle name="Normal 4 3 2 4 2" xfId="3882"/>
    <cellStyle name="Normal 4 3 2 5" xfId="3883"/>
    <cellStyle name="Normal 4 3 3" xfId="3884"/>
    <cellStyle name="Normal 4 3 3 2" xfId="3885"/>
    <cellStyle name="Normal 4 3 3 2 2" xfId="3886"/>
    <cellStyle name="Normal 4 3 3 3" xfId="3887"/>
    <cellStyle name="Normal 4 3 3 3 2" xfId="3888"/>
    <cellStyle name="Normal 4 3 3 4" xfId="3889"/>
    <cellStyle name="Normal 4 3 4" xfId="3890"/>
    <cellStyle name="Normal 4 3 4 2" xfId="3891"/>
    <cellStyle name="Normal 4 3 5" xfId="3892"/>
    <cellStyle name="Normal 4 3 5 2" xfId="3893"/>
    <cellStyle name="Normal 4 3 6" xfId="3894"/>
    <cellStyle name="Normal 4 4 9" xfId="3895"/>
    <cellStyle name="Normal 4 4 2" xfId="3896"/>
    <cellStyle name="Normal 4 4 3" xfId="3897"/>
    <cellStyle name="Normal 4 5 7" xfId="3898"/>
    <cellStyle name="Normal 4 6 7" xfId="3899"/>
    <cellStyle name="Normal 4 7 7" xfId="3900"/>
    <cellStyle name="Normal 4 8 7" xfId="3901"/>
    <cellStyle name="Normal 4 9 2" xfId="3902"/>
    <cellStyle name="Normal 40" xfId="3903"/>
    <cellStyle name="Normal 40 2" xfId="3904"/>
    <cellStyle name="Normal 41" xfId="3905"/>
    <cellStyle name="Normal 41 2" xfId="3906"/>
    <cellStyle name="Normal 41 3" xfId="3907"/>
    <cellStyle name="Normal 41 3 2" xfId="3908"/>
    <cellStyle name="Normal 41 4" xfId="3909"/>
    <cellStyle name="Normal 42" xfId="3910"/>
    <cellStyle name="Normal 42 2" xfId="3911"/>
    <cellStyle name="Normal 43" xfId="3912"/>
    <cellStyle name="Normal 44" xfId="3913"/>
    <cellStyle name="Normal 44 2" xfId="3914"/>
    <cellStyle name="Normal 45" xfId="3915"/>
    <cellStyle name="Normal 46" xfId="3916"/>
    <cellStyle name="Normal 47" xfId="3917"/>
    <cellStyle name="Normal 48" xfId="3918"/>
    <cellStyle name="Normal 5 28 7" xfId="3919"/>
    <cellStyle name="Normal 5 10 3" xfId="3920"/>
    <cellStyle name="Normal 5 11 3" xfId="3921"/>
    <cellStyle name="Normal 5 12 3" xfId="3922"/>
    <cellStyle name="Normal 5 13 3" xfId="3923"/>
    <cellStyle name="Normal 5 14 3" xfId="3924"/>
    <cellStyle name="Normal 5 15 3" xfId="3925"/>
    <cellStyle name="Normal 5 16 3" xfId="3926"/>
    <cellStyle name="Normal 5 17 3" xfId="3927"/>
    <cellStyle name="Normal 5 18 3" xfId="3928"/>
    <cellStyle name="Normal 5 19 3" xfId="3929"/>
    <cellStyle name="Normal 5 2 12" xfId="3930"/>
    <cellStyle name="Normal 5 2 2" xfId="3931"/>
    <cellStyle name="Normal 5 2 2 2" xfId="3932"/>
    <cellStyle name="Normal 5 2 2 2 2" xfId="3933"/>
    <cellStyle name="Normal 5 2 2 3" xfId="3934"/>
    <cellStyle name="Normal 5 2 3" xfId="3935"/>
    <cellStyle name="Normal 5 2 3 2" xfId="3936"/>
    <cellStyle name="Normal 5 2 3 2 2" xfId="3937"/>
    <cellStyle name="Normal 5 2 3 3" xfId="3938"/>
    <cellStyle name="Normal 5 2 4" xfId="3939"/>
    <cellStyle name="Normal 5 2 4 2" xfId="3940"/>
    <cellStyle name="Normal 5 2 5" xfId="3941"/>
    <cellStyle name="Normal 5 2 6" xfId="3942"/>
    <cellStyle name="Normal 5 20 3" xfId="3943"/>
    <cellStyle name="Normal 5 21 3" xfId="3944"/>
    <cellStyle name="Normal 5 22 3" xfId="3945"/>
    <cellStyle name="Normal 5 23 3" xfId="3946"/>
    <cellStyle name="Normal 5 24 7" xfId="3947"/>
    <cellStyle name="Normal 5 25 3" xfId="3948"/>
    <cellStyle name="Normal 5 25 2 2" xfId="3949"/>
    <cellStyle name="Normal 5 26 3" xfId="3950"/>
    <cellStyle name="Normal 5 26 2 2" xfId="3951"/>
    <cellStyle name="Normal 5 3 8" xfId="3952"/>
    <cellStyle name="Normal 5 3 2 2" xfId="3953"/>
    <cellStyle name="Normal 5 4 8" xfId="3954"/>
    <cellStyle name="Normal 5 4 2 2" xfId="3955"/>
    <cellStyle name="Normal 5 5 8" xfId="3956"/>
    <cellStyle name="Normal 5 5 2 2" xfId="3957"/>
    <cellStyle name="Normal 5 6 8" xfId="3958"/>
    <cellStyle name="Normal 5 6 2 2" xfId="3959"/>
    <cellStyle name="Normal 5 7 8" xfId="3960"/>
    <cellStyle name="Normal 5 7 2 2" xfId="3961"/>
    <cellStyle name="Normal 5 8 3" xfId="3962"/>
    <cellStyle name="Normal 5 9 3" xfId="3963"/>
    <cellStyle name="Normal 6 8" xfId="3964"/>
    <cellStyle name="Normal 6 2 2" xfId="3965"/>
    <cellStyle name="Normal 6 3" xfId="3966"/>
    <cellStyle name="Normal 6 4" xfId="3967"/>
    <cellStyle name="Normal 6 5" xfId="3968"/>
    <cellStyle name="Normal 6 5 2" xfId="3969"/>
    <cellStyle name="Normal 6 6" xfId="3970"/>
    <cellStyle name="Normal 6 6 2" xfId="3971"/>
    <cellStyle name="Normal 7 25" xfId="3972"/>
    <cellStyle name="Normal 7 10" xfId="3973"/>
    <cellStyle name="Normal 7 11" xfId="3974"/>
    <cellStyle name="Normal 7 12" xfId="3975"/>
    <cellStyle name="Normal 7 13" xfId="3976"/>
    <cellStyle name="Normal 7 14" xfId="3977"/>
    <cellStyle name="Normal 7 15" xfId="3978"/>
    <cellStyle name="Normal 7 16" xfId="3979"/>
    <cellStyle name="Normal 7 17" xfId="3980"/>
    <cellStyle name="Normal 7 18" xfId="3981"/>
    <cellStyle name="Normal 7 19" xfId="3982"/>
    <cellStyle name="Normal 7 2" xfId="3983"/>
    <cellStyle name="Normal 7 2 2" xfId="3984"/>
    <cellStyle name="Normal 7 2 3" xfId="3985"/>
    <cellStyle name="Normal 7 2 4" xfId="3986"/>
    <cellStyle name="Normal 7 2 5" xfId="3987"/>
    <cellStyle name="Normal 7 20" xfId="3988"/>
    <cellStyle name="Normal 7 21" xfId="3989"/>
    <cellStyle name="Normal 7 22" xfId="3990"/>
    <cellStyle name="Normal 7 23" xfId="3991"/>
    <cellStyle name="Normal 7 3" xfId="3992"/>
    <cellStyle name="Normal 7 3 2" xfId="3993"/>
    <cellStyle name="Normal 7 3 3" xfId="3994"/>
    <cellStyle name="Normal 7 3 4" xfId="3995"/>
    <cellStyle name="Normal 7 3 5" xfId="3996"/>
    <cellStyle name="Normal 7 4" xfId="3997"/>
    <cellStyle name="Normal 7 5" xfId="3998"/>
    <cellStyle name="Normal 7 6" xfId="3999"/>
    <cellStyle name="Normal 7 7" xfId="4000"/>
    <cellStyle name="Normal 7 8" xfId="4001"/>
    <cellStyle name="Normal 7 9" xfId="4002"/>
    <cellStyle name="Normal 8 25" xfId="4003"/>
    <cellStyle name="Normal 8 10" xfId="4004"/>
    <cellStyle name="Normal 8 11" xfId="4005"/>
    <cellStyle name="Normal 8 12" xfId="4006"/>
    <cellStyle name="Normal 8 13" xfId="4007"/>
    <cellStyle name="Normal 8 14" xfId="4008"/>
    <cellStyle name="Normal 8 15" xfId="4009"/>
    <cellStyle name="Normal 8 16" xfId="4010"/>
    <cellStyle name="Normal 8 17" xfId="4011"/>
    <cellStyle name="Normal 8 18" xfId="4012"/>
    <cellStyle name="Normal 8 19" xfId="4013"/>
    <cellStyle name="Normal 8 2 6" xfId="4014"/>
    <cellStyle name="Normal 8 2 2 2" xfId="4015"/>
    <cellStyle name="Normal 8 2 3" xfId="4016"/>
    <cellStyle name="Normal 8 2 4" xfId="4017"/>
    <cellStyle name="Normal 8 2 5" xfId="4018"/>
    <cellStyle name="Normal 8 20" xfId="4019"/>
    <cellStyle name="Normal 8 21" xfId="4020"/>
    <cellStyle name="Normal 8 22" xfId="4021"/>
    <cellStyle name="Normal 8 23" xfId="4022"/>
    <cellStyle name="Normal 8 23 2" xfId="4023"/>
    <cellStyle name="Normal 8 24" xfId="4024"/>
    <cellStyle name="Normal 8 24 2" xfId="4025"/>
    <cellStyle name="Normal 8 3 6" xfId="4026"/>
    <cellStyle name="Normal 8 3 2" xfId="4027"/>
    <cellStyle name="Normal 8 3 3" xfId="4028"/>
    <cellStyle name="Normal 8 3 4" xfId="4029"/>
    <cellStyle name="Normal 8 3 5" xfId="4030"/>
    <cellStyle name="Normal 8 4" xfId="4031"/>
    <cellStyle name="Normal 8 5" xfId="4032"/>
    <cellStyle name="Normal 8 6" xfId="4033"/>
    <cellStyle name="Normal 8 7" xfId="4034"/>
    <cellStyle name="Normal 8 8" xfId="4035"/>
    <cellStyle name="Normal 8 9" xfId="4036"/>
    <cellStyle name="Normal 9 25" xfId="4037"/>
    <cellStyle name="Normal 9 10" xfId="4038"/>
    <cellStyle name="Normal 9 11" xfId="4039"/>
    <cellStyle name="Normal 9 12" xfId="4040"/>
    <cellStyle name="Normal 9 13" xfId="4041"/>
    <cellStyle name="Normal 9 14" xfId="4042"/>
    <cellStyle name="Normal 9 15" xfId="4043"/>
    <cellStyle name="Normal 9 16" xfId="4044"/>
    <cellStyle name="Normal 9 17" xfId="4045"/>
    <cellStyle name="Normal 9 18" xfId="4046"/>
    <cellStyle name="Normal 9 19" xfId="4047"/>
    <cellStyle name="Normal 9 2" xfId="4048"/>
    <cellStyle name="Normal 9 2 2" xfId="4049"/>
    <cellStyle name="Normal 9 2 3" xfId="4050"/>
    <cellStyle name="Normal 9 2 4" xfId="4051"/>
    <cellStyle name="Normal 9 2 5" xfId="4052"/>
    <cellStyle name="Normal 9 20" xfId="4053"/>
    <cellStyle name="Normal 9 21" xfId="4054"/>
    <cellStyle name="Normal 9 22" xfId="4055"/>
    <cellStyle name="Normal 9 23" xfId="4056"/>
    <cellStyle name="Normal 9 23 2" xfId="4057"/>
    <cellStyle name="Normal 9 24" xfId="4058"/>
    <cellStyle name="Normal 9 24 2" xfId="4059"/>
    <cellStyle name="Normal 9 3" xfId="4060"/>
    <cellStyle name="Normal 9 3 2" xfId="4061"/>
    <cellStyle name="Normal 9 3 3" xfId="4062"/>
    <cellStyle name="Normal 9 3 4" xfId="4063"/>
    <cellStyle name="Normal 9 3 5" xfId="4064"/>
    <cellStyle name="Normal 9 4" xfId="4065"/>
    <cellStyle name="Normal 9 5" xfId="4066"/>
    <cellStyle name="Normal 9 6" xfId="4067"/>
    <cellStyle name="Normal 9 7" xfId="4068"/>
    <cellStyle name="Normal 9 8" xfId="4069"/>
    <cellStyle name="Normal 9 9" xfId="4070"/>
    <cellStyle name="Note 2 17" xfId="4071"/>
    <cellStyle name="Note 3" xfId="4072"/>
    <cellStyle name="Note 4" xfId="4073"/>
    <cellStyle name="Note 5" xfId="4074"/>
    <cellStyle name="Note 6" xfId="4075"/>
    <cellStyle name="Note 7" xfId="4076"/>
    <cellStyle name="Output 2" xfId="4077"/>
    <cellStyle name="Output 3" xfId="4078"/>
    <cellStyle name="Output 4" xfId="4079"/>
    <cellStyle name="Output 5" xfId="4080"/>
    <cellStyle name="Output 6" xfId="4081"/>
    <cellStyle name="Output highlight" xfId="4082"/>
    <cellStyle name="Output highlight 2" xfId="4083"/>
    <cellStyle name="Percent %" xfId="4084"/>
    <cellStyle name="Percent % Long Underline" xfId="4085"/>
    <cellStyle name="Percent 0.0%" xfId="4086"/>
    <cellStyle name="Percent 0.0% Long Underline" xfId="4087"/>
    <cellStyle name="Percent 0.00%" xfId="4088"/>
    <cellStyle name="Percent 0.00% Long Underline" xfId="4089"/>
    <cellStyle name="Percent 0.000%" xfId="4090"/>
    <cellStyle name="Percent 0.000% Long Underline" xfId="4091"/>
    <cellStyle name="Percent 0.0000%" xfId="4092"/>
    <cellStyle name="Percent 0.0000% Long Underline" xfId="4093"/>
    <cellStyle name="Percent 10" xfId="4094"/>
    <cellStyle name="Percent 10 2" xfId="4095"/>
    <cellStyle name="Percent 10 2 2" xfId="4096"/>
    <cellStyle name="Percent 10 2 3" xfId="4097"/>
    <cellStyle name="Percent 100" xfId="4098"/>
    <cellStyle name="Percent 101" xfId="4099"/>
    <cellStyle name="Percent 102" xfId="4100"/>
    <cellStyle name="Percent 103" xfId="4101"/>
    <cellStyle name="Percent 104" xfId="4102"/>
    <cellStyle name="Percent 105" xfId="4103"/>
    <cellStyle name="Percent 106" xfId="4104"/>
    <cellStyle name="Percent 107" xfId="4105"/>
    <cellStyle name="Percent 108" xfId="4106"/>
    <cellStyle name="Percent 109" xfId="4107"/>
    <cellStyle name="Percent 11" xfId="4108"/>
    <cellStyle name="Percent 11 2" xfId="4109"/>
    <cellStyle name="Percent 11 2 2" xfId="4110"/>
    <cellStyle name="Percent 11 2 3" xfId="4111"/>
    <cellStyle name="Percent 110" xfId="4112"/>
    <cellStyle name="Percent 111" xfId="4113"/>
    <cellStyle name="Percent 112" xfId="4114"/>
    <cellStyle name="Percent 113" xfId="4115"/>
    <cellStyle name="Percent 114" xfId="4116"/>
    <cellStyle name="Percent 115" xfId="4117"/>
    <cellStyle name="Percent 116" xfId="4118"/>
    <cellStyle name="Percent 117" xfId="4119"/>
    <cellStyle name="Percent 118" xfId="4120"/>
    <cellStyle name="Percent 119" xfId="4121"/>
    <cellStyle name="Percent 12" xfId="4122"/>
    <cellStyle name="Percent 12 2" xfId="4123"/>
    <cellStyle name="Percent 12 2 2" xfId="4124"/>
    <cellStyle name="Percent 12 2 3" xfId="4125"/>
    <cellStyle name="Percent 120" xfId="4126"/>
    <cellStyle name="Percent 121" xfId="4127"/>
    <cellStyle name="Percent 122" xfId="4128"/>
    <cellStyle name="Percent 123" xfId="4129"/>
    <cellStyle name="Percent 124" xfId="4130"/>
    <cellStyle name="Percent 125" xfId="4131"/>
    <cellStyle name="Percent 126" xfId="4132"/>
    <cellStyle name="Percent 127" xfId="4133"/>
    <cellStyle name="Percent 128" xfId="4134"/>
    <cellStyle name="Percent 129" xfId="4135"/>
    <cellStyle name="Percent 13" xfId="4136"/>
    <cellStyle name="Percent 130" xfId="4137"/>
    <cellStyle name="Percent 131" xfId="4138"/>
    <cellStyle name="Percent 132" xfId="4139"/>
    <cellStyle name="Percent 133" xfId="4140"/>
    <cellStyle name="Percent 134" xfId="4141"/>
    <cellStyle name="Percent 135" xfId="4142"/>
    <cellStyle name="Percent 136" xfId="4143"/>
    <cellStyle name="Percent 137" xfId="4144"/>
    <cellStyle name="Percent 138" xfId="4145"/>
    <cellStyle name="Percent 139" xfId="4146"/>
    <cellStyle name="Percent 14" xfId="4147"/>
    <cellStyle name="Percent 140" xfId="4148"/>
    <cellStyle name="Percent 141" xfId="4149"/>
    <cellStyle name="Percent 142" xfId="4150"/>
    <cellStyle name="Percent 143" xfId="4151"/>
    <cellStyle name="Percent 144" xfId="4152"/>
    <cellStyle name="Percent 145" xfId="4153"/>
    <cellStyle name="Percent 146" xfId="4154"/>
    <cellStyle name="Percent 147" xfId="4155"/>
    <cellStyle name="Percent 148" xfId="4156"/>
    <cellStyle name="Percent 149" xfId="4157"/>
    <cellStyle name="Percent 15" xfId="4158"/>
    <cellStyle name="Percent 150" xfId="4159"/>
    <cellStyle name="Percent 151" xfId="4160"/>
    <cellStyle name="Percent 152" xfId="4161"/>
    <cellStyle name="Percent 153" xfId="4162"/>
    <cellStyle name="Percent 154" xfId="4163"/>
    <cellStyle name="Percent 155" xfId="4164"/>
    <cellStyle name="Percent 156" xfId="4165"/>
    <cellStyle name="Percent 157" xfId="4166"/>
    <cellStyle name="Percent 158" xfId="4167"/>
    <cellStyle name="Percent 159" xfId="4168"/>
    <cellStyle name="Percent 16" xfId="4169"/>
    <cellStyle name="Percent 17" xfId="4170"/>
    <cellStyle name="Percent 18" xfId="4171"/>
    <cellStyle name="Percent 19" xfId="4172"/>
    <cellStyle name="Percent 2 22 7" xfId="4173"/>
    <cellStyle name="Percent 2 10 3" xfId="4174"/>
    <cellStyle name="Percent 2 11 3" xfId="4175"/>
    <cellStyle name="Percent 2 12 3" xfId="4176"/>
    <cellStyle name="Percent 2 13 3" xfId="4177"/>
    <cellStyle name="Percent 2 14 3" xfId="4178"/>
    <cellStyle name="Percent 2 15 3" xfId="4179"/>
    <cellStyle name="Percent 2 16 3" xfId="4180"/>
    <cellStyle name="Percent 2 17 3" xfId="4181"/>
    <cellStyle name="Percent 2 18 3" xfId="4182"/>
    <cellStyle name="Percent 2 19 3" xfId="4183"/>
    <cellStyle name="Percent 2 2 6 2" xfId="4184"/>
    <cellStyle name="Percent 2 2 2 2" xfId="4185"/>
    <cellStyle name="Percent 2 2 2 2 2" xfId="4186"/>
    <cellStyle name="Percent 2 2 2 3" xfId="4187"/>
    <cellStyle name="Percent 2 2 3 2" xfId="4188"/>
    <cellStyle name="Percent 2 2 4 2" xfId="4189"/>
    <cellStyle name="Percent 2 20 2" xfId="4190"/>
    <cellStyle name="Percent 2 21 2" xfId="4191"/>
    <cellStyle name="Percent 2 3 4" xfId="4192"/>
    <cellStyle name="Percent 2 3 2 2" xfId="4193"/>
    <cellStyle name="Percent 2 3 3" xfId="4194"/>
    <cellStyle name="Percent 2 4 4" xfId="4195"/>
    <cellStyle name="Percent 2 4 2" xfId="4196"/>
    <cellStyle name="Percent 2 5 3" xfId="4197"/>
    <cellStyle name="Percent 2 6 3" xfId="4198"/>
    <cellStyle name="Percent 2 7 3" xfId="4199"/>
    <cellStyle name="Percent 2 8 3" xfId="4200"/>
    <cellStyle name="Percent 2 9 3" xfId="4201"/>
    <cellStyle name="Percent 20" xfId="4202"/>
    <cellStyle name="Percent 21" xfId="4203"/>
    <cellStyle name="Percent 22" xfId="4204"/>
    <cellStyle name="Percent 23" xfId="4205"/>
    <cellStyle name="Percent 24" xfId="4206"/>
    <cellStyle name="Percent 25" xfId="4207"/>
    <cellStyle name="Percent 25 2" xfId="4208"/>
    <cellStyle name="Percent 25 2 2" xfId="4209"/>
    <cellStyle name="Percent 25 3" xfId="4210"/>
    <cellStyle name="Percent 25 3 2" xfId="4211"/>
    <cellStyle name="Percent 25 4" xfId="4212"/>
    <cellStyle name="Percent 25 4 2" xfId="4213"/>
    <cellStyle name="Percent 25 5" xfId="4214"/>
    <cellStyle name="Percent 26" xfId="4215"/>
    <cellStyle name="Percent 26 2" xfId="4216"/>
    <cellStyle name="Percent 26 2 2" xfId="4217"/>
    <cellStyle name="Percent 26 3" xfId="4218"/>
    <cellStyle name="Percent 26 3 2" xfId="4219"/>
    <cellStyle name="Percent 26 4" xfId="4220"/>
    <cellStyle name="Percent 26 4 2" xfId="4221"/>
    <cellStyle name="Percent 26 5" xfId="4222"/>
    <cellStyle name="Percent 27" xfId="4223"/>
    <cellStyle name="Percent 27 2" xfId="4224"/>
    <cellStyle name="Percent 27 2 2" xfId="4225"/>
    <cellStyle name="Percent 27 3" xfId="4226"/>
    <cellStyle name="Percent 27 3 2" xfId="4227"/>
    <cellStyle name="Percent 27 4" xfId="4228"/>
    <cellStyle name="Percent 27 4 2" xfId="4229"/>
    <cellStyle name="Percent 27 5" xfId="4230"/>
    <cellStyle name="Percent 28" xfId="4231"/>
    <cellStyle name="Percent 28 2" xfId="4232"/>
    <cellStyle name="Percent 28 2 2" xfId="4233"/>
    <cellStyle name="Percent 28 3" xfId="4234"/>
    <cellStyle name="Percent 28 3 2" xfId="4235"/>
    <cellStyle name="Percent 28 4" xfId="4236"/>
    <cellStyle name="Percent 28 4 2" xfId="4237"/>
    <cellStyle name="Percent 28 5" xfId="4238"/>
    <cellStyle name="Percent 29" xfId="4239"/>
    <cellStyle name="Percent 29 2" xfId="4240"/>
    <cellStyle name="Percent 29 2 2" xfId="4241"/>
    <cellStyle name="Percent 29 3" xfId="4242"/>
    <cellStyle name="Percent 29 3 2" xfId="4243"/>
    <cellStyle name="Percent 29 4" xfId="4244"/>
    <cellStyle name="Percent 29 4 2" xfId="4245"/>
    <cellStyle name="Percent 29 5" xfId="4246"/>
    <cellStyle name="Percent 3 10 7" xfId="4247"/>
    <cellStyle name="Percent 3 11 7" xfId="4248"/>
    <cellStyle name="Percent 3 12 7" xfId="4249"/>
    <cellStyle name="Percent 3 13 7" xfId="4250"/>
    <cellStyle name="Percent 3 14 7" xfId="4251"/>
    <cellStyle name="Percent 3 15 7" xfId="4252"/>
    <cellStyle name="Percent 3 16 7" xfId="4253"/>
    <cellStyle name="Percent 3 17 7" xfId="4254"/>
    <cellStyle name="Percent 3 18 7" xfId="4255"/>
    <cellStyle name="Percent 3 19 7" xfId="4256"/>
    <cellStyle name="Percent 3 2 28" xfId="4257"/>
    <cellStyle name="Percent 3 2 10" xfId="4258"/>
    <cellStyle name="Percent 3 2 11" xfId="4259"/>
    <cellStyle name="Percent 3 2 12" xfId="4260"/>
    <cellStyle name="Percent 3 2 13" xfId="4261"/>
    <cellStyle name="Percent 3 2 14" xfId="4262"/>
    <cellStyle name="Percent 3 2 15" xfId="4263"/>
    <cellStyle name="Percent 3 2 16" xfId="4264"/>
    <cellStyle name="Percent 3 2 17" xfId="4265"/>
    <cellStyle name="Percent 3 2 18" xfId="4266"/>
    <cellStyle name="Percent 3 2 19" xfId="4267"/>
    <cellStyle name="Percent 3 2 2" xfId="4268"/>
    <cellStyle name="Percent 3 2 2 2" xfId="4269"/>
    <cellStyle name="Percent 3 2 2 3" xfId="4270"/>
    <cellStyle name="Percent 3 2 2 4" xfId="4271"/>
    <cellStyle name="Percent 3 2 2 5" xfId="4272"/>
    <cellStyle name="Percent 3 2 20" xfId="4273"/>
    <cellStyle name="Percent 3 2 21" xfId="4274"/>
    <cellStyle name="Percent 3 2 21 2" xfId="4275"/>
    <cellStyle name="Percent 3 2 21 3" xfId="4276"/>
    <cellStyle name="Percent 3 2 21 4" xfId="4277"/>
    <cellStyle name="Percent 3 2 22" xfId="4278"/>
    <cellStyle name="Percent 3 2 3" xfId="4279"/>
    <cellStyle name="Percent 3 2 3 2" xfId="4280"/>
    <cellStyle name="Percent 3 2 3 3" xfId="4281"/>
    <cellStyle name="Percent 3 2 3 4" xfId="4282"/>
    <cellStyle name="Percent 3 2 3 5" xfId="4283"/>
    <cellStyle name="Percent 3 2 4" xfId="4284"/>
    <cellStyle name="Percent 3 2 4 2" xfId="4285"/>
    <cellStyle name="Percent 3 2 5" xfId="4286"/>
    <cellStyle name="Percent 3 2 5 2" xfId="4287"/>
    <cellStyle name="Percent 3 2 6" xfId="4288"/>
    <cellStyle name="Percent 3 2 6 2" xfId="4289"/>
    <cellStyle name="Percent 3 2 7" xfId="4290"/>
    <cellStyle name="Percent 3 2 8" xfId="4291"/>
    <cellStyle name="Percent 3 2 9" xfId="4292"/>
    <cellStyle name="Percent 3 20 7" xfId="4293"/>
    <cellStyle name="Percent 3 21 7" xfId="4294"/>
    <cellStyle name="Percent 3 3 7" xfId="4295"/>
    <cellStyle name="Percent 3 3 2 7" xfId="4296"/>
    <cellStyle name="Percent 3 3 3" xfId="4297"/>
    <cellStyle name="Percent 3 3 4" xfId="4298"/>
    <cellStyle name="Percent 3 3 5" xfId="4299"/>
    <cellStyle name="Percent 3 4 11" xfId="4300"/>
    <cellStyle name="Percent 3 4 2 7" xfId="4301"/>
    <cellStyle name="Percent 3 4 3" xfId="4302"/>
    <cellStyle name="Percent 3 4 4" xfId="4303"/>
    <cellStyle name="Percent 3 4 5" xfId="4304"/>
    <cellStyle name="Percent 3 5 8" xfId="4305"/>
    <cellStyle name="Percent 3 5 2" xfId="4306"/>
    <cellStyle name="Percent 3 6 8" xfId="4307"/>
    <cellStyle name="Percent 3 6 2" xfId="4308"/>
    <cellStyle name="Percent 3 7 8" xfId="4309"/>
    <cellStyle name="Percent 3 7 2" xfId="4310"/>
    <cellStyle name="Percent 3 8 7" xfId="4311"/>
    <cellStyle name="Percent 3 9 7" xfId="4312"/>
    <cellStyle name="Percent 30" xfId="4313"/>
    <cellStyle name="Percent 30 2" xfId="4314"/>
    <cellStyle name="Percent 30 2 2" xfId="4315"/>
    <cellStyle name="Percent 30 3" xfId="4316"/>
    <cellStyle name="Percent 30 3 2" xfId="4317"/>
    <cellStyle name="Percent 30 4" xfId="4318"/>
    <cellStyle name="Percent 30 4 2" xfId="4319"/>
    <cellStyle name="Percent 30 5" xfId="4320"/>
    <cellStyle name="Percent 31" xfId="4321"/>
    <cellStyle name="Percent 31 2" xfId="4322"/>
    <cellStyle name="Percent 31 2 2" xfId="4323"/>
    <cellStyle name="Percent 31 3" xfId="4324"/>
    <cellStyle name="Percent 31 3 2" xfId="4325"/>
    <cellStyle name="Percent 31 4" xfId="4326"/>
    <cellStyle name="Percent 31 4 2" xfId="4327"/>
    <cellStyle name="Percent 31 5" xfId="4328"/>
    <cellStyle name="Percent 32" xfId="4329"/>
    <cellStyle name="Percent 32 2" xfId="4330"/>
    <cellStyle name="Percent 32 2 2" xfId="4331"/>
    <cellStyle name="Percent 32 3" xfId="4332"/>
    <cellStyle name="Percent 32 3 2" xfId="4333"/>
    <cellStyle name="Percent 32 4" xfId="4334"/>
    <cellStyle name="Percent 32 4 2" xfId="4335"/>
    <cellStyle name="Percent 32 5" xfId="4336"/>
    <cellStyle name="Percent 33" xfId="4337"/>
    <cellStyle name="Percent 33 2" xfId="4338"/>
    <cellStyle name="Percent 33 2 2" xfId="4339"/>
    <cellStyle name="Percent 33 3" xfId="4340"/>
    <cellStyle name="Percent 33 3 2" xfId="4341"/>
    <cellStyle name="Percent 33 4" xfId="4342"/>
    <cellStyle name="Percent 33 4 2" xfId="4343"/>
    <cellStyle name="Percent 33 5" xfId="4344"/>
    <cellStyle name="Percent 34" xfId="4345"/>
    <cellStyle name="Percent 34 2" xfId="4346"/>
    <cellStyle name="Percent 34 2 2" xfId="4347"/>
    <cellStyle name="Percent 34 3" xfId="4348"/>
    <cellStyle name="Percent 34 3 2" xfId="4349"/>
    <cellStyle name="Percent 34 4" xfId="4350"/>
    <cellStyle name="Percent 34 4 2" xfId="4351"/>
    <cellStyle name="Percent 34 5" xfId="4352"/>
    <cellStyle name="Percent 35" xfId="4353"/>
    <cellStyle name="Percent 35 2" xfId="4354"/>
    <cellStyle name="Percent 35 2 2" xfId="4355"/>
    <cellStyle name="Percent 35 3" xfId="4356"/>
    <cellStyle name="Percent 35 3 2" xfId="4357"/>
    <cellStyle name="Percent 35 4" xfId="4358"/>
    <cellStyle name="Percent 35 4 2" xfId="4359"/>
    <cellStyle name="Percent 35 5" xfId="4360"/>
    <cellStyle name="Percent 36" xfId="4361"/>
    <cellStyle name="Percent 37" xfId="4362"/>
    <cellStyle name="Percent 38" xfId="4363"/>
    <cellStyle name="Percent 39" xfId="4364"/>
    <cellStyle name="Percent 4 8 2" xfId="4365"/>
    <cellStyle name="Percent 4 2 3" xfId="4366"/>
    <cellStyle name="Percent 4 2 2" xfId="4367"/>
    <cellStyle name="Percent 4 2 2 2" xfId="4368"/>
    <cellStyle name="Percent 4 2 2 3" xfId="4369"/>
    <cellStyle name="Percent 4 3 2" xfId="4370"/>
    <cellStyle name="Percent 4 4 2" xfId="4371"/>
    <cellStyle name="Percent 4 5 2" xfId="4372"/>
    <cellStyle name="Percent 4 6 2" xfId="4373"/>
    <cellStyle name="Percent 40" xfId="4374"/>
    <cellStyle name="Percent 41" xfId="4375"/>
    <cellStyle name="Percent 42" xfId="4376"/>
    <cellStyle name="Percent 43" xfId="4377"/>
    <cellStyle name="Percent 44" xfId="4378"/>
    <cellStyle name="Percent 45" xfId="4379"/>
    <cellStyle name="Percent 46" xfId="4380"/>
    <cellStyle name="Percent 47" xfId="4381"/>
    <cellStyle name="Percent 48" xfId="4382"/>
    <cellStyle name="Percent 49" xfId="4383"/>
    <cellStyle name="Percent 5 5 3" xfId="4384"/>
    <cellStyle name="Percent 5 2 5" xfId="4385"/>
    <cellStyle name="Percent 5 2 2 3" xfId="4386"/>
    <cellStyle name="Percent 5 2 3" xfId="4387"/>
    <cellStyle name="Percent 5 3 3" xfId="4388"/>
    <cellStyle name="Percent 50" xfId="4389"/>
    <cellStyle name="Percent 51" xfId="4390"/>
    <cellStyle name="Percent 52" xfId="4391"/>
    <cellStyle name="Percent 53" xfId="4392"/>
    <cellStyle name="Percent 54" xfId="4393"/>
    <cellStyle name="Percent 55" xfId="4394"/>
    <cellStyle name="Percent 56" xfId="4395"/>
    <cellStyle name="Percent 57" xfId="4396"/>
    <cellStyle name="Percent 58" xfId="4397"/>
    <cellStyle name="Percent 59" xfId="4398"/>
    <cellStyle name="Percent 6 5" xfId="4399"/>
    <cellStyle name="Percent 6 2" xfId="4400"/>
    <cellStyle name="Percent 6 2 2" xfId="4401"/>
    <cellStyle name="Percent 6 2 3" xfId="4402"/>
    <cellStyle name="Percent 6 3" xfId="4403"/>
    <cellStyle name="Percent 60" xfId="4404"/>
    <cellStyle name="Percent 61" xfId="4405"/>
    <cellStyle name="Percent 62" xfId="4406"/>
    <cellStyle name="Percent 63" xfId="4407"/>
    <cellStyle name="Percent 64" xfId="4408"/>
    <cellStyle name="Percent 65" xfId="4409"/>
    <cellStyle name="Percent 66" xfId="4410"/>
    <cellStyle name="Percent 67" xfId="4411"/>
    <cellStyle name="Percent 68" xfId="4412"/>
    <cellStyle name="Percent 69" xfId="4413"/>
    <cellStyle name="Percent 7" xfId="4414"/>
    <cellStyle name="Percent 7 2" xfId="4415"/>
    <cellStyle name="Percent 7 2 2" xfId="4416"/>
    <cellStyle name="Percent 7 2 3" xfId="4417"/>
    <cellStyle name="Percent 7 3" xfId="4418"/>
    <cellStyle name="Percent 7 4" xfId="4419"/>
    <cellStyle name="Percent 70" xfId="4420"/>
    <cellStyle name="Percent 71" xfId="4421"/>
    <cellStyle name="Percent 72" xfId="4422"/>
    <cellStyle name="Percent 73" xfId="4423"/>
    <cellStyle name="Percent 74" xfId="4424"/>
    <cellStyle name="Percent 75" xfId="4425"/>
    <cellStyle name="Percent 76" xfId="4426"/>
    <cellStyle name="Percent 77" xfId="4427"/>
    <cellStyle name="Percent 78" xfId="4428"/>
    <cellStyle name="Percent 79" xfId="4429"/>
    <cellStyle name="Percent 8" xfId="4430"/>
    <cellStyle name="Percent 8 2" xfId="4431"/>
    <cellStyle name="Percent 8 2 2" xfId="4432"/>
    <cellStyle name="Percent 8 2 3" xfId="4433"/>
    <cellStyle name="Percent 80" xfId="4434"/>
    <cellStyle name="Percent 81" xfId="4435"/>
    <cellStyle name="Percent 82" xfId="4436"/>
    <cellStyle name="Percent 83" xfId="4437"/>
    <cellStyle name="Percent 84" xfId="4438"/>
    <cellStyle name="Percent 85" xfId="4439"/>
    <cellStyle name="Percent 86" xfId="4440"/>
    <cellStyle name="Percent 87" xfId="4441"/>
    <cellStyle name="Percent 88" xfId="4442"/>
    <cellStyle name="Percent 89" xfId="4443"/>
    <cellStyle name="Percent 9" xfId="4444"/>
    <cellStyle name="Percent 9 2" xfId="4445"/>
    <cellStyle name="Percent 9 2 2" xfId="4446"/>
    <cellStyle name="Percent 9 2 3" xfId="4447"/>
    <cellStyle name="Percent 90" xfId="4448"/>
    <cellStyle name="Percent 91" xfId="4449"/>
    <cellStyle name="Percent 92" xfId="4450"/>
    <cellStyle name="Percent 93" xfId="4451"/>
    <cellStyle name="Percent 94" xfId="4452"/>
    <cellStyle name="Percent 95" xfId="4453"/>
    <cellStyle name="Percent 96" xfId="4454"/>
    <cellStyle name="Percent 97" xfId="4455"/>
    <cellStyle name="Percent 98" xfId="4456"/>
    <cellStyle name="Percent 99" xfId="4457"/>
    <cellStyle name="placeholder" xfId="4458"/>
    <cellStyle name="Row Lvl 1" xfId="4459"/>
    <cellStyle name="Row Lvl 2" xfId="4460"/>
    <cellStyle name="STYLE1" xfId="4461"/>
    <cellStyle name="STYLE1 2" xfId="4462"/>
    <cellStyle name="STYLE1 2 2" xfId="4463"/>
    <cellStyle name="STYLE1 2 3" xfId="4464"/>
    <cellStyle name="STYLE1 3" xfId="4465"/>
    <cellStyle name="STYLE1 4" xfId="4466"/>
    <cellStyle name="STYLE1 5" xfId="4467"/>
    <cellStyle name="STYLE2" xfId="4468"/>
    <cellStyle name="STYLE2 2" xfId="4469"/>
    <cellStyle name="STYLE2 2 2" xfId="4470"/>
    <cellStyle name="STYLE2 2 3" xfId="4471"/>
    <cellStyle name="STYLE2 3" xfId="4472"/>
    <cellStyle name="STYLE2 4" xfId="4473"/>
    <cellStyle name="STYLE3" xfId="4474"/>
    <cellStyle name="STYLE3 2" xfId="4475"/>
    <cellStyle name="STYLE3 2 2" xfId="4476"/>
    <cellStyle name="STYLE3 2 3" xfId="4477"/>
    <cellStyle name="STYLE3 3" xfId="4478"/>
    <cellStyle name="STYLE3 4" xfId="4479"/>
    <cellStyle name="STYLE3 5" xfId="4480"/>
    <cellStyle name="STYLE4" xfId="4481"/>
    <cellStyle name="STYLE4 2" xfId="4482"/>
    <cellStyle name="STYLE4 3" xfId="4483"/>
    <cellStyle name="STYLE5" xfId="4484"/>
    <cellStyle name="STYLE6" xfId="4485"/>
    <cellStyle name="STYLE7" xfId="4486"/>
    <cellStyle name="Title 2" xfId="4487"/>
    <cellStyle name="Title 2 2" xfId="4488"/>
    <cellStyle name="Title 3" xfId="4489"/>
    <cellStyle name="Title 4" xfId="4490"/>
    <cellStyle name="Title 5" xfId="4491"/>
    <cellStyle name="Title 6" xfId="4492"/>
    <cellStyle name="Title Left" xfId="4493"/>
    <cellStyle name="Total 2" xfId="4494"/>
    <cellStyle name="Total 3" xfId="4495"/>
    <cellStyle name="Total 4" xfId="4496"/>
    <cellStyle name="Total 5" xfId="4497"/>
    <cellStyle name="Total 6" xfId="4498"/>
    <cellStyle name="Warning Text 2" xfId="4499"/>
    <cellStyle name="Warning Text 3" xfId="4500"/>
    <cellStyle name="Warning Text 4" xfId="4501"/>
    <cellStyle name="Warning Text 5" xfId="4502"/>
    <cellStyle name="warnings" xfId="4503"/>
    <cellStyle name="XComma" xfId="4504"/>
    <cellStyle name="XComma 0.0" xfId="4505"/>
    <cellStyle name="XComma 0.00" xfId="4506"/>
    <cellStyle name="XComma 0.000" xfId="4507"/>
    <cellStyle name="XCurrency" xfId="4508"/>
    <cellStyle name="XCurrency 0.0" xfId="4509"/>
    <cellStyle name="XCurrency 0.00" xfId="4510"/>
    <cellStyle name="XCurrency 0.000" xfId="4511"/>
    <cellStyle name="xstyle" xfId="4512"/>
    <cellStyle name="Normal 2 23" xfId="4513"/>
    <cellStyle name="Heading 3 7" xfId="4514"/>
    <cellStyle name="Normal 3 28 2" xfId="4515"/>
    <cellStyle name="Normal 4 14 2" xfId="4516"/>
    <cellStyle name="Normal 5 27 3" xfId="4517"/>
    <cellStyle name="Normal 6 7" xfId="4518"/>
    <cellStyle name="Normal 7 24" xfId="4519"/>
    <cellStyle name="Percent 161" xfId="4520"/>
    <cellStyle name="Currency 161" xfId="4521"/>
    <cellStyle name="Comma 185" xfId="4522"/>
    <cellStyle name="Comma [0] 5" xfId="4523"/>
    <cellStyle name="Currency [0] 5" xfId="4524"/>
    <cellStyle name="Currency [0] 2 2" xfId="4525"/>
    <cellStyle name="Comma [0] 2 2" xfId="4526"/>
    <cellStyle name="Comma 2 10 2" xfId="4527"/>
    <cellStyle name="Comma 2 11 2" xfId="4528"/>
    <cellStyle name="Comma 2 12 2" xfId="4529"/>
    <cellStyle name="Comma 2 13 2" xfId="4530"/>
    <cellStyle name="Comma 2 14 2" xfId="4531"/>
    <cellStyle name="Comma 2 15 2" xfId="4532"/>
    <cellStyle name="Comma 2 16 2" xfId="4533"/>
    <cellStyle name="Comma 2 17 2" xfId="4534"/>
    <cellStyle name="Comma 2 18 2" xfId="4535"/>
    <cellStyle name="Comma 2 19 2" xfId="4536"/>
    <cellStyle name="Comma 2 3 4" xfId="4537"/>
    <cellStyle name="Comma 2 5 4" xfId="4538"/>
    <cellStyle name="Comma 2 7 2" xfId="4539"/>
    <cellStyle name="Comma 2 8 2" xfId="4540"/>
    <cellStyle name="Comma 2 9 2" xfId="4541"/>
    <cellStyle name="Comma 4 5 2" xfId="4542"/>
    <cellStyle name="Currency 2 10 2" xfId="4543"/>
    <cellStyle name="Currency 2 11 2" xfId="4544"/>
    <cellStyle name="Currency 2 12 2" xfId="4545"/>
    <cellStyle name="Currency 2 13 2" xfId="4546"/>
    <cellStyle name="Currency 2 14 2" xfId="4547"/>
    <cellStyle name="Currency 2 15 2" xfId="4548"/>
    <cellStyle name="Currency 2 16 2" xfId="4549"/>
    <cellStyle name="Currency 2 17 2" xfId="4550"/>
    <cellStyle name="Currency 2 18 2" xfId="4551"/>
    <cellStyle name="Currency 2 19 2" xfId="4552"/>
    <cellStyle name="Currency 2 3 3" xfId="4553"/>
    <cellStyle name="Currency 2 4 2" xfId="4554"/>
    <cellStyle name="Currency 2 6 2" xfId="4555"/>
    <cellStyle name="Currency 2 7 2" xfId="4556"/>
    <cellStyle name="Currency 2 8 2" xfId="4557"/>
    <cellStyle name="Currency 2 9 2" xfId="4558"/>
    <cellStyle name="Currency 4 5" xfId="4559"/>
    <cellStyle name="Currency 5 4" xfId="4560"/>
    <cellStyle name="Hyperlink 2 3" xfId="4561"/>
    <cellStyle name="Normal 2 10 2" xfId="4562"/>
    <cellStyle name="Normal 2 11 2" xfId="4563"/>
    <cellStyle name="Normal 2 12 2" xfId="4564"/>
    <cellStyle name="Normal 2 13 2" xfId="4565"/>
    <cellStyle name="Normal 2 14 2" xfId="4566"/>
    <cellStyle name="Normal 2 15 2" xfId="4567"/>
    <cellStyle name="Normal 2 16 2" xfId="4568"/>
    <cellStyle name="Normal 2 17 2" xfId="4569"/>
    <cellStyle name="Normal 2 18 2" xfId="4570"/>
    <cellStyle name="Normal 2 19 2" xfId="4571"/>
    <cellStyle name="Normal 2 4 4" xfId="4572"/>
    <cellStyle name="Normal 2 5 2" xfId="4573"/>
    <cellStyle name="Normal 2 6 2" xfId="4574"/>
    <cellStyle name="Normal 2 7 2" xfId="4575"/>
    <cellStyle name="Normal 2 8 2" xfId="4576"/>
    <cellStyle name="Normal 2 9 2" xfId="4577"/>
    <cellStyle name="Percent 2 10 2" xfId="4578"/>
    <cellStyle name="Percent 2 11 2" xfId="4579"/>
    <cellStyle name="Percent 2 12 2" xfId="4580"/>
    <cellStyle name="Percent 2 13 2" xfId="4581"/>
    <cellStyle name="Percent 2 14 2" xfId="4582"/>
    <cellStyle name="Percent 2 15 2" xfId="4583"/>
    <cellStyle name="Percent 2 16 2" xfId="4584"/>
    <cellStyle name="Percent 2 17 2" xfId="4585"/>
    <cellStyle name="Percent 2 18 2" xfId="4586"/>
    <cellStyle name="Percent 2 19 2" xfId="4587"/>
    <cellStyle name="Percent 2 2 5 2" xfId="4588"/>
    <cellStyle name="Percent 2 4 3" xfId="4589"/>
    <cellStyle name="Percent 2 5 2" xfId="4590"/>
    <cellStyle name="Percent 2 6 2" xfId="4591"/>
    <cellStyle name="Percent 2 7 2" xfId="4592"/>
    <cellStyle name="Percent 2 8 2" xfId="4593"/>
    <cellStyle name="Percent 2 9 2" xfId="4594"/>
    <cellStyle name="Percent 4 7 2" xfId="4595"/>
    <cellStyle name="Normal 2 22 2" xfId="4596"/>
    <cellStyle name="Comma 5 7 7" xfId="4597"/>
    <cellStyle name="Percent 5 4 7" xfId="4598"/>
    <cellStyle name="Comma 6 5" xfId="4599"/>
    <cellStyle name="Heading 3 3 2" xfId="4600"/>
    <cellStyle name="Percent 6 4" xfId="4601"/>
    <cellStyle name="Currency 6 4" xfId="4602"/>
    <cellStyle name="Comma 7 5" xfId="4603"/>
    <cellStyle name="Currency 5 2 4" xfId="4604"/>
    <cellStyle name="Comma 5 2 4" xfId="4605"/>
    <cellStyle name="Percent 5 2 4" xfId="4606"/>
    <cellStyle name="Comma 6 2 3" xfId="4607"/>
    <cellStyle name="Comma 11 5" xfId="4608"/>
    <cellStyle name="Currency 7 4" xfId="4609"/>
    <cellStyle name="Comma 8 3" xfId="4610"/>
    <cellStyle name="Currency 9 4" xfId="4611"/>
    <cellStyle name="Comma 10 4" xfId="4612"/>
    <cellStyle name="Currency 10 8" xfId="4613"/>
    <cellStyle name="Comma 9 4" xfId="4614"/>
    <cellStyle name="Currency 8 4" xfId="4615"/>
    <cellStyle name="Currency 5 3 2" xfId="4616"/>
    <cellStyle name="Comma 5 3 2 7" xfId="4617"/>
    <cellStyle name="Percent 5 3 2 7" xfId="4618"/>
    <cellStyle name="Comma 6 3 4" xfId="4619"/>
    <cellStyle name="Normal 11 2 2" xfId="4620"/>
    <cellStyle name="Currency 5 2 2 2" xfId="4621"/>
    <cellStyle name="Comma 5 2 2 2" xfId="4622"/>
    <cellStyle name="Percent 5 2 2 2" xfId="4623"/>
    <cellStyle name="Comma 6 2 2 2" xfId="4624"/>
    <cellStyle name="Normal 51" xfId="4625"/>
    <cellStyle name="Comma 187" xfId="4626"/>
    <cellStyle name="Percent 163" xfId="4627"/>
    <cellStyle name="Currency 162" xfId="4628"/>
    <cellStyle name="Currency 5 6" xfId="4629"/>
    <cellStyle name="Currency [0] 6" xfId="4630"/>
    <cellStyle name="Comma [0] 6" xfId="4631"/>
    <cellStyle name="Comma 187 2" xfId="4632"/>
    <cellStyle name="Currency 162 2" xfId="4633"/>
    <cellStyle name="Percent 163 2" xfId="4634"/>
    <cellStyle name="Heading 3 8" xfId="4635"/>
    <cellStyle name="Normal 51 2" xfId="4636"/>
    <cellStyle name="Currency 179" xfId="4637"/>
    <cellStyle name="Percent 180" xfId="4638"/>
    <cellStyle name="Comma 204" xfId="4639"/>
    <cellStyle name="Normal 8 26" xfId="4640"/>
    <cellStyle name="Comma 5 9 6" xfId="4641"/>
    <cellStyle name="Percent 5 6 6" xfId="4642"/>
    <cellStyle name="Comma 6 7" xfId="4643"/>
    <cellStyle name="Normal 11 5" xfId="4644"/>
    <cellStyle name="Currency 5 2 6" xfId="4645"/>
    <cellStyle name="Normal 8 2 7" xfId="4646"/>
    <cellStyle name="Comma 5 2 6" xfId="4647"/>
    <cellStyle name="Percent 5 2 6" xfId="4648"/>
    <cellStyle name="Comma 6 2 5" xfId="4649"/>
    <cellStyle name="Currency 5 3 4" xfId="4650"/>
    <cellStyle name="Normal 8 3 7" xfId="4651"/>
    <cellStyle name="Comma 5 3 4" xfId="4652"/>
    <cellStyle name="Percent 5 3 4" xfId="4653"/>
    <cellStyle name="Comma 6 3 6" xfId="4654"/>
    <cellStyle name="Normal 11 2 4" xfId="4655"/>
    <cellStyle name="Currency 5 2 2 4" xfId="4656"/>
    <cellStyle name="Normal 8 2 2 3" xfId="4657"/>
    <cellStyle name="Comma 5 2 2 4" xfId="4658"/>
    <cellStyle name="Percent 5 2 2 4" xfId="4659"/>
    <cellStyle name="Comma 6 2 2 3" xfId="4660"/>
    <cellStyle name="Normal 50 2" xfId="4661"/>
    <cellStyle name="Comma 186 2" xfId="4662"/>
    <cellStyle name="Percent 162 2" xfId="4663"/>
    <cellStyle name="Normal 2 24 2" xfId="4664"/>
    <cellStyle name="20% - Accent1 2 2 6" xfId="4665"/>
    <cellStyle name="20% - Accent1 3 2 6" xfId="4666"/>
    <cellStyle name="20% - Accent1 4 2 6" xfId="4667"/>
    <cellStyle name="20% - Accent1 5 2 6" xfId="4668"/>
    <cellStyle name="20% - Accent2 2 2 6" xfId="4669"/>
    <cellStyle name="20% - Accent2 3 2 6" xfId="4670"/>
    <cellStyle name="20% - Accent2 4 2 6" xfId="4671"/>
    <cellStyle name="20% - Accent2 5 2 6" xfId="4672"/>
    <cellStyle name="20% - Accent3 2 2 6" xfId="4673"/>
    <cellStyle name="20% - Accent3 3 2 6" xfId="4674"/>
    <cellStyle name="20% - Accent3 4 2 6" xfId="4675"/>
    <cellStyle name="20% - Accent3 5 2 6" xfId="4676"/>
    <cellStyle name="20% - Accent4 2 2 6" xfId="4677"/>
    <cellStyle name="20% - Accent4 3 2 6" xfId="4678"/>
    <cellStyle name="20% - Accent4 4 2 6" xfId="4679"/>
    <cellStyle name="20% - Accent4 5 2 6" xfId="4680"/>
    <cellStyle name="20% - Accent5 2 2 6" xfId="4681"/>
    <cellStyle name="20% - Accent5 3 2 6" xfId="4682"/>
    <cellStyle name="20% - Accent5 4 2 6" xfId="4683"/>
    <cellStyle name="20% - Accent6 2 2 6" xfId="4684"/>
    <cellStyle name="20% - Accent6 3 2 6" xfId="4685"/>
    <cellStyle name="20% - Accent6 4 2 6" xfId="4686"/>
    <cellStyle name="40% - Accent1 2 2 6" xfId="4687"/>
    <cellStyle name="40% - Accent1 3 2 6" xfId="4688"/>
    <cellStyle name="40% - Accent1 4 2 6" xfId="4689"/>
    <cellStyle name="40% - Accent1 5 2 6" xfId="4690"/>
    <cellStyle name="40% - Accent2 2 2 6" xfId="4691"/>
    <cellStyle name="40% - Accent2 3 2 6" xfId="4692"/>
    <cellStyle name="40% - Accent2 4 2 6" xfId="4693"/>
    <cellStyle name="40% - Accent3 2 2 6" xfId="4694"/>
    <cellStyle name="40% - Accent3 3 2 6" xfId="4695"/>
    <cellStyle name="40% - Accent3 4 2 6" xfId="4696"/>
    <cellStyle name="40% - Accent3 5 2 6" xfId="4697"/>
    <cellStyle name="40% - Accent4 2 2 6" xfId="4698"/>
    <cellStyle name="40% - Accent4 3 2 6" xfId="4699"/>
    <cellStyle name="40% - Accent4 4 2 6" xfId="4700"/>
    <cellStyle name="40% - Accent4 5 2 6" xfId="4701"/>
    <cellStyle name="40% - Accent5 2 2 6" xfId="4702"/>
    <cellStyle name="40% - Accent5 3 2 6" xfId="4703"/>
    <cellStyle name="40% - Accent5 4 2 6" xfId="4704"/>
    <cellStyle name="40% - Accent6 2 2 6" xfId="4705"/>
    <cellStyle name="40% - Accent6 3 2 6" xfId="4706"/>
    <cellStyle name="40% - Accent6 4 2 6" xfId="4707"/>
    <cellStyle name="40% - Accent6 5 2 6" xfId="4708"/>
    <cellStyle name="Comma 143 2" xfId="4709"/>
    <cellStyle name="Comma 144 2" xfId="4710"/>
    <cellStyle name="Comma 145 2" xfId="4711"/>
    <cellStyle name="Comma 146 2" xfId="4712"/>
    <cellStyle name="Comma 147 2" xfId="4713"/>
    <cellStyle name="Comma 148 2" xfId="4714"/>
    <cellStyle name="Comma 149 2" xfId="4715"/>
    <cellStyle name="Comma 150 2" xfId="4716"/>
    <cellStyle name="Comma 151 2" xfId="4717"/>
    <cellStyle name="Comma 152 2" xfId="4718"/>
    <cellStyle name="Comma 153 2" xfId="4719"/>
    <cellStyle name="Comma 182 2" xfId="4720"/>
    <cellStyle name="Comma 2 23 2" xfId="4721"/>
    <cellStyle name="Comma 2 2 10 2" xfId="4722"/>
    <cellStyle name="Comma 2 2 11 2" xfId="4723"/>
    <cellStyle name="Comma 2 2 12 2" xfId="4724"/>
    <cellStyle name="Comma 2 2 13 2" xfId="4725"/>
    <cellStyle name="Comma 2 2 14 2" xfId="4726"/>
    <cellStyle name="Comma 2 2 15 2" xfId="4727"/>
    <cellStyle name="Comma 2 2 16 2" xfId="4728"/>
    <cellStyle name="Comma 2 2 17 2" xfId="4729"/>
    <cellStyle name="Comma 2 2 2 2 6" xfId="4730"/>
    <cellStyle name="Comma 2 2 2 2 2 2" xfId="4731"/>
    <cellStyle name="Comma 2 2 2 2 3 2" xfId="4732"/>
    <cellStyle name="Comma 2 2 2 2 4 2" xfId="4733"/>
    <cellStyle name="Comma 2 2 2 2 5 2" xfId="4734"/>
    <cellStyle name="Comma 2 2 2 3 2" xfId="4735"/>
    <cellStyle name="Comma 2 2 2 4 2" xfId="4736"/>
    <cellStyle name="Comma 2 2 2 5 2" xfId="4737"/>
    <cellStyle name="Comma 2 2 2 6 2" xfId="4738"/>
    <cellStyle name="Comma 2 2 3 6" xfId="4739"/>
    <cellStyle name="Comma 2 2 3 2 2 2" xfId="4740"/>
    <cellStyle name="Comma 2 2 3 2 3 2" xfId="4741"/>
    <cellStyle name="Comma 2 2 3 2 4 2" xfId="4742"/>
    <cellStyle name="Comma 2 2 3 2 5 2" xfId="4743"/>
    <cellStyle name="Comma 2 2 3 3 2" xfId="4744"/>
    <cellStyle name="Comma 2 2 4 2 2" xfId="4745"/>
    <cellStyle name="Comma 2 2 5 2" xfId="4746"/>
    <cellStyle name="Comma 2 2 6 2" xfId="4747"/>
    <cellStyle name="Comma 2 2 7 2" xfId="4748"/>
    <cellStyle name="Comma 2 2 8 2" xfId="4749"/>
    <cellStyle name="Comma 2 2 9 2" xfId="4750"/>
    <cellStyle name="Comma 3 10 2" xfId="4751"/>
    <cellStyle name="Comma 3 11 2" xfId="4752"/>
    <cellStyle name="Comma 3 12 2" xfId="4753"/>
    <cellStyle name="Comma 3 13 2" xfId="4754"/>
    <cellStyle name="Comma 3 14 2" xfId="4755"/>
    <cellStyle name="Comma 3 15 2" xfId="4756"/>
    <cellStyle name="Comma 3 16 2" xfId="4757"/>
    <cellStyle name="Comma 3 17 2" xfId="4758"/>
    <cellStyle name="Comma 3 18 2" xfId="4759"/>
    <cellStyle name="Comma 3 19 2" xfId="4760"/>
    <cellStyle name="Comma 3 2 2 2" xfId="4761"/>
    <cellStyle name="Comma 3 2 3 2" xfId="4762"/>
    <cellStyle name="Comma 3 2 4 2" xfId="4763"/>
    <cellStyle name="Comma 3 2 5 2" xfId="4764"/>
    <cellStyle name="Comma 3 20 2" xfId="4765"/>
    <cellStyle name="Comma 3 21 2" xfId="4766"/>
    <cellStyle name="Comma 3 3 6" xfId="4767"/>
    <cellStyle name="Comma 3 3 2 2" xfId="4768"/>
    <cellStyle name="Comma 3 3 3 2" xfId="4769"/>
    <cellStyle name="Comma 3 3 4 2" xfId="4770"/>
    <cellStyle name="Comma 3 3 5 2" xfId="4771"/>
    <cellStyle name="Comma 3 4 3" xfId="4772"/>
    <cellStyle name="Comma 3 4 2 2" xfId="4773"/>
    <cellStyle name="Comma 3 5 3" xfId="4774"/>
    <cellStyle name="Comma 3 5 2 2" xfId="4775"/>
    <cellStyle name="Comma 3 6 3" xfId="4776"/>
    <cellStyle name="Comma 3 6 2 2" xfId="4777"/>
    <cellStyle name="Comma 3 7 2" xfId="4778"/>
    <cellStyle name="Comma 3 8 2" xfId="4779"/>
    <cellStyle name="Comma 3 9 2" xfId="4780"/>
    <cellStyle name="Currency 120 2" xfId="4781"/>
    <cellStyle name="Currency 121 2" xfId="4782"/>
    <cellStyle name="Currency 122 2" xfId="4783"/>
    <cellStyle name="Currency 123 2" xfId="4784"/>
    <cellStyle name="Currency 124 2" xfId="4785"/>
    <cellStyle name="Currency 125 2" xfId="4786"/>
    <cellStyle name="Currency 126 2" xfId="4787"/>
    <cellStyle name="Currency 127 2" xfId="4788"/>
    <cellStyle name="Currency 128 2" xfId="4789"/>
    <cellStyle name="Currency 129 2" xfId="4790"/>
    <cellStyle name="Currency 130 2" xfId="4791"/>
    <cellStyle name="Currency 159 2" xfId="4792"/>
    <cellStyle name="Currency 2 27 2" xfId="4793"/>
    <cellStyle name="Currency 2 2 20 2" xfId="4794"/>
    <cellStyle name="Currency 2 2 10 2" xfId="4795"/>
    <cellStyle name="Currency 2 2 11 2" xfId="4796"/>
    <cellStyle name="Currency 2 2 12 2" xfId="4797"/>
    <cellStyle name="Currency 2 2 13 2" xfId="4798"/>
    <cellStyle name="Currency 2 2 14 2" xfId="4799"/>
    <cellStyle name="Currency 2 2 15 2" xfId="4800"/>
    <cellStyle name="Currency 2 2 16 2" xfId="4801"/>
    <cellStyle name="Currency 2 2 17 2" xfId="4802"/>
    <cellStyle name="Currency 2 2 18 2" xfId="4803"/>
    <cellStyle name="Currency 2 2 2 2 2" xfId="4804"/>
    <cellStyle name="Currency 2 2 2 3 2" xfId="4805"/>
    <cellStyle name="Currency 2 2 2 4 2" xfId="4806"/>
    <cellStyle name="Currency 2 2 2 5 2" xfId="4807"/>
    <cellStyle name="Currency 2 2 3 6" xfId="4808"/>
    <cellStyle name="Currency 2 2 3 2 2" xfId="4809"/>
    <cellStyle name="Currency 2 2 3 3 2" xfId="4810"/>
    <cellStyle name="Currency 2 2 3 4 2" xfId="4811"/>
    <cellStyle name="Currency 2 2 3 5 2" xfId="4812"/>
    <cellStyle name="Currency 2 2 4 2" xfId="4813"/>
    <cellStyle name="Currency 2 2 5 2" xfId="4814"/>
    <cellStyle name="Currency 2 2 6 2" xfId="4815"/>
    <cellStyle name="Currency 2 2 7 2" xfId="4816"/>
    <cellStyle name="Currency 2 2 8 2" xfId="4817"/>
    <cellStyle name="Currency 2 2 9 2" xfId="4818"/>
    <cellStyle name="Currency 3 10 2" xfId="4819"/>
    <cellStyle name="Currency 3 11 2" xfId="4820"/>
    <cellStyle name="Currency 3 12 2" xfId="4821"/>
    <cellStyle name="Currency 3 13 2" xfId="4822"/>
    <cellStyle name="Currency 3 14 2" xfId="4823"/>
    <cellStyle name="Currency 3 15 2" xfId="4824"/>
    <cellStyle name="Currency 3 16 2" xfId="4825"/>
    <cellStyle name="Currency 3 17 2" xfId="4826"/>
    <cellStyle name="Currency 3 18 2" xfId="4827"/>
    <cellStyle name="Currency 3 19 2" xfId="4828"/>
    <cellStyle name="Currency 3 2 2 2" xfId="4829"/>
    <cellStyle name="Currency 3 2 3 2" xfId="4830"/>
    <cellStyle name="Currency 3 2 4 2" xfId="4831"/>
    <cellStyle name="Currency 3 2 5 2" xfId="4832"/>
    <cellStyle name="Currency 3 20 2" xfId="4833"/>
    <cellStyle name="Currency 3 21 2" xfId="4834"/>
    <cellStyle name="Currency 3 3 8" xfId="4835"/>
    <cellStyle name="Currency 3 3 2 2" xfId="4836"/>
    <cellStyle name="Currency 3 3 3 2" xfId="4837"/>
    <cellStyle name="Currency 3 3 4 2" xfId="4838"/>
    <cellStyle name="Currency 3 3 5 2" xfId="4839"/>
    <cellStyle name="Currency 3 3 6 2" xfId="4840"/>
    <cellStyle name="Currency 3 4 3" xfId="4841"/>
    <cellStyle name="Currency 3 4 2 2" xfId="4842"/>
    <cellStyle name="Currency 3 5 3" xfId="4843"/>
    <cellStyle name="Currency 3 5 2 2" xfId="4844"/>
    <cellStyle name="Currency 3 6 3" xfId="4845"/>
    <cellStyle name="Currency 3 6 2 2" xfId="4846"/>
    <cellStyle name="Currency 3 7 2" xfId="4847"/>
    <cellStyle name="Currency 3 8 2" xfId="4848"/>
    <cellStyle name="Currency 3 9 2" xfId="4849"/>
    <cellStyle name="Normal 10 3 6" xfId="4850"/>
    <cellStyle name="Normal 10 3 2 5" xfId="4851"/>
    <cellStyle name="Normal 10 3 2 2 3" xfId="4852"/>
    <cellStyle name="Normal 10 3 2 2 2 2" xfId="4853"/>
    <cellStyle name="Normal 10 3 2 3 3" xfId="4854"/>
    <cellStyle name="Normal 10 3 2 3 2 2" xfId="4855"/>
    <cellStyle name="Normal 10 3 2 4 2" xfId="4856"/>
    <cellStyle name="Normal 10 3 3 3" xfId="4857"/>
    <cellStyle name="Normal 10 3 3 2 2" xfId="4858"/>
    <cellStyle name="Normal 10 3 4 3" xfId="4859"/>
    <cellStyle name="Normal 10 3 4 2 2" xfId="4860"/>
    <cellStyle name="Normal 10 3 5 2" xfId="4861"/>
    <cellStyle name="Normal 10 4 5" xfId="4862"/>
    <cellStyle name="Normal 10 4 2 3" xfId="4863"/>
    <cellStyle name="Normal 10 4 2 2 2" xfId="4864"/>
    <cellStyle name="Normal 10 4 3 3" xfId="4865"/>
    <cellStyle name="Normal 10 4 3 2 2" xfId="4866"/>
    <cellStyle name="Normal 10 4 4 2" xfId="4867"/>
    <cellStyle name="Normal 10 5 5" xfId="4868"/>
    <cellStyle name="Normal 10 5 2 3" xfId="4869"/>
    <cellStyle name="Normal 10 5 2 2 2" xfId="4870"/>
    <cellStyle name="Normal 10 5 3 3" xfId="4871"/>
    <cellStyle name="Normal 10 5 3 2 2" xfId="4872"/>
    <cellStyle name="Normal 10 5 4 2" xfId="4873"/>
    <cellStyle name="Normal 10 6 3" xfId="4874"/>
    <cellStyle name="Normal 10 6 2 2" xfId="4875"/>
    <cellStyle name="Normal 10 7 3" xfId="4876"/>
    <cellStyle name="Normal 10 7 2 2" xfId="4877"/>
    <cellStyle name="Normal 10 8 2 2" xfId="4878"/>
    <cellStyle name="Normal 10 9 2" xfId="4879"/>
    <cellStyle name="Normal 11 4 2" xfId="4880"/>
    <cellStyle name="Normal 11 3 2" xfId="4881"/>
    <cellStyle name="Normal 12 8" xfId="4882"/>
    <cellStyle name="Normal 12 2 2 5" xfId="4883"/>
    <cellStyle name="Normal 12 2 2 2 3" xfId="4884"/>
    <cellStyle name="Normal 12 2 2 2 2 2" xfId="4885"/>
    <cellStyle name="Normal 12 2 2 3 3" xfId="4886"/>
    <cellStyle name="Normal 12 2 2 3 2 2" xfId="4887"/>
    <cellStyle name="Normal 12 2 2 4 2" xfId="4888"/>
    <cellStyle name="Normal 12 2 3 3" xfId="4889"/>
    <cellStyle name="Normal 12 2 3 2 2" xfId="4890"/>
    <cellStyle name="Normal 12 2 4 3" xfId="4891"/>
    <cellStyle name="Normal 12 2 4 2 2" xfId="4892"/>
    <cellStyle name="Normal 12 2 5 2 2" xfId="4893"/>
    <cellStyle name="Normal 12 2 6 2" xfId="4894"/>
    <cellStyle name="Normal 12 3 5" xfId="4895"/>
    <cellStyle name="Normal 12 3 2 3" xfId="4896"/>
    <cellStyle name="Normal 12 3 2 2 2" xfId="4897"/>
    <cellStyle name="Normal 12 3 3 3" xfId="4898"/>
    <cellStyle name="Normal 12 3 3 2 2" xfId="4899"/>
    <cellStyle name="Normal 12 3 4 2" xfId="4900"/>
    <cellStyle name="Normal 12 4 5" xfId="4901"/>
    <cellStyle name="Normal 12 4 2 3" xfId="4902"/>
    <cellStyle name="Normal 12 4 2 2 2" xfId="4903"/>
    <cellStyle name="Normal 12 4 3 3" xfId="4904"/>
    <cellStyle name="Normal 12 4 3 2 2" xfId="4905"/>
    <cellStyle name="Normal 12 4 4 2" xfId="4906"/>
    <cellStyle name="Normal 12 5 3" xfId="4907"/>
    <cellStyle name="Normal 12 5 2 2" xfId="4908"/>
    <cellStyle name="Normal 12 6 3" xfId="4909"/>
    <cellStyle name="Normal 12 6 2 2" xfId="4910"/>
    <cellStyle name="Normal 12 7 2" xfId="4911"/>
    <cellStyle name="Normal 15 6" xfId="4912"/>
    <cellStyle name="Normal 15 3 2" xfId="4913"/>
    <cellStyle name="Normal 16 2 5" xfId="4914"/>
    <cellStyle name="Normal 16 2 2 3" xfId="4915"/>
    <cellStyle name="Normal 16 2 2 2 2" xfId="4916"/>
    <cellStyle name="Normal 16 2 3 3" xfId="4917"/>
    <cellStyle name="Normal 16 2 3 2 2" xfId="4918"/>
    <cellStyle name="Normal 16 2 4 2" xfId="4919"/>
    <cellStyle name="Normal 16 3 3" xfId="4920"/>
    <cellStyle name="Normal 16 3 2 2" xfId="4921"/>
    <cellStyle name="Normal 16 4 3" xfId="4922"/>
    <cellStyle name="Normal 16 4 2 2" xfId="4923"/>
    <cellStyle name="Normal 16 5 2 2" xfId="4924"/>
    <cellStyle name="Normal 16 6 2" xfId="4925"/>
    <cellStyle name="Normal 17 2 5" xfId="4926"/>
    <cellStyle name="Normal 17 2 2 3" xfId="4927"/>
    <cellStyle name="Normal 17 2 2 2 2" xfId="4928"/>
    <cellStyle name="Normal 17 2 3 3" xfId="4929"/>
    <cellStyle name="Normal 17 2 3 2 2" xfId="4930"/>
    <cellStyle name="Normal 17 2 4 2" xfId="4931"/>
    <cellStyle name="Normal 17 3 3" xfId="4932"/>
    <cellStyle name="Normal 17 3 2 2" xfId="4933"/>
    <cellStyle name="Normal 17 4 3" xfId="4934"/>
    <cellStyle name="Normal 17 4 2 2" xfId="4935"/>
    <cellStyle name="Normal 17 5 2 2" xfId="4936"/>
    <cellStyle name="Normal 17 6 2" xfId="4937"/>
    <cellStyle name="Normal 2 10 3 2" xfId="4938"/>
    <cellStyle name="Normal 2 11 3 2" xfId="4939"/>
    <cellStyle name="Normal 2 12 3 2" xfId="4940"/>
    <cellStyle name="Normal 2 13 3 2" xfId="4941"/>
    <cellStyle name="Normal 2 14 3 2" xfId="4942"/>
    <cellStyle name="Normal 2 15 3 2" xfId="4943"/>
    <cellStyle name="Normal 2 16 3 2" xfId="4944"/>
    <cellStyle name="Normal 2 17 3 2" xfId="4945"/>
    <cellStyle name="Normal 2 18 3 2" xfId="4946"/>
    <cellStyle name="Normal 2 19 3 2" xfId="4947"/>
    <cellStyle name="Normal 2 2 10 2" xfId="4948"/>
    <cellStyle name="Normal 2 2 11 2" xfId="4949"/>
    <cellStyle name="Normal 2 2 12 2" xfId="4950"/>
    <cellStyle name="Normal 2 2 13 2" xfId="4951"/>
    <cellStyle name="Normal 2 2 14 2" xfId="4952"/>
    <cellStyle name="Normal 2 2 15 2" xfId="4953"/>
    <cellStyle name="Normal 2 2 16 2" xfId="4954"/>
    <cellStyle name="Normal 2 2 17 2" xfId="4955"/>
    <cellStyle name="Normal 2 2 18 2" xfId="4956"/>
    <cellStyle name="Normal 2 2 19 2" xfId="4957"/>
    <cellStyle name="Normal 2 2 2 2 6" xfId="4958"/>
    <cellStyle name="Normal 2 2 2 2 2 3" xfId="4959"/>
    <cellStyle name="Normal 2 2 2 2 2 2 2" xfId="4960"/>
    <cellStyle name="Normal 2 2 2 2 3 2" xfId="4961"/>
    <cellStyle name="Normal 2 2 2 2 4 2" xfId="4962"/>
    <cellStyle name="Normal 2 2 2 2 5 2" xfId="4963"/>
    <cellStyle name="Normal 2 2 20 2" xfId="4964"/>
    <cellStyle name="Normal 2 2 21 2" xfId="4965"/>
    <cellStyle name="Normal 2 2 22 2" xfId="4966"/>
    <cellStyle name="Normal 2 2 3 9" xfId="4967"/>
    <cellStyle name="Normal 2 2 3 2 2" xfId="4968"/>
    <cellStyle name="Normal 2 2 3 3 2" xfId="4969"/>
    <cellStyle name="Normal 2 2 3 4 2" xfId="4970"/>
    <cellStyle name="Normal 2 2 3 5 2" xfId="4971"/>
    <cellStyle name="Normal 2 2 3 6 2" xfId="4972"/>
    <cellStyle name="Normal 2 2 4 5" xfId="4973"/>
    <cellStyle name="Normal 2 2 4 2 2" xfId="4974"/>
    <cellStyle name="Normal 2 2 5 4" xfId="4975"/>
    <cellStyle name="Normal 2 2 5 2 2" xfId="4976"/>
    <cellStyle name="Normal 2 2 6 2" xfId="4977"/>
    <cellStyle name="Normal 2 2 7 2" xfId="4978"/>
    <cellStyle name="Normal 2 2 8 2" xfId="4979"/>
    <cellStyle name="Normal 2 2 9 2" xfId="4980"/>
    <cellStyle name="Normal 2 20 2" xfId="4981"/>
    <cellStyle name="Normal 2 3 2 3" xfId="4982"/>
    <cellStyle name="Normal 2 3 3 2" xfId="4983"/>
    <cellStyle name="Normal 2 3 4 2" xfId="4984"/>
    <cellStyle name="Normal 2 3 5 2" xfId="4985"/>
    <cellStyle name="Normal 2 3 6 2" xfId="4986"/>
    <cellStyle name="Normal 2 4 5 2" xfId="4987"/>
    <cellStyle name="Normal 2 4 2 2" xfId="4988"/>
    <cellStyle name="Normal 2 5 3 2" xfId="4989"/>
    <cellStyle name="Normal 2 6 3 2" xfId="4990"/>
    <cellStyle name="Normal 2 7 3 2" xfId="4991"/>
    <cellStyle name="Normal 2 8 3 2" xfId="4992"/>
    <cellStyle name="Normal 2 9 3 2" xfId="4993"/>
    <cellStyle name="Normal 21 9" xfId="4994"/>
    <cellStyle name="Normal 21 2 7" xfId="4995"/>
    <cellStyle name="Normal 21 2 2 2" xfId="4996"/>
    <cellStyle name="Normal 21 2 3 2" xfId="4997"/>
    <cellStyle name="Normal 21 2 4 2" xfId="4998"/>
    <cellStyle name="Normal 21 2 5 2" xfId="4999"/>
    <cellStyle name="Normal 21 2 6 2" xfId="5000"/>
    <cellStyle name="Normal 21 3 3" xfId="5001"/>
    <cellStyle name="Normal 21 3 2 2" xfId="5002"/>
    <cellStyle name="Normal 21 4 2" xfId="5003"/>
    <cellStyle name="Normal 21 5 2" xfId="5004"/>
    <cellStyle name="Normal 21 6 2" xfId="5005"/>
    <cellStyle name="Normal 21 8 2" xfId="5006"/>
    <cellStyle name="Normal 22 8" xfId="5007"/>
    <cellStyle name="Normal 22 2 7" xfId="5008"/>
    <cellStyle name="Normal 22 2 2 2" xfId="5009"/>
    <cellStyle name="Normal 22 2 3 2" xfId="5010"/>
    <cellStyle name="Normal 22 2 4 2" xfId="5011"/>
    <cellStyle name="Normal 22 2 5 2" xfId="5012"/>
    <cellStyle name="Normal 22 3 2" xfId="5013"/>
    <cellStyle name="Normal 22 4 2" xfId="5014"/>
    <cellStyle name="Normal 22 5 2" xfId="5015"/>
    <cellStyle name="Normal 22 6 2" xfId="5016"/>
    <cellStyle name="Normal 23 8" xfId="5017"/>
    <cellStyle name="Normal 23 2 6" xfId="5018"/>
    <cellStyle name="Normal 23 2 2 2" xfId="5019"/>
    <cellStyle name="Normal 23 2 3 2" xfId="5020"/>
    <cellStyle name="Normal 23 2 4 2" xfId="5021"/>
    <cellStyle name="Normal 23 2 5 2" xfId="5022"/>
    <cellStyle name="Normal 23 3 2" xfId="5023"/>
    <cellStyle name="Normal 23 4 2" xfId="5024"/>
    <cellStyle name="Normal 23 5 2" xfId="5025"/>
    <cellStyle name="Normal 23 6 2" xfId="5026"/>
    <cellStyle name="Normal 24 8" xfId="5027"/>
    <cellStyle name="Normal 24 2 6" xfId="5028"/>
    <cellStyle name="Normal 24 2 2 2" xfId="5029"/>
    <cellStyle name="Normal 24 2 3 2" xfId="5030"/>
    <cellStyle name="Normal 24 2 4 2" xfId="5031"/>
    <cellStyle name="Normal 24 2 5 2" xfId="5032"/>
    <cellStyle name="Normal 24 3 2" xfId="5033"/>
    <cellStyle name="Normal 24 4 2" xfId="5034"/>
    <cellStyle name="Normal 24 5 2" xfId="5035"/>
    <cellStyle name="Normal 24 6 2" xfId="5036"/>
    <cellStyle name="Normal 26 8" xfId="5037"/>
    <cellStyle name="Normal 26 2 6" xfId="5038"/>
    <cellStyle name="Normal 26 2 2 2" xfId="5039"/>
    <cellStyle name="Normal 26 2 3 2" xfId="5040"/>
    <cellStyle name="Normal 26 2 4 2" xfId="5041"/>
    <cellStyle name="Normal 26 2 5 2" xfId="5042"/>
    <cellStyle name="Normal 26 3 2" xfId="5043"/>
    <cellStyle name="Normal 26 4 2" xfId="5044"/>
    <cellStyle name="Normal 26 5 2" xfId="5045"/>
    <cellStyle name="Normal 26 6 2" xfId="5046"/>
    <cellStyle name="Normal 3 10 2" xfId="5047"/>
    <cellStyle name="Normal 3 11 2" xfId="5048"/>
    <cellStyle name="Normal 3 12 2" xfId="5049"/>
    <cellStyle name="Normal 3 13 2" xfId="5050"/>
    <cellStyle name="Normal 3 14 2" xfId="5051"/>
    <cellStyle name="Normal 3 15 2" xfId="5052"/>
    <cellStyle name="Normal 3 16 2" xfId="5053"/>
    <cellStyle name="Normal 3 17 2" xfId="5054"/>
    <cellStyle name="Normal 3 18 2" xfId="5055"/>
    <cellStyle name="Normal 3 19 2" xfId="5056"/>
    <cellStyle name="Normal 3 2 2 2" xfId="5057"/>
    <cellStyle name="Normal 3 2 3 2" xfId="5058"/>
    <cellStyle name="Normal 3 2 4 2" xfId="5059"/>
    <cellStyle name="Normal 3 2 5 2" xfId="5060"/>
    <cellStyle name="Normal 3 2 6 2" xfId="5061"/>
    <cellStyle name="Normal 3 20 2" xfId="5062"/>
    <cellStyle name="Normal 3 21 2" xfId="5063"/>
    <cellStyle name="Normal 3 22 2" xfId="5064"/>
    <cellStyle name="Normal 3 23 2" xfId="5065"/>
    <cellStyle name="Normal 3 24 2" xfId="5066"/>
    <cellStyle name="Normal 3 3 5" xfId="5067"/>
    <cellStyle name="Normal 3 3 2 2" xfId="5068"/>
    <cellStyle name="Normal 3 3 3 2" xfId="5069"/>
    <cellStyle name="Normal 3 4 3" xfId="5070"/>
    <cellStyle name="Normal 3 4 2 2" xfId="5071"/>
    <cellStyle name="Normal 3 5 3" xfId="5072"/>
    <cellStyle name="Normal 3 5 2 2" xfId="5073"/>
    <cellStyle name="Normal 3 6 2" xfId="5074"/>
    <cellStyle name="Normal 3 7 2" xfId="5075"/>
    <cellStyle name="Normal 3 8 2" xfId="5076"/>
    <cellStyle name="Normal 3 9 2" xfId="5077"/>
    <cellStyle name="Normal 4 2 10 2" xfId="5078"/>
    <cellStyle name="Normal 4 2 11 2" xfId="5079"/>
    <cellStyle name="Normal 4 2 12 2" xfId="5080"/>
    <cellStyle name="Normal 4 2 13 2" xfId="5081"/>
    <cellStyle name="Normal 4 2 14 2" xfId="5082"/>
    <cellStyle name="Normal 4 2 15 2" xfId="5083"/>
    <cellStyle name="Normal 4 2 16 2" xfId="5084"/>
    <cellStyle name="Normal 4 2 17 2" xfId="5085"/>
    <cellStyle name="Normal 4 2 18 2" xfId="5086"/>
    <cellStyle name="Normal 4 2 19 2" xfId="5087"/>
    <cellStyle name="Normal 4 2 2 6" xfId="5088"/>
    <cellStyle name="Normal 4 2 2 2 2" xfId="5089"/>
    <cellStyle name="Normal 4 2 2 3 2" xfId="5090"/>
    <cellStyle name="Normal 4 2 2 4 2" xfId="5091"/>
    <cellStyle name="Normal 4 2 2 5 2" xfId="5092"/>
    <cellStyle name="Normal 4 2 20 2" xfId="5093"/>
    <cellStyle name="Normal 4 2 21 2" xfId="5094"/>
    <cellStyle name="Normal 4 2 22 2" xfId="5095"/>
    <cellStyle name="Normal 4 2 23 2" xfId="5096"/>
    <cellStyle name="Normal 4 2 24 2" xfId="5097"/>
    <cellStyle name="Normal 4 2 3 3" xfId="5098"/>
    <cellStyle name="Normal 4 2 3 2 2" xfId="5099"/>
    <cellStyle name="Normal 4 2 4 3" xfId="5100"/>
    <cellStyle name="Normal 4 2 4 2 2" xfId="5101"/>
    <cellStyle name="Normal 4 2 5 3" xfId="5102"/>
    <cellStyle name="Normal 4 2 5 2 2" xfId="5103"/>
    <cellStyle name="Normal 4 2 6 2" xfId="5104"/>
    <cellStyle name="Normal 4 2 7 2" xfId="5105"/>
    <cellStyle name="Normal 4 2 8 2" xfId="5106"/>
    <cellStyle name="Normal 4 2 9 2" xfId="5107"/>
    <cellStyle name="Normal 4 3 7" xfId="5108"/>
    <cellStyle name="Normal 4 3 2 6" xfId="5109"/>
    <cellStyle name="Normal 4 3 2 2 5" xfId="5110"/>
    <cellStyle name="Normal 4 3 2 2 2 3" xfId="5111"/>
    <cellStyle name="Normal 4 3 2 2 2 2 2" xfId="5112"/>
    <cellStyle name="Normal 4 3 2 2 3 3" xfId="5113"/>
    <cellStyle name="Normal 4 3 2 2 3 2 2" xfId="5114"/>
    <cellStyle name="Normal 4 3 2 2 4 2" xfId="5115"/>
    <cellStyle name="Normal 4 3 2 3 3" xfId="5116"/>
    <cellStyle name="Normal 4 3 2 3 2 2" xfId="5117"/>
    <cellStyle name="Normal 4 3 2 4 3" xfId="5118"/>
    <cellStyle name="Normal 4 3 2 4 2 2" xfId="5119"/>
    <cellStyle name="Normal 4 3 2 5 2" xfId="5120"/>
    <cellStyle name="Normal 4 3 3 5" xfId="5121"/>
    <cellStyle name="Normal 4 3 3 2 3" xfId="5122"/>
    <cellStyle name="Normal 4 3 3 2 2 2" xfId="5123"/>
    <cellStyle name="Normal 4 3 3 3 3" xfId="5124"/>
    <cellStyle name="Normal 4 3 3 3 2 2" xfId="5125"/>
    <cellStyle name="Normal 4 3 3 4 2" xfId="5126"/>
    <cellStyle name="Normal 4 3 4 3" xfId="5127"/>
    <cellStyle name="Normal 4 3 4 2 2" xfId="5128"/>
    <cellStyle name="Normal 4 3 5 3" xfId="5129"/>
    <cellStyle name="Normal 4 3 5 2 2" xfId="5130"/>
    <cellStyle name="Normal 4 3 6 2" xfId="5131"/>
    <cellStyle name="Normal 4 4 4" xfId="5132"/>
    <cellStyle name="Normal 4 4 2 2" xfId="5133"/>
    <cellStyle name="Normal 4 5 2" xfId="5134"/>
    <cellStyle name="Normal 4 6 2" xfId="5135"/>
    <cellStyle name="Normal 4 7 2" xfId="5136"/>
    <cellStyle name="Normal 4 8 2" xfId="5137"/>
    <cellStyle name="Normal 41 2 2" xfId="5138"/>
    <cellStyle name="Normal 46 2" xfId="5139"/>
    <cellStyle name="Normal 5 28 2 6" xfId="5140"/>
    <cellStyle name="Normal 5 2 7" xfId="5141"/>
    <cellStyle name="Normal 5 2 2 2 2 2" xfId="5142"/>
    <cellStyle name="Normal 5 2 2 3 2" xfId="5143"/>
    <cellStyle name="Normal 5 2 3 2 2 2" xfId="5144"/>
    <cellStyle name="Normal 5 2 3 3 2" xfId="5145"/>
    <cellStyle name="Normal 5 2 4 2 2" xfId="5146"/>
    <cellStyle name="Normal 5 2 6 2" xfId="5147"/>
    <cellStyle name="Normal 5 24 2 6" xfId="5148"/>
    <cellStyle name="Normal 5 3 3" xfId="5149"/>
    <cellStyle name="Normal 5 4 3" xfId="5150"/>
    <cellStyle name="Normal 5 5 3" xfId="5151"/>
    <cellStyle name="Normal 5 6 3" xfId="5152"/>
    <cellStyle name="Normal 5 7 3" xfId="5153"/>
    <cellStyle name="Normal 7 25 2" xfId="5154"/>
    <cellStyle name="Normal 7 10 2" xfId="5155"/>
    <cellStyle name="Normal 7 11 2" xfId="5156"/>
    <cellStyle name="Normal 7 12 2" xfId="5157"/>
    <cellStyle name="Normal 7 13 2" xfId="5158"/>
    <cellStyle name="Normal 7 14 2" xfId="5159"/>
    <cellStyle name="Normal 7 15 2" xfId="5160"/>
    <cellStyle name="Normal 7 16 2" xfId="5161"/>
    <cellStyle name="Normal 7 17 2" xfId="5162"/>
    <cellStyle name="Normal 7 18 2" xfId="5163"/>
    <cellStyle name="Normal 7 19 2" xfId="5164"/>
    <cellStyle name="Normal 7 2 6" xfId="5165"/>
    <cellStyle name="Normal 7 2 2 2" xfId="5166"/>
    <cellStyle name="Normal 7 2 3 2" xfId="5167"/>
    <cellStyle name="Normal 7 2 4 2" xfId="5168"/>
    <cellStyle name="Normal 7 2 5 2" xfId="5169"/>
    <cellStyle name="Normal 7 20 2" xfId="5170"/>
    <cellStyle name="Normal 7 22 2" xfId="5171"/>
    <cellStyle name="Normal 7 3 6" xfId="5172"/>
    <cellStyle name="Normal 7 3 2 2" xfId="5173"/>
    <cellStyle name="Normal 7 3 3 2" xfId="5174"/>
    <cellStyle name="Normal 7 3 4 2" xfId="5175"/>
    <cellStyle name="Normal 7 3 5 2" xfId="5176"/>
    <cellStyle name="Normal 7 4 2" xfId="5177"/>
    <cellStyle name="Normal 7 5 2" xfId="5178"/>
    <cellStyle name="Normal 7 6 2" xfId="5179"/>
    <cellStyle name="Normal 7 7 2" xfId="5180"/>
    <cellStyle name="Normal 7 8 2" xfId="5181"/>
    <cellStyle name="Normal 7 9 2" xfId="5182"/>
    <cellStyle name="Normal 8 25 2" xfId="5183"/>
    <cellStyle name="Normal 8 10 2" xfId="5184"/>
    <cellStyle name="Normal 8 11 2" xfId="5185"/>
    <cellStyle name="Normal 8 12 2" xfId="5186"/>
    <cellStyle name="Normal 8 13 2" xfId="5187"/>
    <cellStyle name="Normal 8 14 2" xfId="5188"/>
    <cellStyle name="Normal 8 15 2" xfId="5189"/>
    <cellStyle name="Normal 8 16 2" xfId="5190"/>
    <cellStyle name="Normal 8 17 2" xfId="5191"/>
    <cellStyle name="Normal 8 18 2" xfId="5192"/>
    <cellStyle name="Normal 8 19 2" xfId="5193"/>
    <cellStyle name="Normal 8 2 6 2" xfId="5194"/>
    <cellStyle name="Normal 8 2 2 2 2" xfId="5195"/>
    <cellStyle name="Normal 8 2 3 2" xfId="5196"/>
    <cellStyle name="Normal 8 2 4 2" xfId="5197"/>
    <cellStyle name="Normal 8 2 5 2" xfId="5198"/>
    <cellStyle name="Normal 8 20 2" xfId="5199"/>
    <cellStyle name="Normal 8 22 2" xfId="5200"/>
    <cellStyle name="Normal 8 3 6 2" xfId="5201"/>
    <cellStyle name="Normal 8 3 2 2" xfId="5202"/>
    <cellStyle name="Normal 8 3 3 2" xfId="5203"/>
    <cellStyle name="Normal 8 3 4 2" xfId="5204"/>
    <cellStyle name="Normal 8 3 5 2" xfId="5205"/>
    <cellStyle name="Normal 8 4 2" xfId="5206"/>
    <cellStyle name="Normal 8 5 2" xfId="5207"/>
    <cellStyle name="Normal 8 6 2" xfId="5208"/>
    <cellStyle name="Normal 8 7 2" xfId="5209"/>
    <cellStyle name="Normal 8 8 2" xfId="5210"/>
    <cellStyle name="Normal 8 9 2" xfId="5211"/>
    <cellStyle name="Normal 9 25 2" xfId="5212"/>
    <cellStyle name="Normal 9 10 2" xfId="5213"/>
    <cellStyle name="Normal 9 11 2" xfId="5214"/>
    <cellStyle name="Normal 9 12 2" xfId="5215"/>
    <cellStyle name="Normal 9 13 2" xfId="5216"/>
    <cellStyle name="Normal 9 14 2" xfId="5217"/>
    <cellStyle name="Normal 9 15 2" xfId="5218"/>
    <cellStyle name="Normal 9 16 2" xfId="5219"/>
    <cellStyle name="Normal 9 17 2" xfId="5220"/>
    <cellStyle name="Normal 9 18 2" xfId="5221"/>
    <cellStyle name="Normal 9 19 2" xfId="5222"/>
    <cellStyle name="Normal 9 2 6" xfId="5223"/>
    <cellStyle name="Normal 9 2 2 2" xfId="5224"/>
    <cellStyle name="Normal 9 2 3 2" xfId="5225"/>
    <cellStyle name="Normal 9 2 4 2" xfId="5226"/>
    <cellStyle name="Normal 9 2 5 2" xfId="5227"/>
    <cellStyle name="Normal 9 20 2" xfId="5228"/>
    <cellStyle name="Normal 9 22 2" xfId="5229"/>
    <cellStyle name="Normal 9 3 6" xfId="5230"/>
    <cellStyle name="Normal 9 3 2 2" xfId="5231"/>
    <cellStyle name="Normal 9 3 3 2" xfId="5232"/>
    <cellStyle name="Normal 9 3 4 2" xfId="5233"/>
    <cellStyle name="Normal 9 3 5 2" xfId="5234"/>
    <cellStyle name="Normal 9 4 2" xfId="5235"/>
    <cellStyle name="Normal 9 5 2" xfId="5236"/>
    <cellStyle name="Normal 9 6 2" xfId="5237"/>
    <cellStyle name="Normal 9 7 2" xfId="5238"/>
    <cellStyle name="Normal 9 8 2" xfId="5239"/>
    <cellStyle name="Normal 9 9 2" xfId="5240"/>
    <cellStyle name="Note 2 2 6" xfId="5241"/>
    <cellStyle name="Note 3 2" xfId="5242"/>
    <cellStyle name="Note 4 2" xfId="5243"/>
    <cellStyle name="Note 7 2" xfId="5244"/>
    <cellStyle name="Percent 120 2" xfId="5245"/>
    <cellStyle name="Percent 121 2" xfId="5246"/>
    <cellStyle name="Percent 122 2" xfId="5247"/>
    <cellStyle name="Percent 123 2" xfId="5248"/>
    <cellStyle name="Percent 124 2" xfId="5249"/>
    <cellStyle name="Percent 125 2" xfId="5250"/>
    <cellStyle name="Percent 126 2" xfId="5251"/>
    <cellStyle name="Percent 127 2" xfId="5252"/>
    <cellStyle name="Percent 128 2" xfId="5253"/>
    <cellStyle name="Percent 129 2" xfId="5254"/>
    <cellStyle name="Percent 130 2" xfId="5255"/>
    <cellStyle name="Percent 159 2" xfId="5256"/>
    <cellStyle name="Percent 2 22 2" xfId="5257"/>
    <cellStyle name="Percent 25 2 3" xfId="5258"/>
    <cellStyle name="Percent 25 2 2 2" xfId="5259"/>
    <cellStyle name="Percent 25 3 3" xfId="5260"/>
    <cellStyle name="Percent 25 3 2 2" xfId="5261"/>
    <cellStyle name="Percent 25 4 2 2" xfId="5262"/>
    <cellStyle name="Percent 25 5 2" xfId="5263"/>
    <cellStyle name="Percent 26 2 3" xfId="5264"/>
    <cellStyle name="Percent 26 2 2 2" xfId="5265"/>
    <cellStyle name="Percent 26 3 3" xfId="5266"/>
    <cellStyle name="Percent 26 3 2 2" xfId="5267"/>
    <cellStyle name="Percent 26 4 2 2" xfId="5268"/>
    <cellStyle name="Percent 26 5 2" xfId="5269"/>
    <cellStyle name="Percent 27 2 3" xfId="5270"/>
    <cellStyle name="Percent 27 2 2 2" xfId="5271"/>
    <cellStyle name="Percent 27 3 3" xfId="5272"/>
    <cellStyle name="Percent 27 3 2 2" xfId="5273"/>
    <cellStyle name="Percent 27 4 2 2" xfId="5274"/>
    <cellStyle name="Percent 27 5 2" xfId="5275"/>
    <cellStyle name="Percent 28 2 3" xfId="5276"/>
    <cellStyle name="Percent 28 2 2 2" xfId="5277"/>
    <cellStyle name="Percent 28 3 3" xfId="5278"/>
    <cellStyle name="Percent 28 3 2 2" xfId="5279"/>
    <cellStyle name="Percent 28 4 2 2" xfId="5280"/>
    <cellStyle name="Percent 28 5 2" xfId="5281"/>
    <cellStyle name="Percent 29 2 3" xfId="5282"/>
    <cellStyle name="Percent 29 2 2 2" xfId="5283"/>
    <cellStyle name="Percent 29 3 3" xfId="5284"/>
    <cellStyle name="Percent 29 3 2 2" xfId="5285"/>
    <cellStyle name="Percent 29 4 2 2" xfId="5286"/>
    <cellStyle name="Percent 29 5 2" xfId="5287"/>
    <cellStyle name="Percent 3 10 2" xfId="5288"/>
    <cellStyle name="Percent 3 11 2" xfId="5289"/>
    <cellStyle name="Percent 3 12 2" xfId="5290"/>
    <cellStyle name="Percent 3 13 2" xfId="5291"/>
    <cellStyle name="Percent 3 14 2" xfId="5292"/>
    <cellStyle name="Percent 3 15 2" xfId="5293"/>
    <cellStyle name="Percent 3 16 2" xfId="5294"/>
    <cellStyle name="Percent 3 17 2" xfId="5295"/>
    <cellStyle name="Percent 3 18 2" xfId="5296"/>
    <cellStyle name="Percent 3 19 2" xfId="5297"/>
    <cellStyle name="Percent 3 2 23" xfId="5298"/>
    <cellStyle name="Percent 3 2 10 2" xfId="5299"/>
    <cellStyle name="Percent 3 2 11 2" xfId="5300"/>
    <cellStyle name="Percent 3 2 12 2" xfId="5301"/>
    <cellStyle name="Percent 3 2 13 2" xfId="5302"/>
    <cellStyle name="Percent 3 2 14 2" xfId="5303"/>
    <cellStyle name="Percent 3 2 15 2" xfId="5304"/>
    <cellStyle name="Percent 3 2 16 2" xfId="5305"/>
    <cellStyle name="Percent 3 2 17 2" xfId="5306"/>
    <cellStyle name="Percent 3 2 18 2" xfId="5307"/>
    <cellStyle name="Percent 3 2 19 2" xfId="5308"/>
    <cellStyle name="Percent 3 2 2 2 2" xfId="5309"/>
    <cellStyle name="Percent 3 2 2 3 2" xfId="5310"/>
    <cellStyle name="Percent 3 2 2 4 2" xfId="5311"/>
    <cellStyle name="Percent 3 2 2 5 2" xfId="5312"/>
    <cellStyle name="Percent 3 2 20 2" xfId="5313"/>
    <cellStyle name="Percent 3 2 21 2 2" xfId="5314"/>
    <cellStyle name="Percent 3 2 3 6" xfId="5315"/>
    <cellStyle name="Percent 3 2 3 2 2" xfId="5316"/>
    <cellStyle name="Percent 3 2 3 3 2" xfId="5317"/>
    <cellStyle name="Percent 3 2 3 4 2" xfId="5318"/>
    <cellStyle name="Percent 3 2 3 5 2" xfId="5319"/>
    <cellStyle name="Percent 3 2 4 3" xfId="5320"/>
    <cellStyle name="Percent 3 2 4 2 2" xfId="5321"/>
    <cellStyle name="Percent 3 2 5 3" xfId="5322"/>
    <cellStyle name="Percent 3 2 5 2 2" xfId="5323"/>
    <cellStyle name="Percent 3 2 6 3" xfId="5324"/>
    <cellStyle name="Percent 3 2 6 2 2" xfId="5325"/>
    <cellStyle name="Percent 3 2 7 2" xfId="5326"/>
    <cellStyle name="Percent 3 2 8 2" xfId="5327"/>
    <cellStyle name="Percent 3 2 9 2" xfId="5328"/>
    <cellStyle name="Percent 3 20 2" xfId="5329"/>
    <cellStyle name="Percent 3 21 2" xfId="5330"/>
    <cellStyle name="Percent 3 3 2 2" xfId="5331"/>
    <cellStyle name="Percent 3 3 3 2" xfId="5332"/>
    <cellStyle name="Percent 3 3 4 2" xfId="5333"/>
    <cellStyle name="Percent 3 3 5 2" xfId="5334"/>
    <cellStyle name="Percent 3 4 6" xfId="5335"/>
    <cellStyle name="Percent 3 4 2 2" xfId="5336"/>
    <cellStyle name="Percent 3 4 3 2" xfId="5337"/>
    <cellStyle name="Percent 3 4 4 2" xfId="5338"/>
    <cellStyle name="Percent 3 4 5 2" xfId="5339"/>
    <cellStyle name="Percent 3 5 3" xfId="5340"/>
    <cellStyle name="Percent 3 5 2 2" xfId="5341"/>
    <cellStyle name="Percent 3 6 3" xfId="5342"/>
    <cellStyle name="Percent 3 6 2 2" xfId="5343"/>
    <cellStyle name="Percent 3 7 3" xfId="5344"/>
    <cellStyle name="Percent 3 7 2 2" xfId="5345"/>
    <cellStyle name="Percent 3 8 2" xfId="5346"/>
    <cellStyle name="Percent 3 9 2" xfId="5347"/>
    <cellStyle name="Percent 30 2 3" xfId="5348"/>
    <cellStyle name="Percent 30 2 2 2" xfId="5349"/>
    <cellStyle name="Percent 30 3 3" xfId="5350"/>
    <cellStyle name="Percent 30 3 2 2" xfId="5351"/>
    <cellStyle name="Percent 30 4 2 2" xfId="5352"/>
    <cellStyle name="Percent 30 5 2" xfId="5353"/>
    <cellStyle name="Percent 31 2 3" xfId="5354"/>
    <cellStyle name="Percent 31 2 2 2" xfId="5355"/>
    <cellStyle name="Percent 31 3 3" xfId="5356"/>
    <cellStyle name="Percent 31 3 2 2" xfId="5357"/>
    <cellStyle name="Percent 31 4 2 2" xfId="5358"/>
    <cellStyle name="Percent 31 5 2" xfId="5359"/>
    <cellStyle name="Percent 32 2 3" xfId="5360"/>
    <cellStyle name="Percent 32 2 2 2" xfId="5361"/>
    <cellStyle name="Percent 32 3 3" xfId="5362"/>
    <cellStyle name="Percent 32 3 2 2" xfId="5363"/>
    <cellStyle name="Percent 32 4 2 2" xfId="5364"/>
    <cellStyle name="Percent 32 5 2" xfId="5365"/>
    <cellStyle name="Percent 33 2 3" xfId="5366"/>
    <cellStyle name="Percent 33 2 2 2" xfId="5367"/>
    <cellStyle name="Percent 33 3 3" xfId="5368"/>
    <cellStyle name="Percent 33 3 2 2" xfId="5369"/>
    <cellStyle name="Percent 33 4 2 2" xfId="5370"/>
    <cellStyle name="Percent 33 5 2" xfId="5371"/>
    <cellStyle name="Percent 34 2 3" xfId="5372"/>
    <cellStyle name="Percent 34 2 2 2" xfId="5373"/>
    <cellStyle name="Percent 34 3 3" xfId="5374"/>
    <cellStyle name="Percent 34 3 2 2" xfId="5375"/>
    <cellStyle name="Percent 34 4 2 2" xfId="5376"/>
    <cellStyle name="Percent 34 5 2" xfId="5377"/>
    <cellStyle name="Percent 35 2 3" xfId="5378"/>
    <cellStyle name="Percent 35 2 2 2" xfId="5379"/>
    <cellStyle name="Percent 35 3 3" xfId="5380"/>
    <cellStyle name="Percent 35 3 2 2" xfId="5381"/>
    <cellStyle name="Percent 35 4 2 2" xfId="5382"/>
    <cellStyle name="Percent 35 5 2" xfId="5383"/>
    <cellStyle name="Currency 5 4 2" xfId="5384"/>
    <cellStyle name="Comma 5 7 2 6" xfId="5385"/>
    <cellStyle name="Percent 5 4 2 6" xfId="5386"/>
    <cellStyle name="Comma 6 5 2" xfId="5387"/>
    <cellStyle name="Currency 5 2 4 2" xfId="5388"/>
    <cellStyle name="Comma 5 2 4 2" xfId="5389"/>
    <cellStyle name="Percent 5 2 4 2" xfId="5390"/>
    <cellStyle name="Comma 6 2 3 2" xfId="5391"/>
    <cellStyle name="Currency 5 3 2 2" xfId="5392"/>
    <cellStyle name="Comma 5 3 2 2" xfId="5393"/>
    <cellStyle name="Percent 5 3 2 2" xfId="5394"/>
    <cellStyle name="Comma 6 3 4 2" xfId="5395"/>
    <cellStyle name="Normal 11 2 2 2" xfId="5396"/>
    <cellStyle name="Currency 5 2 2 2 2" xfId="5397"/>
    <cellStyle name="Comma 5 2 2 2 2" xfId="5398"/>
    <cellStyle name="Percent 5 2 2 2 2" xfId="5399"/>
    <cellStyle name="Comma 6 2 2 2 2" xfId="5400"/>
    <cellStyle name="Percent 164" xfId="5401"/>
    <cellStyle name="Currency 163" xfId="5402"/>
    <cellStyle name="Comma 188" xfId="5403"/>
    <cellStyle name="Comma 192" xfId="5404"/>
    <cellStyle name="Output 6 4" xfId="5405"/>
    <cellStyle name="Calculation 6 5" xfId="5406"/>
    <cellStyle name="Currency 168" xfId="5407"/>
    <cellStyle name="Percent 174" xfId="5408"/>
    <cellStyle name="Percent 166" xfId="5409"/>
    <cellStyle name="Currency 165" xfId="5410"/>
    <cellStyle name="Comma 190" xfId="5411"/>
    <cellStyle name="Calculation 6 2" xfId="5412"/>
    <cellStyle name="Comma 194" xfId="5413"/>
    <cellStyle name="Note 6 5" xfId="5414"/>
    <cellStyle name="Percent 172" xfId="5415"/>
    <cellStyle name="Total 6 5" xfId="5416"/>
    <cellStyle name="Comma 201" xfId="5417"/>
    <cellStyle name="Percent 176" xfId="5418"/>
    <cellStyle name="Currency 170" xfId="5419"/>
    <cellStyle name="Percent 168" xfId="5420"/>
    <cellStyle name="Currency 167" xfId="5421"/>
    <cellStyle name="Total 6 4" xfId="5422"/>
    <cellStyle name="Percent 170" xfId="5423"/>
    <cellStyle name="Currency 173" xfId="5424"/>
    <cellStyle name="Calculation 6 4" xfId="5425"/>
    <cellStyle name="Comma 196" xfId="5426"/>
    <cellStyle name="Currency 176" xfId="5427"/>
    <cellStyle name="Comma 198" xfId="5428"/>
    <cellStyle name="Comma 202" xfId="5429"/>
    <cellStyle name="Currency 178" xfId="5430"/>
    <cellStyle name="Currency 175" xfId="5431"/>
    <cellStyle name="Percent 178" xfId="5432"/>
    <cellStyle name="Input 5 5" xfId="5433"/>
    <cellStyle name="Input 5 3" xfId="5434"/>
    <cellStyle name="Input 5 2" xfId="5435"/>
    <cellStyle name="Note 6 4" xfId="5436"/>
    <cellStyle name="Total 5 5" xfId="5437"/>
    <cellStyle name="Comma 203" xfId="5438"/>
    <cellStyle name="Comma 199" xfId="5439"/>
    <cellStyle name="Percent 175" xfId="5440"/>
    <cellStyle name="Note 6 3" xfId="5441"/>
    <cellStyle name="Output 6 3" xfId="5442"/>
    <cellStyle name="Currency 177" xfId="5443"/>
    <cellStyle name="Total 5 4" xfId="5444"/>
    <cellStyle name="Comma 197" xfId="5445"/>
    <cellStyle name="Currency 174" xfId="5446"/>
    <cellStyle name="Total 6 3" xfId="5447"/>
    <cellStyle name="Percent 171" xfId="5448"/>
    <cellStyle name="Comma 200" xfId="5449"/>
    <cellStyle name="Currency 172" xfId="5450"/>
    <cellStyle name="Percent 169" xfId="5451"/>
    <cellStyle name="Note 6 2" xfId="5452"/>
    <cellStyle name="Output 6 2" xfId="5453"/>
    <cellStyle name="Calculation 6 3" xfId="5454"/>
    <cellStyle name="Percent 179" xfId="5455"/>
    <cellStyle name="Output 6 5" xfId="5456"/>
    <cellStyle name="Total 5 3" xfId="5457"/>
    <cellStyle name="Comma 195" xfId="5458"/>
    <cellStyle name="Currency 171" xfId="5459"/>
    <cellStyle name="Comma 191" xfId="5460"/>
    <cellStyle name="Currency 166" xfId="5461"/>
    <cellStyle name="Percent 167" xfId="5462"/>
    <cellStyle name="Currency 169" xfId="5463"/>
    <cellStyle name="Percent 177" xfId="5464"/>
    <cellStyle name="Percent 173" xfId="5465"/>
    <cellStyle name="Comma 193" xfId="5466"/>
    <cellStyle name="Total 5 2" xfId="5467"/>
    <cellStyle name="Total 6 2" xfId="5468"/>
    <cellStyle name="Comma 189" xfId="5469"/>
    <cellStyle name="Currency 164" xfId="5470"/>
    <cellStyle name="Percent 165" xfId="5471"/>
    <cellStyle name="Input 5 4" xfId="5472"/>
    <cellStyle name="Normal 52" xfId="5473"/>
    <cellStyle name="Comma 205" xfId="5474"/>
    <cellStyle name="Normal 2 25" xfId="5475"/>
    <cellStyle name="Comma 206" xfId="5476"/>
    <cellStyle name="Currency 5 7" xfId="5477"/>
    <cellStyle name="Normal 8 27" xfId="5478"/>
    <cellStyle name="Comma 5 10 5" xfId="5479"/>
    <cellStyle name="Percent 5 7 5" xfId="5480"/>
    <cellStyle name="Comma 6 8" xfId="5481"/>
    <cellStyle name="Normal 11 6" xfId="5482"/>
    <cellStyle name="Currency 5 2 7" xfId="5483"/>
    <cellStyle name="Normal 8 2 8" xfId="5484"/>
    <cellStyle name="Comma 5 2 7" xfId="5485"/>
    <cellStyle name="Percent 5 2 7" xfId="5486"/>
    <cellStyle name="Comma 6 2 6" xfId="5487"/>
    <cellStyle name="Total 5 6" xfId="5488"/>
    <cellStyle name="Currency 5 3 5" xfId="5489"/>
    <cellStyle name="Normal 8 3 8" xfId="5490"/>
    <cellStyle name="Comma 5 3 5" xfId="5491"/>
    <cellStyle name="Percent 5 3 5" xfId="5492"/>
    <cellStyle name="Comma 6 3 7" xfId="5493"/>
    <cellStyle name="Normal 11 2 5" xfId="5494"/>
    <cellStyle name="Currency 5 2 2 5" xfId="5495"/>
    <cellStyle name="Normal 8 2 2 4" xfId="5496"/>
    <cellStyle name="Comma 5 2 2 5" xfId="5497"/>
    <cellStyle name="Percent 5 2 2 5" xfId="5498"/>
    <cellStyle name="Comma 6 2 2 4" xfId="5499"/>
    <cellStyle name="Normal 50 3" xfId="5500"/>
    <cellStyle name="Comma 186 3" xfId="5501"/>
    <cellStyle name="Percent 162 3" xfId="5502"/>
    <cellStyle name="Normal 2 24 3" xfId="5503"/>
    <cellStyle name="20% - Accent1 2 3" xfId="5504"/>
    <cellStyle name="20% - Accent1 3 3" xfId="5505"/>
    <cellStyle name="20% - Accent1 4 3" xfId="5506"/>
    <cellStyle name="20% - Accent1 5 3" xfId="5507"/>
    <cellStyle name="20% - Accent2 2 3" xfId="5508"/>
    <cellStyle name="20% - Accent2 3 3" xfId="5509"/>
    <cellStyle name="20% - Accent2 4 3" xfId="5510"/>
    <cellStyle name="20% - Accent2 5 3" xfId="5511"/>
    <cellStyle name="20% - Accent3 2 3" xfId="5512"/>
    <cellStyle name="20% - Accent3 3 3" xfId="5513"/>
    <cellStyle name="20% - Accent3 4 3" xfId="5514"/>
    <cellStyle name="20% - Accent3 5 3" xfId="5515"/>
    <cellStyle name="20% - Accent4 2 3" xfId="5516"/>
    <cellStyle name="20% - Accent4 3 3" xfId="5517"/>
    <cellStyle name="20% - Accent4 4 3" xfId="5518"/>
    <cellStyle name="20% - Accent4 5 3" xfId="5519"/>
    <cellStyle name="20% - Accent5 2 3" xfId="5520"/>
    <cellStyle name="20% - Accent5 3 3" xfId="5521"/>
    <cellStyle name="20% - Accent5 4 3" xfId="5522"/>
    <cellStyle name="20% - Accent6 2 3" xfId="5523"/>
    <cellStyle name="20% - Accent6 3 3" xfId="5524"/>
    <cellStyle name="20% - Accent6 4 3" xfId="5525"/>
    <cellStyle name="40% - Accent1 2 3" xfId="5526"/>
    <cellStyle name="40% - Accent1 3 3" xfId="5527"/>
    <cellStyle name="40% - Accent1 4 3" xfId="5528"/>
    <cellStyle name="40% - Accent1 5 3" xfId="5529"/>
    <cellStyle name="40% - Accent2 2 3" xfId="5530"/>
    <cellStyle name="40% - Accent2 3 3" xfId="5531"/>
    <cellStyle name="40% - Accent2 4 3" xfId="5532"/>
    <cellStyle name="40% - Accent3 2 3" xfId="5533"/>
    <cellStyle name="40% - Accent3 3 3" xfId="5534"/>
    <cellStyle name="40% - Accent3 4 3" xfId="5535"/>
    <cellStyle name="40% - Accent3 5 3" xfId="5536"/>
    <cellStyle name="40% - Accent4 2 3" xfId="5537"/>
    <cellStyle name="40% - Accent4 3 3" xfId="5538"/>
    <cellStyle name="40% - Accent4 4 3" xfId="5539"/>
    <cellStyle name="40% - Accent4 5 3" xfId="5540"/>
    <cellStyle name="40% - Accent5 2 3" xfId="5541"/>
    <cellStyle name="40% - Accent5 3 3" xfId="5542"/>
    <cellStyle name="40% - Accent5 4 3" xfId="5543"/>
    <cellStyle name="40% - Accent6 2 3" xfId="5544"/>
    <cellStyle name="40% - Accent6 3 3" xfId="5545"/>
    <cellStyle name="40% - Accent6 4 3" xfId="5546"/>
    <cellStyle name="40% - Accent6 5 3" xfId="5547"/>
    <cellStyle name="Comma 143 3" xfId="5548"/>
    <cellStyle name="Comma 144 3" xfId="5549"/>
    <cellStyle name="Comma 145 3" xfId="5550"/>
    <cellStyle name="Comma 146 3" xfId="5551"/>
    <cellStyle name="Comma 147 3" xfId="5552"/>
    <cellStyle name="Comma 148 3" xfId="5553"/>
    <cellStyle name="Comma 149 3" xfId="5554"/>
    <cellStyle name="Comma 150 3" xfId="5555"/>
    <cellStyle name="Comma 151 3" xfId="5556"/>
    <cellStyle name="Comma 152 3" xfId="5557"/>
    <cellStyle name="Comma 153 3" xfId="5558"/>
    <cellStyle name="Comma 182 3" xfId="5559"/>
    <cellStyle name="Comma 2 23 3" xfId="5560"/>
    <cellStyle name="Comma 2 2 10 3" xfId="5561"/>
    <cellStyle name="Comma 2 2 11 3" xfId="5562"/>
    <cellStyle name="Comma 2 2 12 3" xfId="5563"/>
    <cellStyle name="Comma 2 2 13 3" xfId="5564"/>
    <cellStyle name="Comma 2 2 14 3" xfId="5565"/>
    <cellStyle name="Comma 2 2 15 3" xfId="5566"/>
    <cellStyle name="Comma 2 2 16 3" xfId="5567"/>
    <cellStyle name="Comma 2 2 17 3" xfId="5568"/>
    <cellStyle name="Comma 2 2 2 2 7" xfId="5569"/>
    <cellStyle name="Comma 2 2 2 2 2 3" xfId="5570"/>
    <cellStyle name="Comma 2 2 2 2 3 3" xfId="5571"/>
    <cellStyle name="Comma 2 2 2 2 4 3" xfId="5572"/>
    <cellStyle name="Comma 2 2 2 2 5 3" xfId="5573"/>
    <cellStyle name="Comma 2 2 2 3 3" xfId="5574"/>
    <cellStyle name="Comma 2 2 2 4 3" xfId="5575"/>
    <cellStyle name="Comma 2 2 2 5 3" xfId="5576"/>
    <cellStyle name="Comma 2 2 2 6 3" xfId="5577"/>
    <cellStyle name="Comma 2 2 3 7" xfId="5578"/>
    <cellStyle name="Comma 2 2 3 2 2 3" xfId="5579"/>
    <cellStyle name="Comma 2 2 3 2 3 3" xfId="5580"/>
    <cellStyle name="Comma 2 2 3 2 4 3" xfId="5581"/>
    <cellStyle name="Comma 2 2 3 2 5 3" xfId="5582"/>
    <cellStyle name="Comma 2 2 3 3 3" xfId="5583"/>
    <cellStyle name="Comma 2 2 4 2 3" xfId="5584"/>
    <cellStyle name="Comma 2 2 5 3" xfId="5585"/>
    <cellStyle name="Comma 2 2 6 3" xfId="5586"/>
    <cellStyle name="Comma 2 2 7 3" xfId="5587"/>
    <cellStyle name="Comma 2 2 8 3" xfId="5588"/>
    <cellStyle name="Comma 2 2 9 3" xfId="5589"/>
    <cellStyle name="Comma 3 10 3" xfId="5590"/>
    <cellStyle name="Comma 3 11 3" xfId="5591"/>
    <cellStyle name="Comma 3 12 3" xfId="5592"/>
    <cellStyle name="Comma 3 13 3" xfId="5593"/>
    <cellStyle name="Comma 3 14 3" xfId="5594"/>
    <cellStyle name="Comma 3 15 3" xfId="5595"/>
    <cellStyle name="Comma 3 16 3" xfId="5596"/>
    <cellStyle name="Comma 3 17 3" xfId="5597"/>
    <cellStyle name="Comma 3 18 3" xfId="5598"/>
    <cellStyle name="Comma 3 19 3" xfId="5599"/>
    <cellStyle name="Comma 3 2 2 3" xfId="5600"/>
    <cellStyle name="Comma 3 2 3 3" xfId="5601"/>
    <cellStyle name="Comma 3 2 4 3" xfId="5602"/>
    <cellStyle name="Comma 3 2 5 3" xfId="5603"/>
    <cellStyle name="Comma 3 20 3" xfId="5604"/>
    <cellStyle name="Comma 3 21 3" xfId="5605"/>
    <cellStyle name="Comma 3 3 7" xfId="5606"/>
    <cellStyle name="Comma 3 3 2 3" xfId="5607"/>
    <cellStyle name="Comma 3 3 3 3" xfId="5608"/>
    <cellStyle name="Comma 3 3 4 3" xfId="5609"/>
    <cellStyle name="Comma 3 3 5 3" xfId="5610"/>
    <cellStyle name="Comma 3 4 4" xfId="5611"/>
    <cellStyle name="Comma 3 4 2 3" xfId="5612"/>
    <cellStyle name="Comma 3 5 4" xfId="5613"/>
    <cellStyle name="Comma 3 5 2 3" xfId="5614"/>
    <cellStyle name="Comma 3 6 4" xfId="5615"/>
    <cellStyle name="Comma 3 6 2 3" xfId="5616"/>
    <cellStyle name="Comma 3 7 3" xfId="5617"/>
    <cellStyle name="Comma 3 8 3" xfId="5618"/>
    <cellStyle name="Comma 3 9 3" xfId="5619"/>
    <cellStyle name="Note 6 6" xfId="5620"/>
    <cellStyle name="Output 6 6" xfId="5621"/>
    <cellStyle name="Currency 120 3" xfId="5622"/>
    <cellStyle name="Currency 121 3" xfId="5623"/>
    <cellStyle name="Currency 122 3" xfId="5624"/>
    <cellStyle name="Currency 123 3" xfId="5625"/>
    <cellStyle name="Currency 124 3" xfId="5626"/>
    <cellStyle name="Currency 125 3" xfId="5627"/>
    <cellStyle name="Currency 126 3" xfId="5628"/>
    <cellStyle name="Currency 127 3" xfId="5629"/>
    <cellStyle name="Currency 128 3" xfId="5630"/>
    <cellStyle name="Currency 129 3" xfId="5631"/>
    <cellStyle name="Currency 130 3" xfId="5632"/>
    <cellStyle name="Currency 159 3" xfId="5633"/>
    <cellStyle name="Currency 2 27 3" xfId="5634"/>
    <cellStyle name="Currency 2 2 20 3" xfId="5635"/>
    <cellStyle name="Currency 2 2 10 3" xfId="5636"/>
    <cellStyle name="Currency 2 2 11 3" xfId="5637"/>
    <cellStyle name="Currency 2 2 12 3" xfId="5638"/>
    <cellStyle name="Currency 2 2 13 3" xfId="5639"/>
    <cellStyle name="Currency 2 2 14 3" xfId="5640"/>
    <cellStyle name="Currency 2 2 15 3" xfId="5641"/>
    <cellStyle name="Currency 2 2 16 3" xfId="5642"/>
    <cellStyle name="Currency 2 2 17 3" xfId="5643"/>
    <cellStyle name="Currency 2 2 18 3" xfId="5644"/>
    <cellStyle name="Currency 2 2 2 2 3" xfId="5645"/>
    <cellStyle name="Currency 2 2 2 3 3" xfId="5646"/>
    <cellStyle name="Currency 2 2 2 4 3" xfId="5647"/>
    <cellStyle name="Currency 2 2 2 5 3" xfId="5648"/>
    <cellStyle name="Currency 2 2 3 7" xfId="5649"/>
    <cellStyle name="Currency 2 2 3 2 3" xfId="5650"/>
    <cellStyle name="Currency 2 2 3 3 3" xfId="5651"/>
    <cellStyle name="Currency 2 2 3 4 3" xfId="5652"/>
    <cellStyle name="Currency 2 2 3 5 3" xfId="5653"/>
    <cellStyle name="Currency 2 2 4 3" xfId="5654"/>
    <cellStyle name="Currency 2 2 5 3" xfId="5655"/>
    <cellStyle name="Currency 2 2 6 3" xfId="5656"/>
    <cellStyle name="Currency 2 2 7 3" xfId="5657"/>
    <cellStyle name="Currency 2 2 8 3" xfId="5658"/>
    <cellStyle name="Currency 2 2 9 3" xfId="5659"/>
    <cellStyle name="Currency 3 10 3" xfId="5660"/>
    <cellStyle name="Currency 3 11 3" xfId="5661"/>
    <cellStyle name="Currency 3 12 3" xfId="5662"/>
    <cellStyle name="Currency 3 13 3" xfId="5663"/>
    <cellStyle name="Currency 3 14 3" xfId="5664"/>
    <cellStyle name="Currency 3 15 3" xfId="5665"/>
    <cellStyle name="Currency 3 16 3" xfId="5666"/>
    <cellStyle name="Currency 3 17 3" xfId="5667"/>
    <cellStyle name="Currency 3 18 3" xfId="5668"/>
    <cellStyle name="Currency 3 19 3" xfId="5669"/>
    <cellStyle name="Currency 3 2 2 3" xfId="5670"/>
    <cellStyle name="Currency 3 2 3 3" xfId="5671"/>
    <cellStyle name="Currency 3 2 4 3" xfId="5672"/>
    <cellStyle name="Currency 3 2 5 3" xfId="5673"/>
    <cellStyle name="Currency 3 20 3" xfId="5674"/>
    <cellStyle name="Currency 3 21 3" xfId="5675"/>
    <cellStyle name="Currency 3 3 9" xfId="5676"/>
    <cellStyle name="Currency 3 3 2 3" xfId="5677"/>
    <cellStyle name="Currency 3 3 3 3" xfId="5678"/>
    <cellStyle name="Currency 3 3 4 3" xfId="5679"/>
    <cellStyle name="Currency 3 3 5 3" xfId="5680"/>
    <cellStyle name="Currency 3 3 6 3" xfId="5681"/>
    <cellStyle name="Currency 3 4 4" xfId="5682"/>
    <cellStyle name="Currency 3 4 2 3" xfId="5683"/>
    <cellStyle name="Currency 3 5 4" xfId="5684"/>
    <cellStyle name="Currency 3 5 2 3" xfId="5685"/>
    <cellStyle name="Currency 3 6 4" xfId="5686"/>
    <cellStyle name="Currency 3 6 2 3" xfId="5687"/>
    <cellStyle name="Currency 3 7 3" xfId="5688"/>
    <cellStyle name="Currency 3 8 3" xfId="5689"/>
    <cellStyle name="Currency 3 9 3" xfId="5690"/>
    <cellStyle name="Total 6 6" xfId="5691"/>
    <cellStyle name="Normal 10 3 7" xfId="5692"/>
    <cellStyle name="Normal 10 3 2 6" xfId="5693"/>
    <cellStyle name="Normal 10 3 2 2 4" xfId="5694"/>
    <cellStyle name="Normal 10 3 2 2 2 3" xfId="5695"/>
    <cellStyle name="Normal 10 3 2 3 4" xfId="5696"/>
    <cellStyle name="Normal 10 3 2 3 2 3" xfId="5697"/>
    <cellStyle name="Normal 10 3 2 4 3" xfId="5698"/>
    <cellStyle name="Normal 10 3 3 4" xfId="5699"/>
    <cellStyle name="Normal 10 3 3 2 3" xfId="5700"/>
    <cellStyle name="Normal 10 3 4 4" xfId="5701"/>
    <cellStyle name="Normal 10 3 4 2 3" xfId="5702"/>
    <cellStyle name="Normal 10 3 5 3" xfId="5703"/>
    <cellStyle name="Normal 10 4 6" xfId="5704"/>
    <cellStyle name="Normal 10 4 2 4" xfId="5705"/>
    <cellStyle name="Normal 10 4 2 2 3" xfId="5706"/>
    <cellStyle name="Normal 10 4 3 4" xfId="5707"/>
    <cellStyle name="Normal 10 4 3 2 3" xfId="5708"/>
    <cellStyle name="Normal 10 4 4 3" xfId="5709"/>
    <cellStyle name="Normal 10 5 6" xfId="5710"/>
    <cellStyle name="Normal 10 5 2 4" xfId="5711"/>
    <cellStyle name="Normal 10 5 2 2 3" xfId="5712"/>
    <cellStyle name="Normal 10 5 3 4" xfId="5713"/>
    <cellStyle name="Normal 10 5 3 2 3" xfId="5714"/>
    <cellStyle name="Normal 10 5 4 3" xfId="5715"/>
    <cellStyle name="Normal 10 6 4" xfId="5716"/>
    <cellStyle name="Normal 10 6 2 3" xfId="5717"/>
    <cellStyle name="Normal 10 7 4" xfId="5718"/>
    <cellStyle name="Normal 10 7 2 3" xfId="5719"/>
    <cellStyle name="Normal 10 8 2 3" xfId="5720"/>
    <cellStyle name="Normal 10 9 3" xfId="5721"/>
    <cellStyle name="Normal 11 4 3" xfId="5722"/>
    <cellStyle name="Normal 11 3 3" xfId="5723"/>
    <cellStyle name="Normal 12 9" xfId="5724"/>
    <cellStyle name="Normal 12 2 2 6" xfId="5725"/>
    <cellStyle name="Normal 12 2 2 2 4" xfId="5726"/>
    <cellStyle name="Normal 12 2 2 2 2 3" xfId="5727"/>
    <cellStyle name="Normal 12 2 2 3 4" xfId="5728"/>
    <cellStyle name="Normal 12 2 2 3 2 3" xfId="5729"/>
    <cellStyle name="Normal 12 2 2 4 3" xfId="5730"/>
    <cellStyle name="Normal 12 2 3 4" xfId="5731"/>
    <cellStyle name="Normal 12 2 3 2 3" xfId="5732"/>
    <cellStyle name="Normal 12 2 4 4" xfId="5733"/>
    <cellStyle name="Normal 12 2 4 2 3" xfId="5734"/>
    <cellStyle name="Normal 12 2 5 2 3" xfId="5735"/>
    <cellStyle name="Normal 12 2 6 3" xfId="5736"/>
    <cellStyle name="Normal 12 3 6" xfId="5737"/>
    <cellStyle name="Normal 12 3 2 4" xfId="5738"/>
    <cellStyle name="Normal 12 3 2 2 3" xfId="5739"/>
    <cellStyle name="Normal 12 3 3 4" xfId="5740"/>
    <cellStyle name="Normal 12 3 3 2 3" xfId="5741"/>
    <cellStyle name="Normal 12 3 4 3" xfId="5742"/>
    <cellStyle name="Normal 12 4 6" xfId="5743"/>
    <cellStyle name="Normal 12 4 2 4" xfId="5744"/>
    <cellStyle name="Normal 12 4 2 2 3" xfId="5745"/>
    <cellStyle name="Normal 12 4 3 4" xfId="5746"/>
    <cellStyle name="Normal 12 4 3 2 3" xfId="5747"/>
    <cellStyle name="Normal 12 4 4 3" xfId="5748"/>
    <cellStyle name="Normal 12 5 4" xfId="5749"/>
    <cellStyle name="Normal 12 5 2 3" xfId="5750"/>
    <cellStyle name="Normal 12 6 4" xfId="5751"/>
    <cellStyle name="Normal 12 6 2 3" xfId="5752"/>
    <cellStyle name="Normal 12 7 3" xfId="5753"/>
    <cellStyle name="Normal 15 7" xfId="5754"/>
    <cellStyle name="Normal 15 3 3" xfId="5755"/>
    <cellStyle name="Normal 16 2 6" xfId="5756"/>
    <cellStyle name="Normal 16 2 2 4" xfId="5757"/>
    <cellStyle name="Normal 16 2 2 2 3" xfId="5758"/>
    <cellStyle name="Normal 16 2 3 4" xfId="5759"/>
    <cellStyle name="Normal 16 2 3 2 3" xfId="5760"/>
    <cellStyle name="Normal 16 2 4 3" xfId="5761"/>
    <cellStyle name="Normal 16 3 4" xfId="5762"/>
    <cellStyle name="Normal 16 3 2 3" xfId="5763"/>
    <cellStyle name="Normal 16 4 4" xfId="5764"/>
    <cellStyle name="Normal 16 4 2 3" xfId="5765"/>
    <cellStyle name="Normal 16 5 2 3" xfId="5766"/>
    <cellStyle name="Normal 16 6 3" xfId="5767"/>
    <cellStyle name="Normal 17 2 6" xfId="5768"/>
    <cellStyle name="Normal 17 2 2 4" xfId="5769"/>
    <cellStyle name="Normal 17 2 2 2 3" xfId="5770"/>
    <cellStyle name="Normal 17 2 3 4" xfId="5771"/>
    <cellStyle name="Normal 17 2 3 2 3" xfId="5772"/>
    <cellStyle name="Normal 17 2 4 3" xfId="5773"/>
    <cellStyle name="Normal 17 3 4" xfId="5774"/>
    <cellStyle name="Normal 17 3 2 3" xfId="5775"/>
    <cellStyle name="Normal 17 4 4" xfId="5776"/>
    <cellStyle name="Normal 17 4 2 3" xfId="5777"/>
    <cellStyle name="Normal 17 5 2 3" xfId="5778"/>
    <cellStyle name="Normal 17 6 3" xfId="5779"/>
    <cellStyle name="Normal 2 10 3 3" xfId="5780"/>
    <cellStyle name="Normal 2 11 3 3" xfId="5781"/>
    <cellStyle name="Normal 2 12 3 3" xfId="5782"/>
    <cellStyle name="Normal 2 13 3 3" xfId="5783"/>
    <cellStyle name="Normal 2 14 3 3" xfId="5784"/>
    <cellStyle name="Normal 2 15 3 3" xfId="5785"/>
    <cellStyle name="Normal 2 16 3 3" xfId="5786"/>
    <cellStyle name="Normal 2 17 3 3" xfId="5787"/>
    <cellStyle name="Normal 2 18 3 3" xfId="5788"/>
    <cellStyle name="Normal 2 19 3 3" xfId="5789"/>
    <cellStyle name="Normal 2 2 10 3" xfId="5790"/>
    <cellStyle name="Normal 2 2 11 3" xfId="5791"/>
    <cellStyle name="Normal 2 2 12 3" xfId="5792"/>
    <cellStyle name="Normal 2 2 13 3" xfId="5793"/>
    <cellStyle name="Normal 2 2 14 3" xfId="5794"/>
    <cellStyle name="Normal 2 2 15 3" xfId="5795"/>
    <cellStyle name="Normal 2 2 16 3" xfId="5796"/>
    <cellStyle name="Normal 2 2 17 3" xfId="5797"/>
    <cellStyle name="Normal 2 2 18 3" xfId="5798"/>
    <cellStyle name="Normal 2 2 19 3" xfId="5799"/>
    <cellStyle name="Normal 2 2 2 2 7" xfId="5800"/>
    <cellStyle name="Normal 2 2 2 2 2 4" xfId="5801"/>
    <cellStyle name="Normal 2 2 2 2 2 2 3" xfId="5802"/>
    <cellStyle name="Normal 2 2 2 2 3 3" xfId="5803"/>
    <cellStyle name="Normal 2 2 2 2 4 3" xfId="5804"/>
    <cellStyle name="Normal 2 2 2 2 5 3" xfId="5805"/>
    <cellStyle name="Normal 2 2 20 3" xfId="5806"/>
    <cellStyle name="Normal 2 2 21 3" xfId="5807"/>
    <cellStyle name="Normal 2 2 22 3" xfId="5808"/>
    <cellStyle name="Normal 2 2 3 10" xfId="5809"/>
    <cellStyle name="Normal 2 2 3 2 3" xfId="5810"/>
    <cellStyle name="Normal 2 2 3 3 3" xfId="5811"/>
    <cellStyle name="Normal 2 2 3 4 3" xfId="5812"/>
    <cellStyle name="Normal 2 2 3 5 3" xfId="5813"/>
    <cellStyle name="Normal 2 2 3 6 3" xfId="5814"/>
    <cellStyle name="Normal 2 2 4 6" xfId="5815"/>
    <cellStyle name="Normal 2 2 4 2 3" xfId="5816"/>
    <cellStyle name="Normal 2 2 5 5" xfId="5817"/>
    <cellStyle name="Normal 2 2 5 2 3" xfId="5818"/>
    <cellStyle name="Normal 2 2 6 3" xfId="5819"/>
    <cellStyle name="Normal 2 2 7 3" xfId="5820"/>
    <cellStyle name="Normal 2 2 8 3" xfId="5821"/>
    <cellStyle name="Normal 2 2 9 3" xfId="5822"/>
    <cellStyle name="Normal 2 20 3" xfId="5823"/>
    <cellStyle name="Normal 2 3 2 4" xfId="5824"/>
    <cellStyle name="Normal 2 3 3 3" xfId="5825"/>
    <cellStyle name="Normal 2 3 4 3" xfId="5826"/>
    <cellStyle name="Normal 2 3 5 3" xfId="5827"/>
    <cellStyle name="Normal 2 3 6 3" xfId="5828"/>
    <cellStyle name="Normal 2 4 5 3" xfId="5829"/>
    <cellStyle name="Normal 2 4 2 3" xfId="5830"/>
    <cellStyle name="Normal 2 5 3 3" xfId="5831"/>
    <cellStyle name="Normal 2 6 3 3" xfId="5832"/>
    <cellStyle name="Normal 2 7 3 3" xfId="5833"/>
    <cellStyle name="Normal 2 8 3 3" xfId="5834"/>
    <cellStyle name="Normal 2 9 3 3" xfId="5835"/>
    <cellStyle name="Normal 21 10" xfId="5836"/>
    <cellStyle name="Normal 21 2 8" xfId="5837"/>
    <cellStyle name="Normal 21 2 2 3" xfId="5838"/>
    <cellStyle name="Normal 21 2 3 3" xfId="5839"/>
    <cellStyle name="Normal 21 2 4 3" xfId="5840"/>
    <cellStyle name="Normal 21 2 5 3" xfId="5841"/>
    <cellStyle name="Normal 21 2 6 3" xfId="5842"/>
    <cellStyle name="Normal 21 3 4" xfId="5843"/>
    <cellStyle name="Normal 21 3 2 3" xfId="5844"/>
    <cellStyle name="Normal 21 4 3" xfId="5845"/>
    <cellStyle name="Normal 21 5 3" xfId="5846"/>
    <cellStyle name="Normal 21 6 3" xfId="5847"/>
    <cellStyle name="Normal 21 8 3" xfId="5848"/>
    <cellStyle name="Normal 22 9" xfId="5849"/>
    <cellStyle name="Normal 22 2 8" xfId="5850"/>
    <cellStyle name="Normal 22 2 2 3" xfId="5851"/>
    <cellStyle name="Normal 22 2 3 3" xfId="5852"/>
    <cellStyle name="Normal 22 2 4 3" xfId="5853"/>
    <cellStyle name="Normal 22 2 5 3" xfId="5854"/>
    <cellStyle name="Normal 22 3 3" xfId="5855"/>
    <cellStyle name="Normal 22 4 3" xfId="5856"/>
    <cellStyle name="Normal 22 5 3" xfId="5857"/>
    <cellStyle name="Normal 22 6 3" xfId="5858"/>
    <cellStyle name="Normal 23 9" xfId="5859"/>
    <cellStyle name="Normal 23 2 7" xfId="5860"/>
    <cellStyle name="Normal 23 2 2 3" xfId="5861"/>
    <cellStyle name="Normal 23 2 3 3" xfId="5862"/>
    <cellStyle name="Normal 23 2 4 3" xfId="5863"/>
    <cellStyle name="Normal 23 2 5 3" xfId="5864"/>
    <cellStyle name="Normal 23 3 3" xfId="5865"/>
    <cellStyle name="Normal 23 4 3" xfId="5866"/>
    <cellStyle name="Normal 23 5 3" xfId="5867"/>
    <cellStyle name="Normal 23 6 3" xfId="5868"/>
    <cellStyle name="Normal 24 9" xfId="5869"/>
    <cellStyle name="Normal 24 2 7" xfId="5870"/>
    <cellStyle name="Normal 24 2 2 3" xfId="5871"/>
    <cellStyle name="Normal 24 2 3 3" xfId="5872"/>
    <cellStyle name="Normal 24 2 4 3" xfId="5873"/>
    <cellStyle name="Normal 24 2 5 3" xfId="5874"/>
    <cellStyle name="Normal 24 3 3" xfId="5875"/>
    <cellStyle name="Normal 24 4 3" xfId="5876"/>
    <cellStyle name="Normal 24 5 3" xfId="5877"/>
    <cellStyle name="Normal 24 6 3" xfId="5878"/>
    <cellStyle name="Normal 26 9" xfId="5879"/>
    <cellStyle name="Normal 26 2 7" xfId="5880"/>
    <cellStyle name="Normal 26 2 2 3" xfId="5881"/>
    <cellStyle name="Normal 26 2 3 3" xfId="5882"/>
    <cellStyle name="Normal 26 2 4 3" xfId="5883"/>
    <cellStyle name="Normal 26 2 5 3" xfId="5884"/>
    <cellStyle name="Normal 26 3 3" xfId="5885"/>
    <cellStyle name="Normal 26 4 3" xfId="5886"/>
    <cellStyle name="Normal 26 5 3" xfId="5887"/>
    <cellStyle name="Normal 26 6 3" xfId="5888"/>
    <cellStyle name="Normal 3 10 3" xfId="5889"/>
    <cellStyle name="Normal 3 11 3" xfId="5890"/>
    <cellStyle name="Normal 3 12 3" xfId="5891"/>
    <cellStyle name="Normal 3 13 3" xfId="5892"/>
    <cellStyle name="Normal 3 14 3" xfId="5893"/>
    <cellStyle name="Normal 3 15 3" xfId="5894"/>
    <cellStyle name="Normal 3 16 3" xfId="5895"/>
    <cellStyle name="Normal 3 17 3" xfId="5896"/>
    <cellStyle name="Normal 3 18 3" xfId="5897"/>
    <cellStyle name="Normal 3 19 3" xfId="5898"/>
    <cellStyle name="Normal 3 2 2 3" xfId="5899"/>
    <cellStyle name="Normal 3 2 3 3" xfId="5900"/>
    <cellStyle name="Normal 3 2 4 3" xfId="5901"/>
    <cellStyle name="Normal 3 2 5 3" xfId="5902"/>
    <cellStyle name="Normal 3 2 6 3" xfId="5903"/>
    <cellStyle name="Normal 3 20 3" xfId="5904"/>
    <cellStyle name="Normal 3 21 3" xfId="5905"/>
    <cellStyle name="Normal 3 22 3" xfId="5906"/>
    <cellStyle name="Normal 3 23 3" xfId="5907"/>
    <cellStyle name="Normal 3 24 3" xfId="5908"/>
    <cellStyle name="Normal 3 3 6" xfId="5909"/>
    <cellStyle name="Normal 3 3 2 3" xfId="5910"/>
    <cellStyle name="Normal 3 3 3 3" xfId="5911"/>
    <cellStyle name="Normal 3 4 4" xfId="5912"/>
    <cellStyle name="Normal 3 4 2 3" xfId="5913"/>
    <cellStyle name="Normal 3 5 4" xfId="5914"/>
    <cellStyle name="Normal 3 5 2 3" xfId="5915"/>
    <cellStyle name="Normal 3 6 3" xfId="5916"/>
    <cellStyle name="Normal 3 7 3" xfId="5917"/>
    <cellStyle name="Normal 3 8 3" xfId="5918"/>
    <cellStyle name="Normal 3 9 3" xfId="5919"/>
    <cellStyle name="Normal 4 2 10 3" xfId="5920"/>
    <cellStyle name="Normal 4 2 11 3" xfId="5921"/>
    <cellStyle name="Normal 4 2 12 3" xfId="5922"/>
    <cellStyle name="Normal 4 2 13 3" xfId="5923"/>
    <cellStyle name="Normal 4 2 14 3" xfId="5924"/>
    <cellStyle name="Normal 4 2 15 3" xfId="5925"/>
    <cellStyle name="Normal 4 2 16 3" xfId="5926"/>
    <cellStyle name="Normal 4 2 17 3" xfId="5927"/>
    <cellStyle name="Normal 4 2 18 3" xfId="5928"/>
    <cellStyle name="Normal 4 2 19 3" xfId="5929"/>
    <cellStyle name="Normal 4 2 2 7" xfId="5930"/>
    <cellStyle name="Normal 4 2 2 2 3" xfId="5931"/>
    <cellStyle name="Normal 4 2 2 3 3" xfId="5932"/>
    <cellStyle name="Normal 4 2 2 4 3" xfId="5933"/>
    <cellStyle name="Normal 4 2 2 5 3" xfId="5934"/>
    <cellStyle name="Normal 4 2 20 3" xfId="5935"/>
    <cellStyle name="Normal 4 2 21 3" xfId="5936"/>
    <cellStyle name="Normal 4 2 22 3" xfId="5937"/>
    <cellStyle name="Normal 4 2 23 3" xfId="5938"/>
    <cellStyle name="Normal 4 2 24 3" xfId="5939"/>
    <cellStyle name="Normal 4 2 3 4" xfId="5940"/>
    <cellStyle name="Normal 4 2 3 2 3" xfId="5941"/>
    <cellStyle name="Normal 4 2 4 4" xfId="5942"/>
    <cellStyle name="Normal 4 2 4 2 3" xfId="5943"/>
    <cellStyle name="Normal 4 2 5 4" xfId="5944"/>
    <cellStyle name="Normal 4 2 5 2 3" xfId="5945"/>
    <cellStyle name="Normal 4 2 6 3" xfId="5946"/>
    <cellStyle name="Normal 4 2 7 3" xfId="5947"/>
    <cellStyle name="Normal 4 2 8 3" xfId="5948"/>
    <cellStyle name="Normal 4 2 9 3" xfId="5949"/>
    <cellStyle name="Normal 4 3 8" xfId="5950"/>
    <cellStyle name="Normal 4 3 2 7" xfId="5951"/>
    <cellStyle name="Normal 4 3 2 2 6" xfId="5952"/>
    <cellStyle name="Normal 4 3 2 2 2 4" xfId="5953"/>
    <cellStyle name="Normal 4 3 2 2 2 2 3" xfId="5954"/>
    <cellStyle name="Normal 4 3 2 2 3 4" xfId="5955"/>
    <cellStyle name="Normal 4 3 2 2 3 2 3" xfId="5956"/>
    <cellStyle name="Normal 4 3 2 2 4 3" xfId="5957"/>
    <cellStyle name="Normal 4 3 2 3 4" xfId="5958"/>
    <cellStyle name="Normal 4 3 2 3 2 3" xfId="5959"/>
    <cellStyle name="Normal 4 3 2 4 4" xfId="5960"/>
    <cellStyle name="Normal 4 3 2 4 2 3" xfId="5961"/>
    <cellStyle name="Normal 4 3 2 5 3" xfId="5962"/>
    <cellStyle name="Normal 4 3 3 6" xfId="5963"/>
    <cellStyle name="Normal 4 3 3 2 4" xfId="5964"/>
    <cellStyle name="Normal 4 3 3 2 2 3" xfId="5965"/>
    <cellStyle name="Normal 4 3 3 3 4" xfId="5966"/>
    <cellStyle name="Normal 4 3 3 3 2 3" xfId="5967"/>
    <cellStyle name="Normal 4 3 3 4 3" xfId="5968"/>
    <cellStyle name="Normal 4 3 4 4" xfId="5969"/>
    <cellStyle name="Normal 4 3 4 2 3" xfId="5970"/>
    <cellStyle name="Normal 4 3 5 4" xfId="5971"/>
    <cellStyle name="Normal 4 3 5 2 3" xfId="5972"/>
    <cellStyle name="Normal 4 3 6 3" xfId="5973"/>
    <cellStyle name="Normal 4 4 5" xfId="5974"/>
    <cellStyle name="Normal 4 4 2 3" xfId="5975"/>
    <cellStyle name="Normal 4 5 3" xfId="5976"/>
    <cellStyle name="Normal 4 6 3" xfId="5977"/>
    <cellStyle name="Normal 4 7 3" xfId="5978"/>
    <cellStyle name="Normal 4 8 3" xfId="5979"/>
    <cellStyle name="Normal 41 2 3" xfId="5980"/>
    <cellStyle name="Normal 46 3" xfId="5981"/>
    <cellStyle name="Normal 5 28 3" xfId="5982"/>
    <cellStyle name="Normal 5 2 8" xfId="5983"/>
    <cellStyle name="Normal 5 2 2 2 2 3" xfId="5984"/>
    <cellStyle name="Normal 5 2 2 3 3" xfId="5985"/>
    <cellStyle name="Normal 5 2 3 2 2 3" xfId="5986"/>
    <cellStyle name="Normal 5 2 3 3 3" xfId="5987"/>
    <cellStyle name="Normal 5 2 4 2 3" xfId="5988"/>
    <cellStyle name="Normal 5 2 6 3" xfId="5989"/>
    <cellStyle name="Normal 5 24 3" xfId="5990"/>
    <cellStyle name="Normal 5 3 4" xfId="5991"/>
    <cellStyle name="Normal 5 4 4" xfId="5992"/>
    <cellStyle name="Normal 5 5 4" xfId="5993"/>
    <cellStyle name="Normal 5 6 4" xfId="5994"/>
    <cellStyle name="Normal 5 7 4" xfId="5995"/>
    <cellStyle name="Normal 7 25 3" xfId="5996"/>
    <cellStyle name="Normal 7 10 3" xfId="5997"/>
    <cellStyle name="Normal 7 11 3" xfId="5998"/>
    <cellStyle name="Normal 7 12 3" xfId="5999"/>
    <cellStyle name="Normal 7 13 3" xfId="6000"/>
    <cellStyle name="Normal 7 14 3" xfId="6001"/>
    <cellStyle name="Normal 7 15 3" xfId="6002"/>
    <cellStyle name="Normal 7 16 3" xfId="6003"/>
    <cellStyle name="Normal 7 17 3" xfId="6004"/>
    <cellStyle name="Normal 7 18 3" xfId="6005"/>
    <cellStyle name="Normal 7 19 3" xfId="6006"/>
    <cellStyle name="Normal 7 2 7" xfId="6007"/>
    <cellStyle name="Normal 7 2 2 3" xfId="6008"/>
    <cellStyle name="Normal 7 2 3 3" xfId="6009"/>
    <cellStyle name="Normal 7 2 4 3" xfId="6010"/>
    <cellStyle name="Normal 7 2 5 3" xfId="6011"/>
    <cellStyle name="Normal 7 20 3" xfId="6012"/>
    <cellStyle name="Normal 7 22 3" xfId="6013"/>
    <cellStyle name="Normal 7 3 7" xfId="6014"/>
    <cellStyle name="Normal 7 3 2 3" xfId="6015"/>
    <cellStyle name="Normal 7 3 3 3" xfId="6016"/>
    <cellStyle name="Normal 7 3 4 3" xfId="6017"/>
    <cellStyle name="Normal 7 3 5 3" xfId="6018"/>
    <cellStyle name="Normal 7 4 3" xfId="6019"/>
    <cellStyle name="Normal 7 5 3" xfId="6020"/>
    <cellStyle name="Normal 7 6 3" xfId="6021"/>
    <cellStyle name="Normal 7 7 3" xfId="6022"/>
    <cellStyle name="Normal 7 8 3" xfId="6023"/>
    <cellStyle name="Normal 7 9 3" xfId="6024"/>
    <cellStyle name="Normal 8 25 3" xfId="6025"/>
    <cellStyle name="Normal 8 10 3" xfId="6026"/>
    <cellStyle name="Normal 8 11 3" xfId="6027"/>
    <cellStyle name="Normal 8 12 3" xfId="6028"/>
    <cellStyle name="Normal 8 13 3" xfId="6029"/>
    <cellStyle name="Normal 8 14 3" xfId="6030"/>
    <cellStyle name="Normal 8 15 3" xfId="6031"/>
    <cellStyle name="Normal 8 16 3" xfId="6032"/>
    <cellStyle name="Normal 8 17 3" xfId="6033"/>
    <cellStyle name="Normal 8 18 3" xfId="6034"/>
    <cellStyle name="Normal 8 19 3" xfId="6035"/>
    <cellStyle name="Normal 8 2 6 3" xfId="6036"/>
    <cellStyle name="Normal 8 2 2 2 3" xfId="6037"/>
    <cellStyle name="Normal 8 2 3 3" xfId="6038"/>
    <cellStyle name="Normal 8 2 4 3" xfId="6039"/>
    <cellStyle name="Normal 8 2 5 3" xfId="6040"/>
    <cellStyle name="Normal 8 20 3" xfId="6041"/>
    <cellStyle name="Normal 8 22 3" xfId="6042"/>
    <cellStyle name="Normal 8 3 6 3" xfId="6043"/>
    <cellStyle name="Normal 8 3 2 3" xfId="6044"/>
    <cellStyle name="Normal 8 3 3 3" xfId="6045"/>
    <cellStyle name="Normal 8 3 4 3" xfId="6046"/>
    <cellStyle name="Normal 8 3 5 3" xfId="6047"/>
    <cellStyle name="Normal 8 4 3" xfId="6048"/>
    <cellStyle name="Normal 8 5 3" xfId="6049"/>
    <cellStyle name="Normal 8 6 3" xfId="6050"/>
    <cellStyle name="Normal 8 7 3" xfId="6051"/>
    <cellStyle name="Normal 8 8 3" xfId="6052"/>
    <cellStyle name="Normal 8 9 3" xfId="6053"/>
    <cellStyle name="Normal 9 25 3" xfId="6054"/>
    <cellStyle name="Normal 9 10 3" xfId="6055"/>
    <cellStyle name="Normal 9 11 3" xfId="6056"/>
    <cellStyle name="Normal 9 12 3" xfId="6057"/>
    <cellStyle name="Normal 9 13 3" xfId="6058"/>
    <cellStyle name="Normal 9 14 3" xfId="6059"/>
    <cellStyle name="Normal 9 15 3" xfId="6060"/>
    <cellStyle name="Normal 9 16 3" xfId="6061"/>
    <cellStyle name="Normal 9 17 3" xfId="6062"/>
    <cellStyle name="Normal 9 18 3" xfId="6063"/>
    <cellStyle name="Normal 9 19 3" xfId="6064"/>
    <cellStyle name="Normal 9 2 7" xfId="6065"/>
    <cellStyle name="Normal 9 2 2 3" xfId="6066"/>
    <cellStyle name="Normal 9 2 3 3" xfId="6067"/>
    <cellStyle name="Normal 9 2 4 3" xfId="6068"/>
    <cellStyle name="Normal 9 2 5 3" xfId="6069"/>
    <cellStyle name="Normal 9 20 3" xfId="6070"/>
    <cellStyle name="Normal 9 22 3" xfId="6071"/>
    <cellStyle name="Normal 9 3 7" xfId="6072"/>
    <cellStyle name="Normal 9 3 2 3" xfId="6073"/>
    <cellStyle name="Normal 9 3 3 3" xfId="6074"/>
    <cellStyle name="Normal 9 3 4 3" xfId="6075"/>
    <cellStyle name="Normal 9 3 5 3" xfId="6076"/>
    <cellStyle name="Normal 9 4 3" xfId="6077"/>
    <cellStyle name="Normal 9 5 3" xfId="6078"/>
    <cellStyle name="Normal 9 6 3" xfId="6079"/>
    <cellStyle name="Normal 9 7 3" xfId="6080"/>
    <cellStyle name="Normal 9 8 3" xfId="6081"/>
    <cellStyle name="Normal 9 9 3" xfId="6082"/>
    <cellStyle name="Note 2 3 5" xfId="6083"/>
    <cellStyle name="Note 3 3" xfId="6084"/>
    <cellStyle name="Note 4 3" xfId="6085"/>
    <cellStyle name="Note 7 3" xfId="6086"/>
    <cellStyle name="Percent 120 3" xfId="6087"/>
    <cellStyle name="Percent 121 3" xfId="6088"/>
    <cellStyle name="Percent 122 3" xfId="6089"/>
    <cellStyle name="Percent 123 3" xfId="6090"/>
    <cellStyle name="Percent 124 3" xfId="6091"/>
    <cellStyle name="Percent 125 3" xfId="6092"/>
    <cellStyle name="Percent 126 3" xfId="6093"/>
    <cellStyle name="Percent 127 3" xfId="6094"/>
    <cellStyle name="Percent 128 3" xfId="6095"/>
    <cellStyle name="Percent 129 3" xfId="6096"/>
    <cellStyle name="Percent 130 3" xfId="6097"/>
    <cellStyle name="Percent 159 3" xfId="6098"/>
    <cellStyle name="Percent 2 22 3" xfId="6099"/>
    <cellStyle name="Calculation 6 5 2" xfId="6100"/>
    <cellStyle name="Total 6 5 2" xfId="6101"/>
    <cellStyle name="Total 6 4 2" xfId="6102"/>
    <cellStyle name="Calculation 6 4 2" xfId="6103"/>
    <cellStyle name="Percent 25 2 4" xfId="6104"/>
    <cellStyle name="Percent 25 2 2 3" xfId="6105"/>
    <cellStyle name="Percent 25 3 4" xfId="6106"/>
    <cellStyle name="Percent 25 3 2 3" xfId="6107"/>
    <cellStyle name="Percent 25 4 2 3" xfId="6108"/>
    <cellStyle name="Percent 25 5 3" xfId="6109"/>
    <cellStyle name="Percent 26 2 4" xfId="6110"/>
    <cellStyle name="Percent 26 2 2 3" xfId="6111"/>
    <cellStyle name="Percent 26 3 4" xfId="6112"/>
    <cellStyle name="Percent 26 3 2 3" xfId="6113"/>
    <cellStyle name="Percent 26 4 2 3" xfId="6114"/>
    <cellStyle name="Percent 26 5 3" xfId="6115"/>
    <cellStyle name="Input 5 3 2" xfId="6116"/>
    <cellStyle name="Percent 27 2 4" xfId="6117"/>
    <cellStyle name="Percent 27 2 2 3" xfId="6118"/>
    <cellStyle name="Percent 27 3 4" xfId="6119"/>
    <cellStyle name="Percent 27 3 2 3" xfId="6120"/>
    <cellStyle name="Note 6 4 2" xfId="6121"/>
    <cellStyle name="Percent 27 4 2 3" xfId="6122"/>
    <cellStyle name="Percent 27 5 3" xfId="6123"/>
    <cellStyle name="Total 5 5 2" xfId="6124"/>
    <cellStyle name="Percent 28 2 4" xfId="6125"/>
    <cellStyle name="Percent 28 2 2 3" xfId="6126"/>
    <cellStyle name="Percent 28 3 4" xfId="6127"/>
    <cellStyle name="Percent 28 3 2 3" xfId="6128"/>
    <cellStyle name="Percent 28 4 2 3" xfId="6129"/>
    <cellStyle name="Percent 28 5 3" xfId="6130"/>
    <cellStyle name="Note 6 3 2" xfId="6131"/>
    <cellStyle name="Percent 29 2 4" xfId="6132"/>
    <cellStyle name="Percent 29 2 2 3" xfId="6133"/>
    <cellStyle name="Percent 29 3 4" xfId="6134"/>
    <cellStyle name="Percent 29 3 2 3" xfId="6135"/>
    <cellStyle name="Percent 29 4 2 3" xfId="6136"/>
    <cellStyle name="Percent 29 5 3" xfId="6137"/>
    <cellStyle name="Percent 3 10 3" xfId="6138"/>
    <cellStyle name="Percent 3 11 3" xfId="6139"/>
    <cellStyle name="Percent 3 12 3" xfId="6140"/>
    <cellStyle name="Percent 3 13 3" xfId="6141"/>
    <cellStyle name="Percent 3 14 3" xfId="6142"/>
    <cellStyle name="Percent 3 15 3" xfId="6143"/>
    <cellStyle name="Percent 3 16 3" xfId="6144"/>
    <cellStyle name="Percent 3 17 3" xfId="6145"/>
    <cellStyle name="Percent 3 18 3" xfId="6146"/>
    <cellStyle name="Percent 3 19 3" xfId="6147"/>
    <cellStyle name="Percent 3 2 24" xfId="6148"/>
    <cellStyle name="Percent 3 2 10 3" xfId="6149"/>
    <cellStyle name="Percent 3 2 11 3" xfId="6150"/>
    <cellStyle name="Percent 3 2 12 3" xfId="6151"/>
    <cellStyle name="Percent 3 2 13 3" xfId="6152"/>
    <cellStyle name="Percent 3 2 14 3" xfId="6153"/>
    <cellStyle name="Percent 3 2 15 3" xfId="6154"/>
    <cellStyle name="Percent 3 2 16 3" xfId="6155"/>
    <cellStyle name="Percent 3 2 17 3" xfId="6156"/>
    <cellStyle name="Percent 3 2 18 3" xfId="6157"/>
    <cellStyle name="Percent 3 2 19 3" xfId="6158"/>
    <cellStyle name="Percent 3 2 2 2 3" xfId="6159"/>
    <cellStyle name="Percent 3 2 2 3 3" xfId="6160"/>
    <cellStyle name="Percent 3 2 2 4 3" xfId="6161"/>
    <cellStyle name="Percent 3 2 2 5 3" xfId="6162"/>
    <cellStyle name="Percent 3 2 20 3" xfId="6163"/>
    <cellStyle name="Percent 3 2 21 2 3" xfId="6164"/>
    <cellStyle name="Note 6 2 2" xfId="6165"/>
    <cellStyle name="Calculation 6 3 2" xfId="6166"/>
    <cellStyle name="Percent 3 2 3 7" xfId="6167"/>
    <cellStyle name="Percent 3 2 3 2 3" xfId="6168"/>
    <cellStyle name="Percent 3 2 3 3 3" xfId="6169"/>
    <cellStyle name="Percent 3 2 3 4 3" xfId="6170"/>
    <cellStyle name="Percent 3 2 3 5 3" xfId="6171"/>
    <cellStyle name="Percent 3 2 4 4" xfId="6172"/>
    <cellStyle name="Percent 3 2 4 2 3" xfId="6173"/>
    <cellStyle name="Percent 3 2 5 4" xfId="6174"/>
    <cellStyle name="Percent 3 2 5 2 3" xfId="6175"/>
    <cellStyle name="Percent 3 2 6 4" xfId="6176"/>
    <cellStyle name="Percent 3 2 6 2 3" xfId="6177"/>
    <cellStyle name="Percent 3 2 7 3" xfId="6178"/>
    <cellStyle name="Percent 3 2 8 3" xfId="6179"/>
    <cellStyle name="Percent 3 2 9 3" xfId="6180"/>
    <cellStyle name="Percent 3 20 3" xfId="6181"/>
    <cellStyle name="Percent 3 21 3" xfId="6182"/>
    <cellStyle name="Percent 3 3 2 3" xfId="6183"/>
    <cellStyle name="Percent 3 3 3 3" xfId="6184"/>
    <cellStyle name="Percent 3 3 4 3" xfId="6185"/>
    <cellStyle name="Percent 3 3 5 3" xfId="6186"/>
    <cellStyle name="Percent 3 4 7" xfId="6187"/>
    <cellStyle name="Percent 3 4 2 3" xfId="6188"/>
    <cellStyle name="Percent 3 4 3 3" xfId="6189"/>
    <cellStyle name="Percent 3 4 4 3" xfId="6190"/>
    <cellStyle name="Percent 3 4 5 3" xfId="6191"/>
    <cellStyle name="Percent 3 5 4" xfId="6192"/>
    <cellStyle name="Percent 3 5 2 3" xfId="6193"/>
    <cellStyle name="Percent 3 6 4" xfId="6194"/>
    <cellStyle name="Percent 3 6 2 3" xfId="6195"/>
    <cellStyle name="Percent 3 7 4" xfId="6196"/>
    <cellStyle name="Percent 3 7 2 3" xfId="6197"/>
    <cellStyle name="Percent 3 8 3" xfId="6198"/>
    <cellStyle name="Percent 3 9 3" xfId="6199"/>
    <cellStyle name="Total 5 3 2" xfId="6200"/>
    <cellStyle name="Percent 30 2 4" xfId="6201"/>
    <cellStyle name="Percent 30 2 2 3" xfId="6202"/>
    <cellStyle name="Percent 30 3 4" xfId="6203"/>
    <cellStyle name="Percent 30 3 2 3" xfId="6204"/>
    <cellStyle name="Percent 30 4 2 3" xfId="6205"/>
    <cellStyle name="Percent 30 5 3" xfId="6206"/>
    <cellStyle name="Percent 31 2 4" xfId="6207"/>
    <cellStyle name="Percent 31 2 2 3" xfId="6208"/>
    <cellStyle name="Percent 31 3 4" xfId="6209"/>
    <cellStyle name="Percent 31 3 2 3" xfId="6210"/>
    <cellStyle name="Percent 31 4 2 3" xfId="6211"/>
    <cellStyle name="Percent 31 5 3" xfId="6212"/>
    <cellStyle name="Percent 32 2 4" xfId="6213"/>
    <cellStyle name="Percent 32 2 2 3" xfId="6214"/>
    <cellStyle name="Percent 32 3 4" xfId="6215"/>
    <cellStyle name="Percent 32 3 2 3" xfId="6216"/>
    <cellStyle name="Percent 32 4 2 3" xfId="6217"/>
    <cellStyle name="Percent 32 5 3" xfId="6218"/>
    <cellStyle name="Total 6 2 2" xfId="6219"/>
    <cellStyle name="Percent 33 2 4" xfId="6220"/>
    <cellStyle name="Percent 33 2 2 3" xfId="6221"/>
    <cellStyle name="Percent 33 3 4" xfId="6222"/>
    <cellStyle name="Percent 33 3 2 3" xfId="6223"/>
    <cellStyle name="Percent 33 4 2 3" xfId="6224"/>
    <cellStyle name="Percent 33 5 3" xfId="6225"/>
    <cellStyle name="Input 5 4 2" xfId="6226"/>
    <cellStyle name="Percent 34 2 4" xfId="6227"/>
    <cellStyle name="Percent 34 2 2 3" xfId="6228"/>
    <cellStyle name="Percent 34 3 4" xfId="6229"/>
    <cellStyle name="Percent 34 3 2 3" xfId="6230"/>
    <cellStyle name="Percent 34 4 2 3" xfId="6231"/>
    <cellStyle name="Percent 34 5 3" xfId="6232"/>
    <cellStyle name="Percent 35 2 4" xfId="6233"/>
    <cellStyle name="Percent 35 2 2 3" xfId="6234"/>
    <cellStyle name="Percent 35 3 4" xfId="6235"/>
    <cellStyle name="Percent 35 3 2 3" xfId="6236"/>
    <cellStyle name="Percent 35 4 2 3" xfId="6237"/>
    <cellStyle name="Percent 35 5 3" xfId="6238"/>
    <cellStyle name="Currency 5 4 3" xfId="6239"/>
    <cellStyle name="Note 6 5 2" xfId="6240"/>
    <cellStyle name="Comma 5 7 3" xfId="6241"/>
    <cellStyle name="Percent 5 4 3" xfId="6242"/>
    <cellStyle name="Comma 6 5 3" xfId="6243"/>
    <cellStyle name="Currency 5 2 4 3" xfId="6244"/>
    <cellStyle name="Comma 5 2 4 3" xfId="6245"/>
    <cellStyle name="Percent 5 2 4 3" xfId="6246"/>
    <cellStyle name="Comma 6 2 3 3" xfId="6247"/>
    <cellStyle name="Currency 5 3 2 3" xfId="6248"/>
    <cellStyle name="Comma 5 3 2 3" xfId="6249"/>
    <cellStyle name="Percent 5 3 2 3" xfId="6250"/>
    <cellStyle name="Comma 6 3 4 3" xfId="6251"/>
    <cellStyle name="Normal 11 2 2 3" xfId="6252"/>
    <cellStyle name="Currency 5 2 2 2 3" xfId="6253"/>
    <cellStyle name="Comma 5 2 2 2 3" xfId="6254"/>
    <cellStyle name="Percent 5 2 2 2 3" xfId="6255"/>
    <cellStyle name="Comma 6 2 2 2 3" xfId="6256"/>
    <cellStyle name="Normal 51 3" xfId="6257"/>
    <cellStyle name="Comma 187 3" xfId="6258"/>
    <cellStyle name="Percent 163 3" xfId="6259"/>
    <cellStyle name="Currency 162 3" xfId="6260"/>
    <cellStyle name="Currency 5 6 2" xfId="6261"/>
    <cellStyle name="Currency 179 2" xfId="6262"/>
    <cellStyle name="Percent 180 2" xfId="6263"/>
    <cellStyle name="Comma 204 2" xfId="6264"/>
    <cellStyle name="Normal 8 26 2" xfId="6265"/>
    <cellStyle name="Comma 5 9 2 5" xfId="6266"/>
    <cellStyle name="Percent 5 6 2 5" xfId="6267"/>
    <cellStyle name="Comma 6 7 2" xfId="6268"/>
    <cellStyle name="Normal 11 5 2" xfId="6269"/>
    <cellStyle name="Currency 5 2 6 2" xfId="6270"/>
    <cellStyle name="Normal 8 2 7 2" xfId="6271"/>
    <cellStyle name="Comma 5 2 6 2" xfId="6272"/>
    <cellStyle name="Percent 5 2 6 2" xfId="6273"/>
    <cellStyle name="Comma 6 2 5 2" xfId="6274"/>
    <cellStyle name="Currency 5 3 4 2" xfId="6275"/>
    <cellStyle name="Normal 8 3 7 2" xfId="6276"/>
    <cellStyle name="Comma 5 3 4 2" xfId="6277"/>
    <cellStyle name="Percent 5 3 4 2" xfId="6278"/>
    <cellStyle name="Comma 6 3 6 2" xfId="6279"/>
    <cellStyle name="Normal 11 2 4 2" xfId="6280"/>
    <cellStyle name="Currency 5 2 2 4 2" xfId="6281"/>
    <cellStyle name="Normal 8 2 2 3 2" xfId="6282"/>
    <cellStyle name="Comma 5 2 2 4 2" xfId="6283"/>
    <cellStyle name="Percent 5 2 2 4 2" xfId="6284"/>
    <cellStyle name="Comma 6 2 2 3 2" xfId="6285"/>
    <cellStyle name="Normal 50 2 2" xfId="6286"/>
    <cellStyle name="Comma 186 2 2" xfId="6287"/>
    <cellStyle name="Percent 162 2 2" xfId="6288"/>
    <cellStyle name="Normal 2 24 2 2" xfId="6289"/>
    <cellStyle name="20% - Accent1 2 2 2" xfId="6290"/>
    <cellStyle name="20% - Accent1 3 2 2" xfId="6291"/>
    <cellStyle name="20% - Accent1 4 2 2" xfId="6292"/>
    <cellStyle name="20% - Accent1 5 2 2" xfId="6293"/>
    <cellStyle name="20% - Accent2 2 2 2" xfId="6294"/>
    <cellStyle name="20% - Accent2 3 2 2" xfId="6295"/>
    <cellStyle name="20% - Accent2 4 2 2" xfId="6296"/>
    <cellStyle name="20% - Accent2 5 2 2" xfId="6297"/>
    <cellStyle name="20% - Accent3 2 2 2" xfId="6298"/>
    <cellStyle name="20% - Accent3 3 2 2" xfId="6299"/>
    <cellStyle name="20% - Accent3 4 2 2" xfId="6300"/>
    <cellStyle name="20% - Accent3 5 2 2" xfId="6301"/>
    <cellStyle name="20% - Accent4 2 2 2" xfId="6302"/>
    <cellStyle name="20% - Accent4 3 2 2" xfId="6303"/>
    <cellStyle name="20% - Accent4 4 2 2" xfId="6304"/>
    <cellStyle name="20% - Accent4 5 2 2" xfId="6305"/>
    <cellStyle name="20% - Accent5 2 2 2" xfId="6306"/>
    <cellStyle name="20% - Accent5 3 2 2" xfId="6307"/>
    <cellStyle name="20% - Accent5 4 2 2" xfId="6308"/>
    <cellStyle name="20% - Accent6 2 2 2" xfId="6309"/>
    <cellStyle name="20% - Accent6 3 2 2" xfId="6310"/>
    <cellStyle name="20% - Accent6 4 2 2" xfId="6311"/>
    <cellStyle name="40% - Accent1 2 2 2" xfId="6312"/>
    <cellStyle name="40% - Accent1 3 2 2" xfId="6313"/>
    <cellStyle name="40% - Accent1 4 2 2" xfId="6314"/>
    <cellStyle name="40% - Accent1 5 2 2" xfId="6315"/>
    <cellStyle name="40% - Accent2 2 2 2" xfId="6316"/>
    <cellStyle name="40% - Accent2 3 2 2" xfId="6317"/>
    <cellStyle name="40% - Accent2 4 2 2" xfId="6318"/>
    <cellStyle name="40% - Accent3 2 2 2" xfId="6319"/>
    <cellStyle name="40% - Accent3 3 2 2" xfId="6320"/>
    <cellStyle name="40% - Accent3 4 2 2" xfId="6321"/>
    <cellStyle name="40% - Accent3 5 2 2" xfId="6322"/>
    <cellStyle name="40% - Accent4 2 2 2" xfId="6323"/>
    <cellStyle name="40% - Accent4 3 2 2" xfId="6324"/>
    <cellStyle name="40% - Accent4 4 2 2" xfId="6325"/>
    <cellStyle name="40% - Accent4 5 2 2" xfId="6326"/>
    <cellStyle name="40% - Accent5 2 2 2" xfId="6327"/>
    <cellStyle name="40% - Accent5 3 2 2" xfId="6328"/>
    <cellStyle name="40% - Accent5 4 2 2" xfId="6329"/>
    <cellStyle name="40% - Accent6 2 2 2" xfId="6330"/>
    <cellStyle name="40% - Accent6 3 2 2" xfId="6331"/>
    <cellStyle name="40% - Accent6 4 2 2" xfId="6332"/>
    <cellStyle name="40% - Accent6 5 2 2" xfId="6333"/>
    <cellStyle name="Comma 143 2 2" xfId="6334"/>
    <cellStyle name="Comma 144 2 2" xfId="6335"/>
    <cellStyle name="Comma 145 2 2" xfId="6336"/>
    <cellStyle name="Comma 146 2 2" xfId="6337"/>
    <cellStyle name="Comma 147 2 2" xfId="6338"/>
    <cellStyle name="Comma 148 2 2" xfId="6339"/>
    <cellStyle name="Comma 149 2 2" xfId="6340"/>
    <cellStyle name="Comma 150 2 2" xfId="6341"/>
    <cellStyle name="Comma 151 2 2" xfId="6342"/>
    <cellStyle name="Comma 152 2 2" xfId="6343"/>
    <cellStyle name="Comma 153 2 2" xfId="6344"/>
    <cellStyle name="Comma 182 2 2" xfId="6345"/>
    <cellStyle name="Comma 2 23 2 2" xfId="6346"/>
    <cellStyle name="Comma 2 2 10 2 2" xfId="6347"/>
    <cellStyle name="Comma 2 2 11 2 2" xfId="6348"/>
    <cellStyle name="Comma 2 2 12 2 2" xfId="6349"/>
    <cellStyle name="Comma 2 2 13 2 2" xfId="6350"/>
    <cellStyle name="Comma 2 2 14 2 2" xfId="6351"/>
    <cellStyle name="Comma 2 2 15 2 2" xfId="6352"/>
    <cellStyle name="Comma 2 2 16 2 2" xfId="6353"/>
    <cellStyle name="Comma 2 2 17 2 2" xfId="6354"/>
    <cellStyle name="Comma 2 2 2 2 6 2" xfId="6355"/>
    <cellStyle name="Comma 2 2 2 2 2 2 2" xfId="6356"/>
    <cellStyle name="Comma 2 2 2 2 3 2 2" xfId="6357"/>
    <cellStyle name="Comma 2 2 2 2 4 2 2" xfId="6358"/>
    <cellStyle name="Comma 2 2 2 2 5 2 2" xfId="6359"/>
    <cellStyle name="Comma 2 2 2 3 2 2" xfId="6360"/>
    <cellStyle name="Comma 2 2 2 4 2 2" xfId="6361"/>
    <cellStyle name="Comma 2 2 2 5 2 2" xfId="6362"/>
    <cellStyle name="Comma 2 2 2 6 2 2" xfId="6363"/>
    <cellStyle name="Comma 2 2 3 6 2" xfId="6364"/>
    <cellStyle name="Comma 2 2 3 2 2 2 2" xfId="6365"/>
    <cellStyle name="Comma 2 2 3 2 3 2 2" xfId="6366"/>
    <cellStyle name="Comma 2 2 3 2 4 2 2" xfId="6367"/>
    <cellStyle name="Comma 2 2 3 2 5 2 2" xfId="6368"/>
    <cellStyle name="Comma 2 2 3 3 2 2" xfId="6369"/>
    <cellStyle name="Comma 2 2 4 2 2 2" xfId="6370"/>
    <cellStyle name="Comma 2 2 5 2 2" xfId="6371"/>
    <cellStyle name="Comma 2 2 6 2 2" xfId="6372"/>
    <cellStyle name="Comma 2 2 7 2 2" xfId="6373"/>
    <cellStyle name="Comma 2 2 8 2 2" xfId="6374"/>
    <cellStyle name="Comma 2 2 9 2 2" xfId="6375"/>
    <cellStyle name="Comma 3 10 2 2" xfId="6376"/>
    <cellStyle name="Comma 3 11 2 2" xfId="6377"/>
    <cellStyle name="Comma 3 12 2 2" xfId="6378"/>
    <cellStyle name="Comma 3 13 2 2" xfId="6379"/>
    <cellStyle name="Comma 3 14 2 2" xfId="6380"/>
    <cellStyle name="Comma 3 15 2 2" xfId="6381"/>
    <cellStyle name="Comma 3 16 2 2" xfId="6382"/>
    <cellStyle name="Comma 3 17 2 2" xfId="6383"/>
    <cellStyle name="Comma 3 18 2 2" xfId="6384"/>
    <cellStyle name="Comma 3 19 2 2" xfId="6385"/>
    <cellStyle name="Comma 3 2 2 2 2" xfId="6386"/>
    <cellStyle name="Comma 3 2 3 2 2" xfId="6387"/>
    <cellStyle name="Comma 3 2 4 2 2" xfId="6388"/>
    <cellStyle name="Comma 3 2 5 2 2" xfId="6389"/>
    <cellStyle name="Comma 3 20 2 2" xfId="6390"/>
    <cellStyle name="Comma 3 21 2 2" xfId="6391"/>
    <cellStyle name="Comma 3 3 6 2" xfId="6392"/>
    <cellStyle name="Comma 3 3 2 2 2" xfId="6393"/>
    <cellStyle name="Comma 3 3 3 2 2" xfId="6394"/>
    <cellStyle name="Comma 3 3 4 2 2" xfId="6395"/>
    <cellStyle name="Comma 3 3 5 2 2" xfId="6396"/>
    <cellStyle name="Comma 3 4 3 2" xfId="6397"/>
    <cellStyle name="Comma 3 4 2 2 2" xfId="6398"/>
    <cellStyle name="Comma 3 5 3 2" xfId="6399"/>
    <cellStyle name="Comma 3 5 2 2 2" xfId="6400"/>
    <cellStyle name="Comma 3 6 3 2" xfId="6401"/>
    <cellStyle name="Comma 3 6 2 2 2" xfId="6402"/>
    <cellStyle name="Comma 3 7 2 2" xfId="6403"/>
    <cellStyle name="Comma 3 8 2 2" xfId="6404"/>
    <cellStyle name="Comma 3 9 2 2" xfId="6405"/>
    <cellStyle name="Currency 120 2 2" xfId="6406"/>
    <cellStyle name="Currency 121 2 2" xfId="6407"/>
    <cellStyle name="Currency 122 2 2" xfId="6408"/>
    <cellStyle name="Currency 123 2 2" xfId="6409"/>
    <cellStyle name="Currency 124 2 2" xfId="6410"/>
    <cellStyle name="Currency 125 2 2" xfId="6411"/>
    <cellStyle name="Currency 126 2 2" xfId="6412"/>
    <cellStyle name="Currency 127 2 2" xfId="6413"/>
    <cellStyle name="Currency 128 2 2" xfId="6414"/>
    <cellStyle name="Currency 129 2 2" xfId="6415"/>
    <cellStyle name="Currency 130 2 2" xfId="6416"/>
    <cellStyle name="Currency 159 2 2" xfId="6417"/>
    <cellStyle name="Currency 2 27 2 2" xfId="6418"/>
    <cellStyle name="Currency 2 2 20 2 2" xfId="6419"/>
    <cellStyle name="Currency 2 2 10 2 2" xfId="6420"/>
    <cellStyle name="Currency 2 2 11 2 2" xfId="6421"/>
    <cellStyle name="Currency 2 2 12 2 2" xfId="6422"/>
    <cellStyle name="Currency 2 2 13 2 2" xfId="6423"/>
    <cellStyle name="Currency 2 2 14 2 2" xfId="6424"/>
    <cellStyle name="Currency 2 2 15 2 2" xfId="6425"/>
    <cellStyle name="Currency 2 2 16 2 2" xfId="6426"/>
    <cellStyle name="Currency 2 2 17 2 2" xfId="6427"/>
    <cellStyle name="Currency 2 2 18 2 2" xfId="6428"/>
    <cellStyle name="Currency 2 2 2 2 2 2" xfId="6429"/>
    <cellStyle name="Currency 2 2 2 3 2 2" xfId="6430"/>
    <cellStyle name="Currency 2 2 2 4 2 2" xfId="6431"/>
    <cellStyle name="Currency 2 2 2 5 2 2" xfId="6432"/>
    <cellStyle name="Currency 2 2 3 6 2" xfId="6433"/>
    <cellStyle name="Currency 2 2 3 2 2 2" xfId="6434"/>
    <cellStyle name="Currency 2 2 3 3 2 2" xfId="6435"/>
    <cellStyle name="Currency 2 2 3 4 2 2" xfId="6436"/>
    <cellStyle name="Currency 2 2 3 5 2 2" xfId="6437"/>
    <cellStyle name="Currency 2 2 4 2 2" xfId="6438"/>
    <cellStyle name="Currency 2 2 5 2 2" xfId="6439"/>
    <cellStyle name="Currency 2 2 6 2 2" xfId="6440"/>
    <cellStyle name="Currency 2 2 7 2 2" xfId="6441"/>
    <cellStyle name="Currency 2 2 8 2 2" xfId="6442"/>
    <cellStyle name="Currency 2 2 9 2 2" xfId="6443"/>
    <cellStyle name="Currency 3 10 2 2" xfId="6444"/>
    <cellStyle name="Currency 3 11 2 2" xfId="6445"/>
    <cellStyle name="Currency 3 12 2 2" xfId="6446"/>
    <cellStyle name="Currency 3 13 2 2" xfId="6447"/>
    <cellStyle name="Currency 3 14 2 2" xfId="6448"/>
    <cellStyle name="Currency 3 15 2 2" xfId="6449"/>
    <cellStyle name="Currency 3 16 2 2" xfId="6450"/>
    <cellStyle name="Currency 3 17 2 2" xfId="6451"/>
    <cellStyle name="Currency 3 18 2 2" xfId="6452"/>
    <cellStyle name="Currency 3 19 2 2" xfId="6453"/>
    <cellStyle name="Currency 3 2 2 2 2" xfId="6454"/>
    <cellStyle name="Currency 3 2 3 2 2" xfId="6455"/>
    <cellStyle name="Currency 3 2 4 2 2" xfId="6456"/>
    <cellStyle name="Currency 3 2 5 2 2" xfId="6457"/>
    <cellStyle name="Currency 3 20 2 2" xfId="6458"/>
    <cellStyle name="Currency 3 21 2 2" xfId="6459"/>
    <cellStyle name="Currency 3 3 8 2" xfId="6460"/>
    <cellStyle name="Currency 3 3 2 2 2" xfId="6461"/>
    <cellStyle name="Currency 3 3 3 2 2" xfId="6462"/>
    <cellStyle name="Currency 3 3 4 2 2" xfId="6463"/>
    <cellStyle name="Currency 3 3 5 2 2" xfId="6464"/>
    <cellStyle name="Currency 3 3 6 2 2" xfId="6465"/>
    <cellStyle name="Currency 3 4 3 2" xfId="6466"/>
    <cellStyle name="Currency 3 4 2 2 2" xfId="6467"/>
    <cellStyle name="Currency 3 5 3 2" xfId="6468"/>
    <cellStyle name="Currency 3 5 2 2 2" xfId="6469"/>
    <cellStyle name="Currency 3 6 3 2" xfId="6470"/>
    <cellStyle name="Currency 3 6 2 2 2" xfId="6471"/>
    <cellStyle name="Currency 3 7 2 2" xfId="6472"/>
    <cellStyle name="Currency 3 8 2 2" xfId="6473"/>
    <cellStyle name="Currency 3 9 2 2" xfId="6474"/>
    <cellStyle name="Normal 10 3 6 2" xfId="6475"/>
    <cellStyle name="Normal 10 3 2 5 2" xfId="6476"/>
    <cellStyle name="Normal 10 3 2 2 3 2" xfId="6477"/>
    <cellStyle name="Normal 10 3 2 2 2 2 2" xfId="6478"/>
    <cellStyle name="Normal 10 3 2 3 3 2" xfId="6479"/>
    <cellStyle name="Normal 10 3 2 3 2 2 2" xfId="6480"/>
    <cellStyle name="Normal 10 3 2 4 2 2" xfId="6481"/>
    <cellStyle name="Normal 10 3 3 3 2" xfId="6482"/>
    <cellStyle name="Normal 10 3 3 2 2 2" xfId="6483"/>
    <cellStyle name="Normal 10 3 4 3 2" xfId="6484"/>
    <cellStyle name="Normal 10 3 4 2 2 2" xfId="6485"/>
    <cellStyle name="Normal 10 3 5 2 2" xfId="6486"/>
    <cellStyle name="Normal 10 4 5 2" xfId="6487"/>
    <cellStyle name="Normal 10 4 2 3 2" xfId="6488"/>
    <cellStyle name="Normal 10 4 2 2 2 2" xfId="6489"/>
    <cellStyle name="Normal 10 4 3 3 2" xfId="6490"/>
    <cellStyle name="Normal 10 4 3 2 2 2" xfId="6491"/>
    <cellStyle name="Normal 10 4 4 2 2" xfId="6492"/>
    <cellStyle name="Normal 10 5 5 2" xfId="6493"/>
    <cellStyle name="Normal 10 5 2 3 2" xfId="6494"/>
    <cellStyle name="Normal 10 5 2 2 2 2" xfId="6495"/>
    <cellStyle name="Normal 10 5 3 3 2" xfId="6496"/>
    <cellStyle name="Normal 10 5 3 2 2 2" xfId="6497"/>
    <cellStyle name="Normal 10 5 4 2 2" xfId="6498"/>
    <cellStyle name="Normal 10 6 3 2" xfId="6499"/>
    <cellStyle name="Normal 10 6 2 2 2" xfId="6500"/>
    <cellStyle name="Normal 10 7 3 2" xfId="6501"/>
    <cellStyle name="Normal 10 7 2 2 2" xfId="6502"/>
    <cellStyle name="Normal 10 8 2 2 2" xfId="6503"/>
    <cellStyle name="Normal 10 9 2 2" xfId="6504"/>
    <cellStyle name="Normal 11 4 2 2" xfId="6505"/>
    <cellStyle name="Normal 11 3 2 2" xfId="6506"/>
    <cellStyle name="Normal 12 8 2" xfId="6507"/>
    <cellStyle name="Normal 12 2 2 5 2" xfId="6508"/>
    <cellStyle name="Normal 12 2 2 2 3 2" xfId="6509"/>
    <cellStyle name="Normal 12 2 2 2 2 2 2" xfId="6510"/>
    <cellStyle name="Normal 12 2 2 3 3 2" xfId="6511"/>
    <cellStyle name="Normal 12 2 2 3 2 2 2" xfId="6512"/>
    <cellStyle name="Normal 12 2 2 4 2 2" xfId="6513"/>
    <cellStyle name="Normal 12 2 3 3 2" xfId="6514"/>
    <cellStyle name="Normal 12 2 3 2 2 2" xfId="6515"/>
    <cellStyle name="Normal 12 2 4 3 2" xfId="6516"/>
    <cellStyle name="Normal 12 2 4 2 2 2" xfId="6517"/>
    <cellStyle name="Normal 12 2 5 2 2 2" xfId="6518"/>
    <cellStyle name="Normal 12 2 6 2 2" xfId="6519"/>
    <cellStyle name="Normal 12 3 5 2" xfId="6520"/>
    <cellStyle name="Normal 12 3 2 3 2" xfId="6521"/>
    <cellStyle name="Normal 12 3 2 2 2 2" xfId="6522"/>
    <cellStyle name="Normal 12 3 3 3 2" xfId="6523"/>
    <cellStyle name="Normal 12 3 3 2 2 2" xfId="6524"/>
    <cellStyle name="Normal 12 3 4 2 2" xfId="6525"/>
    <cellStyle name="Normal 12 4 5 2" xfId="6526"/>
    <cellStyle name="Normal 12 4 2 3 2" xfId="6527"/>
    <cellStyle name="Normal 12 4 2 2 2 2" xfId="6528"/>
    <cellStyle name="Normal 12 4 3 3 2" xfId="6529"/>
    <cellStyle name="Normal 12 4 3 2 2 2" xfId="6530"/>
    <cellStyle name="Normal 12 4 4 2 2" xfId="6531"/>
    <cellStyle name="Normal 12 5 3 2" xfId="6532"/>
    <cellStyle name="Normal 12 5 2 2 2" xfId="6533"/>
    <cellStyle name="Normal 12 6 3 2" xfId="6534"/>
    <cellStyle name="Normal 12 6 2 2 2" xfId="6535"/>
    <cellStyle name="Normal 12 7 2 2" xfId="6536"/>
    <cellStyle name="Normal 15 6 2" xfId="6537"/>
    <cellStyle name="Normal 15 3 2 2" xfId="6538"/>
    <cellStyle name="Normal 16 2 5 2" xfId="6539"/>
    <cellStyle name="Normal 16 2 2 3 2" xfId="6540"/>
    <cellStyle name="Normal 16 2 2 2 2 2" xfId="6541"/>
    <cellStyle name="Normal 16 2 3 3 2" xfId="6542"/>
    <cellStyle name="Normal 16 2 3 2 2 2" xfId="6543"/>
    <cellStyle name="Normal 16 2 4 2 2" xfId="6544"/>
    <cellStyle name="Normal 16 3 3 2" xfId="6545"/>
    <cellStyle name="Normal 16 3 2 2 2" xfId="6546"/>
    <cellStyle name="Normal 16 4 3 2" xfId="6547"/>
    <cellStyle name="Normal 16 4 2 2 2" xfId="6548"/>
    <cellStyle name="Normal 16 5 2 2 2" xfId="6549"/>
    <cellStyle name="Normal 16 6 2 2" xfId="6550"/>
    <cellStyle name="Normal 17 2 5 2" xfId="6551"/>
    <cellStyle name="Normal 17 2 2 3 2" xfId="6552"/>
    <cellStyle name="Normal 17 2 2 2 2 2" xfId="6553"/>
    <cellStyle name="Normal 17 2 3 3 2" xfId="6554"/>
    <cellStyle name="Normal 17 2 3 2 2 2" xfId="6555"/>
    <cellStyle name="Normal 17 2 4 2 2" xfId="6556"/>
    <cellStyle name="Normal 17 3 3 2" xfId="6557"/>
    <cellStyle name="Normal 17 3 2 2 2" xfId="6558"/>
    <cellStyle name="Normal 17 4 3 2" xfId="6559"/>
    <cellStyle name="Normal 17 4 2 2 2" xfId="6560"/>
    <cellStyle name="Normal 17 5 2 2 2" xfId="6561"/>
    <cellStyle name="Normal 17 6 2 2" xfId="6562"/>
    <cellStyle name="Normal 2 10 3 2 2" xfId="6563"/>
    <cellStyle name="Normal 2 11 3 2 2" xfId="6564"/>
    <cellStyle name="Normal 2 12 3 2 2" xfId="6565"/>
    <cellStyle name="Normal 2 13 3 2 2" xfId="6566"/>
    <cellStyle name="Normal 2 14 3 2 2" xfId="6567"/>
    <cellStyle name="Normal 2 15 3 2 2" xfId="6568"/>
    <cellStyle name="Normal 2 16 3 2 2" xfId="6569"/>
    <cellStyle name="Normal 2 17 3 2 2" xfId="6570"/>
    <cellStyle name="Normal 2 18 3 2 2" xfId="6571"/>
    <cellStyle name="Normal 2 19 3 2 2" xfId="6572"/>
    <cellStyle name="Normal 2 2 10 2 2" xfId="6573"/>
    <cellStyle name="Normal 2 2 11 2 2" xfId="6574"/>
    <cellStyle name="Normal 2 2 12 2 2" xfId="6575"/>
    <cellStyle name="Normal 2 2 13 2 2" xfId="6576"/>
    <cellStyle name="Normal 2 2 14 2 2" xfId="6577"/>
    <cellStyle name="Normal 2 2 15 2 2" xfId="6578"/>
    <cellStyle name="Normal 2 2 16 2 2" xfId="6579"/>
    <cellStyle name="Normal 2 2 17 2 2" xfId="6580"/>
    <cellStyle name="Normal 2 2 18 2 2" xfId="6581"/>
    <cellStyle name="Normal 2 2 19 2 2" xfId="6582"/>
    <cellStyle name="Normal 2 2 2 2 6 2" xfId="6583"/>
    <cellStyle name="Normal 2 2 2 2 2 3 2" xfId="6584"/>
    <cellStyle name="Normal 2 2 2 2 2 2 2 2" xfId="6585"/>
    <cellStyle name="Normal 2 2 2 2 3 2 2" xfId="6586"/>
    <cellStyle name="Normal 2 2 2 2 4 2 2" xfId="6587"/>
    <cellStyle name="Normal 2 2 2 2 5 2 2" xfId="6588"/>
    <cellStyle name="Normal 2 2 20 2 2" xfId="6589"/>
    <cellStyle name="Normal 2 2 21 2 2" xfId="6590"/>
    <cellStyle name="Normal 2 2 22 2 2" xfId="6591"/>
    <cellStyle name="Normal 2 2 3 9 2" xfId="6592"/>
    <cellStyle name="Normal 2 2 3 2 2 2" xfId="6593"/>
    <cellStyle name="Normal 2 2 3 3 2 2" xfId="6594"/>
    <cellStyle name="Normal 2 2 3 4 2 2" xfId="6595"/>
    <cellStyle name="Normal 2 2 3 5 2 2" xfId="6596"/>
    <cellStyle name="Normal 2 2 3 6 2 2" xfId="6597"/>
    <cellStyle name="Normal 2 2 4 5 2" xfId="6598"/>
    <cellStyle name="Normal 2 2 4 2 2 2" xfId="6599"/>
    <cellStyle name="Normal 2 2 5 4 2" xfId="6600"/>
    <cellStyle name="Normal 2 2 5 2 2 2" xfId="6601"/>
    <cellStyle name="Normal 2 2 6 2 2" xfId="6602"/>
    <cellStyle name="Normal 2 2 7 2 2" xfId="6603"/>
    <cellStyle name="Normal 2 2 8 2 2" xfId="6604"/>
    <cellStyle name="Normal 2 2 9 2 2" xfId="6605"/>
    <cellStyle name="Normal 2 20 2 2" xfId="6606"/>
    <cellStyle name="Normal 2 3 2 3 2" xfId="6607"/>
    <cellStyle name="Normal 2 3 3 2 2" xfId="6608"/>
    <cellStyle name="Normal 2 3 4 2 2" xfId="6609"/>
    <cellStyle name="Normal 2 3 5 2 2" xfId="6610"/>
    <cellStyle name="Normal 2 3 6 2 2" xfId="6611"/>
    <cellStyle name="Normal 2 4 5 2 2" xfId="6612"/>
    <cellStyle name="Normal 2 4 2 2 2" xfId="6613"/>
    <cellStyle name="Normal 2 5 3 2 2" xfId="6614"/>
    <cellStyle name="Normal 2 6 3 2 2" xfId="6615"/>
    <cellStyle name="Normal 2 7 3 2 2" xfId="6616"/>
    <cellStyle name="Normal 2 8 3 2 2" xfId="6617"/>
    <cellStyle name="Normal 2 9 3 2 2" xfId="6618"/>
    <cellStyle name="Normal 21 9 2" xfId="6619"/>
    <cellStyle name="Normal 21 2 7 2" xfId="6620"/>
    <cellStyle name="Normal 21 2 2 2 2" xfId="6621"/>
    <cellStyle name="Normal 21 2 3 2 2" xfId="6622"/>
    <cellStyle name="Normal 21 2 4 2 2" xfId="6623"/>
    <cellStyle name="Normal 21 2 5 2 2" xfId="6624"/>
    <cellStyle name="Normal 21 2 6 2 2" xfId="6625"/>
    <cellStyle name="Normal 21 3 3 2" xfId="6626"/>
    <cellStyle name="Normal 21 3 2 2 2" xfId="6627"/>
    <cellStyle name="Normal 21 4 2 2" xfId="6628"/>
    <cellStyle name="Normal 21 5 2 2" xfId="6629"/>
    <cellStyle name="Normal 21 6 2 2" xfId="6630"/>
    <cellStyle name="Normal 21 8 2 2" xfId="6631"/>
    <cellStyle name="Normal 22 8 2" xfId="6632"/>
    <cellStyle name="Normal 22 2 7 2" xfId="6633"/>
    <cellStyle name="Normal 22 2 2 2 2" xfId="6634"/>
    <cellStyle name="Normal 22 2 3 2 2" xfId="6635"/>
    <cellStyle name="Normal 22 2 4 2 2" xfId="6636"/>
    <cellStyle name="Normal 22 2 5 2 2" xfId="6637"/>
    <cellStyle name="Normal 22 3 2 2" xfId="6638"/>
    <cellStyle name="Normal 22 4 2 2" xfId="6639"/>
    <cellStyle name="Normal 22 5 2 2" xfId="6640"/>
    <cellStyle name="Normal 22 6 2 2" xfId="6641"/>
    <cellStyle name="Normal 23 8 2" xfId="6642"/>
    <cellStyle name="Normal 23 2 6 2" xfId="6643"/>
    <cellStyle name="Normal 23 2 2 2 2" xfId="6644"/>
    <cellStyle name="Normal 23 2 3 2 2" xfId="6645"/>
    <cellStyle name="Normal 23 2 4 2 2" xfId="6646"/>
    <cellStyle name="Normal 23 2 5 2 2" xfId="6647"/>
    <cellStyle name="Normal 23 3 2 2" xfId="6648"/>
    <cellStyle name="Normal 23 4 2 2" xfId="6649"/>
    <cellStyle name="Normal 23 5 2 2" xfId="6650"/>
    <cellStyle name="Normal 23 6 2 2" xfId="6651"/>
    <cellStyle name="Normal 24 8 2" xfId="6652"/>
    <cellStyle name="Normal 24 2 6 2" xfId="6653"/>
    <cellStyle name="Normal 24 2 2 2 2" xfId="6654"/>
    <cellStyle name="Normal 24 2 3 2 2" xfId="6655"/>
    <cellStyle name="Normal 24 2 4 2 2" xfId="6656"/>
    <cellStyle name="Normal 24 2 5 2 2" xfId="6657"/>
    <cellStyle name="Normal 24 3 2 2" xfId="6658"/>
    <cellStyle name="Normal 24 4 2 2" xfId="6659"/>
    <cellStyle name="Normal 24 5 2 2" xfId="6660"/>
    <cellStyle name="Normal 24 6 2 2" xfId="6661"/>
    <cellStyle name="Normal 26 8 2" xfId="6662"/>
    <cellStyle name="Normal 26 2 6 2" xfId="6663"/>
    <cellStyle name="Normal 26 2 2 2 2" xfId="6664"/>
    <cellStyle name="Normal 26 2 3 2 2" xfId="6665"/>
    <cellStyle name="Normal 26 2 4 2 2" xfId="6666"/>
    <cellStyle name="Normal 26 2 5 2 2" xfId="6667"/>
    <cellStyle name="Normal 26 3 2 2" xfId="6668"/>
    <cellStyle name="Normal 26 4 2 2" xfId="6669"/>
    <cellStyle name="Normal 26 5 2 2" xfId="6670"/>
    <cellStyle name="Normal 26 6 2 2" xfId="6671"/>
    <cellStyle name="Normal 3 10 2 2" xfId="6672"/>
    <cellStyle name="Normal 3 11 2 2" xfId="6673"/>
    <cellStyle name="Normal 3 12 2 2" xfId="6674"/>
    <cellStyle name="Normal 3 13 2 2" xfId="6675"/>
    <cellStyle name="Normal 3 14 2 2" xfId="6676"/>
    <cellStyle name="Normal 3 15 2 2" xfId="6677"/>
    <cellStyle name="Normal 3 16 2 2" xfId="6678"/>
    <cellStyle name="Normal 3 17 2 2" xfId="6679"/>
    <cellStyle name="Normal 3 18 2 2" xfId="6680"/>
    <cellStyle name="Normal 3 19 2 2" xfId="6681"/>
    <cellStyle name="Normal 3 2 2 2 2" xfId="6682"/>
    <cellStyle name="Normal 3 2 3 2 2" xfId="6683"/>
    <cellStyle name="Normal 3 2 4 2 2" xfId="6684"/>
    <cellStyle name="Normal 3 2 5 2 2" xfId="6685"/>
    <cellStyle name="Normal 3 2 6 2 2" xfId="6686"/>
    <cellStyle name="Normal 3 20 2 2" xfId="6687"/>
    <cellStyle name="Normal 3 21 2 2" xfId="6688"/>
    <cellStyle name="Normal 3 22 2 2" xfId="6689"/>
    <cellStyle name="Normal 3 23 2 2" xfId="6690"/>
    <cellStyle name="Normal 3 24 2 2" xfId="6691"/>
    <cellStyle name="Normal 3 3 5 2" xfId="6692"/>
    <cellStyle name="Normal 3 3 2 2 2" xfId="6693"/>
    <cellStyle name="Normal 3 3 3 2 2" xfId="6694"/>
    <cellStyle name="Normal 3 4 3 2" xfId="6695"/>
    <cellStyle name="Normal 3 4 2 2 2" xfId="6696"/>
    <cellStyle name="Normal 3 5 3 2" xfId="6697"/>
    <cellStyle name="Normal 3 5 2 2 2" xfId="6698"/>
    <cellStyle name="Normal 3 6 2 2" xfId="6699"/>
    <cellStyle name="Normal 3 7 2 2" xfId="6700"/>
    <cellStyle name="Normal 3 8 2 2" xfId="6701"/>
    <cellStyle name="Normal 3 9 2 2" xfId="6702"/>
    <cellStyle name="Normal 4 2 10 2 2" xfId="6703"/>
    <cellStyle name="Normal 4 2 11 2 2" xfId="6704"/>
    <cellStyle name="Normal 4 2 12 2 2" xfId="6705"/>
    <cellStyle name="Normal 4 2 13 2 2" xfId="6706"/>
    <cellStyle name="Normal 4 2 14 2 2" xfId="6707"/>
    <cellStyle name="Normal 4 2 15 2 2" xfId="6708"/>
    <cellStyle name="Normal 4 2 16 2 2" xfId="6709"/>
    <cellStyle name="Normal 4 2 17 2 2" xfId="6710"/>
    <cellStyle name="Normal 4 2 18 2 2" xfId="6711"/>
    <cellStyle name="Normal 4 2 19 2 2" xfId="6712"/>
    <cellStyle name="Normal 4 2 2 6 2" xfId="6713"/>
    <cellStyle name="Normal 4 2 2 2 2 2" xfId="6714"/>
    <cellStyle name="Normal 4 2 2 3 2 2" xfId="6715"/>
    <cellStyle name="Normal 4 2 2 4 2 2" xfId="6716"/>
    <cellStyle name="Normal 4 2 2 5 2 2" xfId="6717"/>
    <cellStyle name="Normal 4 2 20 2 2" xfId="6718"/>
    <cellStyle name="Normal 4 2 21 2 2" xfId="6719"/>
    <cellStyle name="Normal 4 2 22 2 2" xfId="6720"/>
    <cellStyle name="Normal 4 2 23 2 2" xfId="6721"/>
    <cellStyle name="Normal 4 2 24 2 2" xfId="6722"/>
    <cellStyle name="Normal 4 2 3 3 2" xfId="6723"/>
    <cellStyle name="Normal 4 2 3 2 2 2" xfId="6724"/>
    <cellStyle name="Normal 4 2 4 3 2" xfId="6725"/>
    <cellStyle name="Normal 4 2 4 2 2 2" xfId="6726"/>
    <cellStyle name="Normal 4 2 5 3 2" xfId="6727"/>
    <cellStyle name="Normal 4 2 5 2 2 2" xfId="6728"/>
    <cellStyle name="Normal 4 2 6 2 2" xfId="6729"/>
    <cellStyle name="Normal 4 2 7 2 2" xfId="6730"/>
    <cellStyle name="Normal 4 2 8 2 2" xfId="6731"/>
    <cellStyle name="Normal 4 2 9 2 2" xfId="6732"/>
    <cellStyle name="Normal 4 3 7 2" xfId="6733"/>
    <cellStyle name="Normal 4 3 2 6 2" xfId="6734"/>
    <cellStyle name="Normal 4 3 2 2 5 2" xfId="6735"/>
    <cellStyle name="Normal 4 3 2 2 2 3 2" xfId="6736"/>
    <cellStyle name="Normal 4 3 2 2 2 2 2 2" xfId="6737"/>
    <cellStyle name="Normal 4 3 2 2 3 3 2" xfId="6738"/>
    <cellStyle name="Normal 4 3 2 2 3 2 2 2" xfId="6739"/>
    <cellStyle name="Normal 4 3 2 2 4 2 2" xfId="6740"/>
    <cellStyle name="Normal 4 3 2 3 3 2" xfId="6741"/>
    <cellStyle name="Normal 4 3 2 3 2 2 2" xfId="6742"/>
    <cellStyle name="Normal 4 3 2 4 3 2" xfId="6743"/>
    <cellStyle name="Normal 4 3 2 4 2 2 2" xfId="6744"/>
    <cellStyle name="Normal 4 3 2 5 2 2" xfId="6745"/>
    <cellStyle name="Normal 4 3 3 5 2" xfId="6746"/>
    <cellStyle name="Normal 4 3 3 2 3 2" xfId="6747"/>
    <cellStyle name="Normal 4 3 3 2 2 2 2" xfId="6748"/>
    <cellStyle name="Normal 4 3 3 3 3 2" xfId="6749"/>
    <cellStyle name="Normal 4 3 3 3 2 2 2" xfId="6750"/>
    <cellStyle name="Normal 4 3 3 4 2 2" xfId="6751"/>
    <cellStyle name="Normal 4 3 4 3 2" xfId="6752"/>
    <cellStyle name="Normal 4 3 4 2 2 2" xfId="6753"/>
    <cellStyle name="Normal 4 3 5 3 2" xfId="6754"/>
    <cellStyle name="Normal 4 3 5 2 2 2" xfId="6755"/>
    <cellStyle name="Normal 4 3 6 2 2" xfId="6756"/>
    <cellStyle name="Normal 4 4 4 2" xfId="6757"/>
    <cellStyle name="Normal 4 4 2 2 2" xfId="6758"/>
    <cellStyle name="Normal 4 5 2 2" xfId="6759"/>
    <cellStyle name="Normal 4 6 2 2" xfId="6760"/>
    <cellStyle name="Normal 4 7 2 2" xfId="6761"/>
    <cellStyle name="Normal 4 8 2 2" xfId="6762"/>
    <cellStyle name="Normal 41 2 2 2" xfId="6763"/>
    <cellStyle name="Normal 46 2 2" xfId="6764"/>
    <cellStyle name="Normal 5 28 2 2" xfId="6765"/>
    <cellStyle name="Normal 5 2 7 2" xfId="6766"/>
    <cellStyle name="Normal 5 2 2 2 2 2 2" xfId="6767"/>
    <cellStyle name="Normal 5 2 2 3 2 2" xfId="6768"/>
    <cellStyle name="Normal 5 2 3 2 2 2 2" xfId="6769"/>
    <cellStyle name="Normal 5 2 3 3 2 2" xfId="6770"/>
    <cellStyle name="Normal 5 2 4 2 2 2" xfId="6771"/>
    <cellStyle name="Normal 5 2 6 2 2" xfId="6772"/>
    <cellStyle name="Normal 5 24 2 2" xfId="6773"/>
    <cellStyle name="Normal 5 3 3 2" xfId="6774"/>
    <cellStyle name="Normal 5 4 3 2" xfId="6775"/>
    <cellStyle name="Normal 5 5 3 2" xfId="6776"/>
    <cellStyle name="Normal 5 6 3 2" xfId="6777"/>
    <cellStyle name="Normal 5 7 3 2" xfId="6778"/>
    <cellStyle name="Normal 7 25 2 2" xfId="6779"/>
    <cellStyle name="Normal 7 10 2 2" xfId="6780"/>
    <cellStyle name="Normal 7 11 2 2" xfId="6781"/>
    <cellStyle name="Normal 7 12 2 2" xfId="6782"/>
    <cellStyle name="Normal 7 13 2 2" xfId="6783"/>
    <cellStyle name="Normal 7 14 2 2" xfId="6784"/>
    <cellStyle name="Normal 7 15 2 2" xfId="6785"/>
    <cellStyle name="Normal 7 16 2 2" xfId="6786"/>
    <cellStyle name="Normal 7 17 2 2" xfId="6787"/>
    <cellStyle name="Normal 7 18 2 2" xfId="6788"/>
    <cellStyle name="Normal 7 19 2 2" xfId="6789"/>
    <cellStyle name="Normal 7 2 6 2" xfId="6790"/>
    <cellStyle name="Normal 7 2 2 2 2" xfId="6791"/>
    <cellStyle name="Normal 7 2 3 2 2" xfId="6792"/>
    <cellStyle name="Normal 7 2 4 2 2" xfId="6793"/>
    <cellStyle name="Normal 7 2 5 2 2" xfId="6794"/>
    <cellStyle name="Normal 7 20 2 2" xfId="6795"/>
    <cellStyle name="Normal 7 22 2 2" xfId="6796"/>
    <cellStyle name="Normal 7 3 6 2" xfId="6797"/>
    <cellStyle name="Normal 7 3 2 2 2" xfId="6798"/>
    <cellStyle name="Normal 7 3 3 2 2" xfId="6799"/>
    <cellStyle name="Normal 7 3 4 2 2" xfId="6800"/>
    <cellStyle name="Normal 7 3 5 2 2" xfId="6801"/>
    <cellStyle name="Normal 7 4 2 2" xfId="6802"/>
    <cellStyle name="Normal 7 5 2 2" xfId="6803"/>
    <cellStyle name="Normal 7 6 2 2" xfId="6804"/>
    <cellStyle name="Normal 7 7 2 2" xfId="6805"/>
    <cellStyle name="Normal 7 8 2 2" xfId="6806"/>
    <cellStyle name="Normal 7 9 2 2" xfId="6807"/>
    <cellStyle name="Normal 8 25 2 2" xfId="6808"/>
    <cellStyle name="Normal 8 10 2 2" xfId="6809"/>
    <cellStyle name="Normal 8 11 2 2" xfId="6810"/>
    <cellStyle name="Normal 8 12 2 2" xfId="6811"/>
    <cellStyle name="Normal 8 13 2 2" xfId="6812"/>
    <cellStyle name="Normal 8 14 2 2" xfId="6813"/>
    <cellStyle name="Normal 8 15 2 2" xfId="6814"/>
    <cellStyle name="Normal 8 16 2 2" xfId="6815"/>
    <cellStyle name="Normal 8 17 2 2" xfId="6816"/>
    <cellStyle name="Normal 8 18 2 2" xfId="6817"/>
    <cellStyle name="Normal 8 19 2 2" xfId="6818"/>
    <cellStyle name="Normal 8 2 6 2 2" xfId="6819"/>
    <cellStyle name="Normal 8 2 2 2 2 2" xfId="6820"/>
    <cellStyle name="Normal 8 2 3 2 2" xfId="6821"/>
    <cellStyle name="Normal 8 2 4 2 2" xfId="6822"/>
    <cellStyle name="Normal 8 2 5 2 2" xfId="6823"/>
    <cellStyle name="Normal 8 20 2 2" xfId="6824"/>
    <cellStyle name="Normal 8 22 2 2" xfId="6825"/>
    <cellStyle name="Normal 8 3 6 2 2" xfId="6826"/>
    <cellStyle name="Normal 8 3 2 2 2" xfId="6827"/>
    <cellStyle name="Normal 8 3 3 2 2" xfId="6828"/>
    <cellStyle name="Normal 8 3 4 2 2" xfId="6829"/>
    <cellStyle name="Normal 8 3 5 2 2" xfId="6830"/>
    <cellStyle name="Normal 8 4 2 2" xfId="6831"/>
    <cellStyle name="Normal 8 5 2 2" xfId="6832"/>
    <cellStyle name="Normal 8 6 2 2" xfId="6833"/>
    <cellStyle name="Normal 8 7 2 2" xfId="6834"/>
    <cellStyle name="Normal 8 8 2 2" xfId="6835"/>
    <cellStyle name="Normal 8 9 2 2" xfId="6836"/>
    <cellStyle name="Normal 9 25 2 2" xfId="6837"/>
    <cellStyle name="Normal 9 10 2 2" xfId="6838"/>
    <cellStyle name="Normal 9 11 2 2" xfId="6839"/>
    <cellStyle name="Normal 9 12 2 2" xfId="6840"/>
    <cellStyle name="Normal 9 13 2 2" xfId="6841"/>
    <cellStyle name="Normal 9 14 2 2" xfId="6842"/>
    <cellStyle name="Normal 9 15 2 2" xfId="6843"/>
    <cellStyle name="Normal 9 16 2 2" xfId="6844"/>
    <cellStyle name="Normal 9 17 2 2" xfId="6845"/>
    <cellStyle name="Normal 9 18 2 2" xfId="6846"/>
    <cellStyle name="Normal 9 19 2 2" xfId="6847"/>
    <cellStyle name="Normal 9 2 6 2" xfId="6848"/>
    <cellStyle name="Normal 9 2 2 2 2" xfId="6849"/>
    <cellStyle name="Normal 9 2 3 2 2" xfId="6850"/>
    <cellStyle name="Normal 9 2 4 2 2" xfId="6851"/>
    <cellStyle name="Normal 9 2 5 2 2" xfId="6852"/>
    <cellStyle name="Normal 9 20 2 2" xfId="6853"/>
    <cellStyle name="Normal 9 22 2 2" xfId="6854"/>
    <cellStyle name="Normal 9 3 6 2" xfId="6855"/>
    <cellStyle name="Normal 9 3 2 2 2" xfId="6856"/>
    <cellStyle name="Normal 9 3 3 2 2" xfId="6857"/>
    <cellStyle name="Normal 9 3 4 2 2" xfId="6858"/>
    <cellStyle name="Normal 9 3 5 2 2" xfId="6859"/>
    <cellStyle name="Normal 9 4 2 2" xfId="6860"/>
    <cellStyle name="Normal 9 5 2 2" xfId="6861"/>
    <cellStyle name="Normal 9 6 2 2" xfId="6862"/>
    <cellStyle name="Normal 9 7 2 2" xfId="6863"/>
    <cellStyle name="Normal 9 8 2 2" xfId="6864"/>
    <cellStyle name="Normal 9 9 2 2" xfId="6865"/>
    <cellStyle name="Note 2 2 2 5" xfId="6866"/>
    <cellStyle name="Note 3 2 2" xfId="6867"/>
    <cellStyle name="Note 4 2 2" xfId="6868"/>
    <cellStyle name="Note 7 2 2" xfId="6869"/>
    <cellStyle name="Percent 120 2 2" xfId="6870"/>
    <cellStyle name="Percent 121 2 2" xfId="6871"/>
    <cellStyle name="Percent 122 2 2" xfId="6872"/>
    <cellStyle name="Percent 123 2 2" xfId="6873"/>
    <cellStyle name="Percent 124 2 2" xfId="6874"/>
    <cellStyle name="Percent 125 2 2" xfId="6875"/>
    <cellStyle name="Percent 126 2 2" xfId="6876"/>
    <cellStyle name="Percent 127 2 2" xfId="6877"/>
    <cellStyle name="Percent 128 2 2" xfId="6878"/>
    <cellStyle name="Percent 129 2 2" xfId="6879"/>
    <cellStyle name="Percent 130 2 2" xfId="6880"/>
    <cellStyle name="Percent 159 2 2" xfId="6881"/>
    <cellStyle name="Percent 2 22 2 2" xfId="6882"/>
    <cellStyle name="Percent 25 2 3 2" xfId="6883"/>
    <cellStyle name="Percent 25 2 2 2 2" xfId="6884"/>
    <cellStyle name="Percent 25 3 3 2" xfId="6885"/>
    <cellStyle name="Percent 25 3 2 2 2" xfId="6886"/>
    <cellStyle name="Percent 25 4 2 2 2" xfId="6887"/>
    <cellStyle name="Percent 25 5 2 2" xfId="6888"/>
    <cellStyle name="Percent 26 2 3 2" xfId="6889"/>
    <cellStyle name="Percent 26 2 2 2 2" xfId="6890"/>
    <cellStyle name="Percent 26 3 3 2" xfId="6891"/>
    <cellStyle name="Percent 26 3 2 2 2" xfId="6892"/>
    <cellStyle name="Percent 26 4 2 2 2" xfId="6893"/>
    <cellStyle name="Percent 26 5 2 2" xfId="6894"/>
    <cellStyle name="Percent 27 2 3 2" xfId="6895"/>
    <cellStyle name="Percent 27 2 2 2 2" xfId="6896"/>
    <cellStyle name="Percent 27 3 3 2" xfId="6897"/>
    <cellStyle name="Percent 27 3 2 2 2" xfId="6898"/>
    <cellStyle name="Percent 27 4 2 2 2" xfId="6899"/>
    <cellStyle name="Percent 27 5 2 2" xfId="6900"/>
    <cellStyle name="Percent 28 2 3 2" xfId="6901"/>
    <cellStyle name="Percent 28 2 2 2 2" xfId="6902"/>
    <cellStyle name="Percent 28 3 3 2" xfId="6903"/>
    <cellStyle name="Percent 28 3 2 2 2" xfId="6904"/>
    <cellStyle name="Percent 28 4 2 2 2" xfId="6905"/>
    <cellStyle name="Percent 28 5 2 2" xfId="6906"/>
    <cellStyle name="Percent 29 2 3 2" xfId="6907"/>
    <cellStyle name="Percent 29 2 2 2 2" xfId="6908"/>
    <cellStyle name="Percent 29 3 3 2" xfId="6909"/>
    <cellStyle name="Percent 29 3 2 2 2" xfId="6910"/>
    <cellStyle name="Percent 29 4 2 2 2" xfId="6911"/>
    <cellStyle name="Percent 29 5 2 2" xfId="6912"/>
    <cellStyle name="Percent 3 10 2 2" xfId="6913"/>
    <cellStyle name="Percent 3 11 2 2" xfId="6914"/>
    <cellStyle name="Percent 3 12 2 2" xfId="6915"/>
    <cellStyle name="Percent 3 13 2 2" xfId="6916"/>
    <cellStyle name="Percent 3 14 2 2" xfId="6917"/>
    <cellStyle name="Percent 3 15 2 2" xfId="6918"/>
    <cellStyle name="Percent 3 16 2 2" xfId="6919"/>
    <cellStyle name="Percent 3 17 2 2" xfId="6920"/>
    <cellStyle name="Percent 3 18 2 2" xfId="6921"/>
    <cellStyle name="Percent 3 19 2 2" xfId="6922"/>
    <cellStyle name="Percent 3 2 23 2" xfId="6923"/>
    <cellStyle name="Percent 3 2 10 2 2" xfId="6924"/>
    <cellStyle name="Percent 3 2 11 2 2" xfId="6925"/>
    <cellStyle name="Percent 3 2 12 2 2" xfId="6926"/>
    <cellStyle name="Percent 3 2 13 2 2" xfId="6927"/>
    <cellStyle name="Percent 3 2 14 2 2" xfId="6928"/>
    <cellStyle name="Percent 3 2 15 2 2" xfId="6929"/>
    <cellStyle name="Percent 3 2 16 2 2" xfId="6930"/>
    <cellStyle name="Percent 3 2 17 2 2" xfId="6931"/>
    <cellStyle name="Percent 3 2 18 2 2" xfId="6932"/>
    <cellStyle name="Percent 3 2 19 2 2" xfId="6933"/>
    <cellStyle name="Percent 3 2 2 2 2 2" xfId="6934"/>
    <cellStyle name="Percent 3 2 2 3 2 2" xfId="6935"/>
    <cellStyle name="Percent 3 2 2 4 2 2" xfId="6936"/>
    <cellStyle name="Percent 3 2 2 5 2 2" xfId="6937"/>
    <cellStyle name="Percent 3 2 20 2 2" xfId="6938"/>
    <cellStyle name="Percent 3 2 21 2 2 2" xfId="6939"/>
    <cellStyle name="Percent 3 2 3 6 2" xfId="6940"/>
    <cellStyle name="Percent 3 2 3 2 2 2" xfId="6941"/>
    <cellStyle name="Percent 3 2 3 3 2 2" xfId="6942"/>
    <cellStyle name="Percent 3 2 3 4 2 2" xfId="6943"/>
    <cellStyle name="Percent 3 2 3 5 2 2" xfId="6944"/>
    <cellStyle name="Percent 3 2 4 3 2" xfId="6945"/>
    <cellStyle name="Percent 3 2 4 2 2 2" xfId="6946"/>
    <cellStyle name="Percent 3 2 5 3 2" xfId="6947"/>
    <cellStyle name="Percent 3 2 5 2 2 2" xfId="6948"/>
    <cellStyle name="Percent 3 2 6 3 2" xfId="6949"/>
    <cellStyle name="Percent 3 2 6 2 2 2" xfId="6950"/>
    <cellStyle name="Percent 3 2 7 2 2" xfId="6951"/>
    <cellStyle name="Percent 3 2 8 2 2" xfId="6952"/>
    <cellStyle name="Percent 3 2 9 2 2" xfId="6953"/>
    <cellStyle name="Percent 3 20 2 2" xfId="6954"/>
    <cellStyle name="Percent 3 21 2 2" xfId="6955"/>
    <cellStyle name="Percent 3 3 2 2 2" xfId="6956"/>
    <cellStyle name="Percent 3 3 3 2 2" xfId="6957"/>
    <cellStyle name="Percent 3 3 4 2 2" xfId="6958"/>
    <cellStyle name="Percent 3 3 5 2 2" xfId="6959"/>
    <cellStyle name="Percent 3 4 6 2" xfId="6960"/>
    <cellStyle name="Percent 3 4 2 2 2" xfId="6961"/>
    <cellStyle name="Percent 3 4 3 2 2" xfId="6962"/>
    <cellStyle name="Percent 3 4 4 2 2" xfId="6963"/>
    <cellStyle name="Percent 3 4 5 2 2" xfId="6964"/>
    <cellStyle name="Percent 3 5 3 2" xfId="6965"/>
    <cellStyle name="Percent 3 5 2 2 2" xfId="6966"/>
    <cellStyle name="Percent 3 6 3 2" xfId="6967"/>
    <cellStyle name="Percent 3 6 2 2 2" xfId="6968"/>
    <cellStyle name="Percent 3 7 3 2" xfId="6969"/>
    <cellStyle name="Percent 3 7 2 2 2" xfId="6970"/>
    <cellStyle name="Percent 3 8 2 2" xfId="6971"/>
    <cellStyle name="Percent 3 9 2 2" xfId="6972"/>
    <cellStyle name="Percent 30 2 3 2" xfId="6973"/>
    <cellStyle name="Percent 30 2 2 2 2" xfId="6974"/>
    <cellStyle name="Percent 30 3 3 2" xfId="6975"/>
    <cellStyle name="Percent 30 3 2 2 2" xfId="6976"/>
    <cellStyle name="Percent 30 4 2 2 2" xfId="6977"/>
    <cellStyle name="Percent 30 5 2 2" xfId="6978"/>
    <cellStyle name="Percent 31 2 3 2" xfId="6979"/>
    <cellStyle name="Percent 31 2 2 2 2" xfId="6980"/>
    <cellStyle name="Percent 31 3 3 2" xfId="6981"/>
    <cellStyle name="Percent 31 3 2 2 2" xfId="6982"/>
    <cellStyle name="Percent 31 4 2 2 2" xfId="6983"/>
    <cellStyle name="Percent 31 5 2 2" xfId="6984"/>
    <cellStyle name="Percent 32 2 3 2" xfId="6985"/>
    <cellStyle name="Percent 32 2 2 2 2" xfId="6986"/>
    <cellStyle name="Percent 32 3 3 2" xfId="6987"/>
    <cellStyle name="Percent 32 3 2 2 2" xfId="6988"/>
    <cellStyle name="Percent 32 4 2 2 2" xfId="6989"/>
    <cellStyle name="Percent 32 5 2 2" xfId="6990"/>
    <cellStyle name="Percent 33 2 3 2" xfId="6991"/>
    <cellStyle name="Percent 33 2 2 2 2" xfId="6992"/>
    <cellStyle name="Percent 33 3 3 2" xfId="6993"/>
    <cellStyle name="Percent 33 3 2 2 2" xfId="6994"/>
    <cellStyle name="Percent 33 4 2 2 2" xfId="6995"/>
    <cellStyle name="Percent 33 5 2 2" xfId="6996"/>
    <cellStyle name="Percent 34 2 3 2" xfId="6997"/>
    <cellStyle name="Percent 34 2 2 2 2" xfId="6998"/>
    <cellStyle name="Percent 34 3 3 2" xfId="6999"/>
    <cellStyle name="Percent 34 3 2 2 2" xfId="7000"/>
    <cellStyle name="Percent 34 4 2 2 2" xfId="7001"/>
    <cellStyle name="Percent 34 5 2 2" xfId="7002"/>
    <cellStyle name="Percent 35 2 3 2" xfId="7003"/>
    <cellStyle name="Percent 35 2 2 2 2" xfId="7004"/>
    <cellStyle name="Percent 35 3 3 2" xfId="7005"/>
    <cellStyle name="Percent 35 3 2 2 2" xfId="7006"/>
    <cellStyle name="Percent 35 4 2 2 2" xfId="7007"/>
    <cellStyle name="Percent 35 5 2 2" xfId="7008"/>
    <cellStyle name="Currency 5 4 2 2" xfId="7009"/>
    <cellStyle name="Comma 5 7 2 2" xfId="7010"/>
    <cellStyle name="Percent 5 4 2 2" xfId="7011"/>
    <cellStyle name="Comma 6 5 2 2" xfId="7012"/>
    <cellStyle name="Currency 5 2 4 2 2" xfId="7013"/>
    <cellStyle name="Comma 5 2 4 2 2" xfId="7014"/>
    <cellStyle name="Percent 5 2 4 2 2" xfId="7015"/>
    <cellStyle name="Comma 6 2 3 2 2" xfId="7016"/>
    <cellStyle name="Currency 5 3 2 2 2" xfId="7017"/>
    <cellStyle name="Comma 5 3 2 2 2" xfId="7018"/>
    <cellStyle name="Percent 5 3 2 2 2" xfId="7019"/>
    <cellStyle name="Comma 6 3 4 2 2" xfId="7020"/>
    <cellStyle name="Normal 11 2 2 2 2" xfId="7021"/>
    <cellStyle name="Currency 5 2 2 2 2 2" xfId="7022"/>
    <cellStyle name="Comma 5 2 2 2 2 2" xfId="7023"/>
    <cellStyle name="Percent 5 2 2 2 2 2" xfId="7024"/>
    <cellStyle name="Comma 6 2 2 2 2 2" xfId="7025"/>
    <cellStyle name="Total 5 2 2" xfId="7026"/>
    <cellStyle name="Output 6 5 2" xfId="7027"/>
    <cellStyle name="Output 6 2 2" xfId="7028"/>
    <cellStyle name="Total 6 3 2" xfId="7029"/>
    <cellStyle name="Total 5 4 2" xfId="7030"/>
    <cellStyle name="Output 6 3 2" xfId="7031"/>
    <cellStyle name="Input 5 2 2" xfId="7032"/>
    <cellStyle name="Input 5 5 2" xfId="7033"/>
    <cellStyle name="Calculation 6 2 2" xfId="7034"/>
    <cellStyle name="Output 6 4 2" xfId="7035"/>
    <cellStyle name="Input 5 6" xfId="7036"/>
    <cellStyle name="Calculation 6 6" xfId="7037"/>
    <cellStyle name="Normal 54" xfId="7038"/>
    <cellStyle name="Normal 53" xfId="7039"/>
    <cellStyle name="Heading 3 9" xfId="7040"/>
    <cellStyle name="Percent 181" xfId="7041"/>
    <cellStyle name="Currency 180" xfId="7042"/>
    <cellStyle name="Comma 207" xfId="7043"/>
    <cellStyle name="Comma [0] 7" xfId="7044"/>
    <cellStyle name="Currency [0] 7" xfId="7045"/>
    <cellStyle name="Currency 5 8" xfId="7046"/>
    <cellStyle name="Normal 8 28" xfId="7047"/>
    <cellStyle name="Comma 5 11 4" xfId="7048"/>
    <cellStyle name="Percent 5 8 4" xfId="7049"/>
    <cellStyle name="Comma 6 9" xfId="7050"/>
    <cellStyle name="Normal 11 7" xfId="7051"/>
    <cellStyle name="Currency 5 2 8" xfId="7052"/>
    <cellStyle name="Normal 8 2 9" xfId="7053"/>
    <cellStyle name="Comma 5 2 8" xfId="7054"/>
    <cellStyle name="Percent 5 2 8" xfId="7055"/>
    <cellStyle name="Comma 6 2 7" xfId="7056"/>
    <cellStyle name="Currency 5 3 6" xfId="7057"/>
    <cellStyle name="Normal 8 3 9" xfId="7058"/>
    <cellStyle name="Comma 5 3 6" xfId="7059"/>
    <cellStyle name="Percent 5 3 6" xfId="7060"/>
    <cellStyle name="Comma 6 3 8" xfId="7061"/>
    <cellStyle name="Normal 11 2 6" xfId="7062"/>
    <cellStyle name="Currency 5 2 2 6" xfId="7063"/>
    <cellStyle name="Normal 8 2 2 5" xfId="7064"/>
    <cellStyle name="Comma 5 2 2 6" xfId="7065"/>
    <cellStyle name="Percent 5 2 2 6" xfId="7066"/>
    <cellStyle name="Comma 6 2 2 5" xfId="7067"/>
    <cellStyle name="Normal 50 4" xfId="7068"/>
    <cellStyle name="Comma 186 4" xfId="7069"/>
    <cellStyle name="Percent 162 4" xfId="7070"/>
    <cellStyle name="Normal 2 24 4" xfId="7071"/>
    <cellStyle name="20% - Accent1 2 4" xfId="7072"/>
    <cellStyle name="20% - Accent1 3 4" xfId="7073"/>
    <cellStyle name="20% - Accent1 4 4" xfId="7074"/>
    <cellStyle name="20% - Accent1 5 4" xfId="7075"/>
    <cellStyle name="20% - Accent2 2 4" xfId="7076"/>
    <cellStyle name="20% - Accent2 3 4" xfId="7077"/>
    <cellStyle name="20% - Accent2 4 4" xfId="7078"/>
    <cellStyle name="20% - Accent2 5 4" xfId="7079"/>
    <cellStyle name="20% - Accent3 2 4" xfId="7080"/>
    <cellStyle name="20% - Accent3 3 4" xfId="7081"/>
    <cellStyle name="20% - Accent3 4 4" xfId="7082"/>
    <cellStyle name="20% - Accent3 5 4" xfId="7083"/>
    <cellStyle name="20% - Accent4 2 4" xfId="7084"/>
    <cellStyle name="20% - Accent4 3 4" xfId="7085"/>
    <cellStyle name="20% - Accent4 4 4" xfId="7086"/>
    <cellStyle name="20% - Accent4 5 4" xfId="7087"/>
    <cellStyle name="20% - Accent5 2 4" xfId="7088"/>
    <cellStyle name="20% - Accent5 3 4" xfId="7089"/>
    <cellStyle name="20% - Accent5 4 4" xfId="7090"/>
    <cellStyle name="20% - Accent6 2 4" xfId="7091"/>
    <cellStyle name="20% - Accent6 3 4" xfId="7092"/>
    <cellStyle name="20% - Accent6 4 4" xfId="7093"/>
    <cellStyle name="40% - Accent1 2 4" xfId="7094"/>
    <cellStyle name="40% - Accent1 3 4" xfId="7095"/>
    <cellStyle name="40% - Accent1 4 4" xfId="7096"/>
    <cellStyle name="40% - Accent1 5 4" xfId="7097"/>
    <cellStyle name="40% - Accent2 2 4" xfId="7098"/>
    <cellStyle name="40% - Accent2 3 4" xfId="7099"/>
    <cellStyle name="40% - Accent2 4 4" xfId="7100"/>
    <cellStyle name="40% - Accent3 2 4" xfId="7101"/>
    <cellStyle name="40% - Accent3 3 4" xfId="7102"/>
    <cellStyle name="40% - Accent3 4 4" xfId="7103"/>
    <cellStyle name="40% - Accent3 5 4" xfId="7104"/>
    <cellStyle name="40% - Accent4 2 4" xfId="7105"/>
    <cellStyle name="40% - Accent4 3 4" xfId="7106"/>
    <cellStyle name="40% - Accent4 4 4" xfId="7107"/>
    <cellStyle name="40% - Accent4 5 4" xfId="7108"/>
    <cellStyle name="40% - Accent5 2 4" xfId="7109"/>
    <cellStyle name="40% - Accent5 3 4" xfId="7110"/>
    <cellStyle name="40% - Accent5 4 4" xfId="7111"/>
    <cellStyle name="40% - Accent6 2 4" xfId="7112"/>
    <cellStyle name="40% - Accent6 3 4" xfId="7113"/>
    <cellStyle name="40% - Accent6 4 4" xfId="7114"/>
    <cellStyle name="40% - Accent6 5 4" xfId="7115"/>
    <cellStyle name="Comma 143 4" xfId="7116"/>
    <cellStyle name="Comma 144 4" xfId="7117"/>
    <cellStyle name="Comma 145 4" xfId="7118"/>
    <cellStyle name="Comma 146 4" xfId="7119"/>
    <cellStyle name="Comma 147 4" xfId="7120"/>
    <cellStyle name="Comma 148 4" xfId="7121"/>
    <cellStyle name="Comma 149 4" xfId="7122"/>
    <cellStyle name="Comma 150 4" xfId="7123"/>
    <cellStyle name="Comma 151 4" xfId="7124"/>
    <cellStyle name="Comma 152 4" xfId="7125"/>
    <cellStyle name="Comma 153 4" xfId="7126"/>
    <cellStyle name="Comma 182 4" xfId="7127"/>
    <cellStyle name="Comma 2 23 4" xfId="7128"/>
    <cellStyle name="Comma 2 2 10 4" xfId="7129"/>
    <cellStyle name="Comma 2 2 11 4" xfId="7130"/>
    <cellStyle name="Comma 2 2 12 4" xfId="7131"/>
    <cellStyle name="Comma 2 2 13 4" xfId="7132"/>
    <cellStyle name="Comma 2 2 14 4" xfId="7133"/>
    <cellStyle name="Comma 2 2 15 4" xfId="7134"/>
    <cellStyle name="Comma 2 2 16 4" xfId="7135"/>
    <cellStyle name="Comma 2 2 17 4" xfId="7136"/>
    <cellStyle name="Comma 2 2 2 2 8" xfId="7137"/>
    <cellStyle name="Comma 2 2 2 2 2 4" xfId="7138"/>
    <cellStyle name="Comma 2 2 2 2 3 4" xfId="7139"/>
    <cellStyle name="Comma 2 2 2 2 4 4" xfId="7140"/>
    <cellStyle name="Comma 2 2 2 2 5 4" xfId="7141"/>
    <cellStyle name="Comma 2 2 2 3 4" xfId="7142"/>
    <cellStyle name="Comma 2 2 2 4 4" xfId="7143"/>
    <cellStyle name="Comma 2 2 2 5 4" xfId="7144"/>
    <cellStyle name="Comma 2 2 2 6 4" xfId="7145"/>
    <cellStyle name="Comma 2 2 3 8" xfId="7146"/>
    <cellStyle name="Comma 2 2 3 2 2 4" xfId="7147"/>
    <cellStyle name="Comma 2 2 3 2 3 4" xfId="7148"/>
    <cellStyle name="Comma 2 2 3 2 4 4" xfId="7149"/>
    <cellStyle name="Comma 2 2 3 2 5 4" xfId="7150"/>
    <cellStyle name="Comma 2 2 3 3 4" xfId="7151"/>
    <cellStyle name="Comma 2 2 4 2 4" xfId="7152"/>
    <cellStyle name="Comma 2 2 5 4" xfId="7153"/>
    <cellStyle name="Comma 2 2 6 4" xfId="7154"/>
    <cellStyle name="Comma 2 2 7 4" xfId="7155"/>
    <cellStyle name="Comma 2 2 8 4" xfId="7156"/>
    <cellStyle name="Comma 2 2 9 4" xfId="7157"/>
    <cellStyle name="Comma 3 10 4" xfId="7158"/>
    <cellStyle name="Comma 3 11 4" xfId="7159"/>
    <cellStyle name="Comma 3 12 4" xfId="7160"/>
    <cellStyle name="Comma 3 13 4" xfId="7161"/>
    <cellStyle name="Comma 3 14 4" xfId="7162"/>
    <cellStyle name="Comma 3 15 4" xfId="7163"/>
    <cellStyle name="Comma 3 16 4" xfId="7164"/>
    <cellStyle name="Comma 3 17 4" xfId="7165"/>
    <cellStyle name="Comma 3 18 4" xfId="7166"/>
    <cellStyle name="Comma 3 19 4" xfId="7167"/>
    <cellStyle name="Comma 3 2 2 4" xfId="7168"/>
    <cellStyle name="Comma 3 2 3 4" xfId="7169"/>
    <cellStyle name="Comma 3 2 4 4" xfId="7170"/>
    <cellStyle name="Comma 3 2 5 4" xfId="7171"/>
    <cellStyle name="Comma 3 20 4" xfId="7172"/>
    <cellStyle name="Comma 3 21 4" xfId="7173"/>
    <cellStyle name="Comma 3 3 8" xfId="7174"/>
    <cellStyle name="Comma 3 3 2 4" xfId="7175"/>
    <cellStyle name="Comma 3 3 3 4" xfId="7176"/>
    <cellStyle name="Comma 3 3 4 4" xfId="7177"/>
    <cellStyle name="Comma 3 3 5 4" xfId="7178"/>
    <cellStyle name="Comma 3 4 5" xfId="7179"/>
    <cellStyle name="Comma 3 4 2 4" xfId="7180"/>
    <cellStyle name="Comma 3 5 5" xfId="7181"/>
    <cellStyle name="Comma 3 5 2 4" xfId="7182"/>
    <cellStyle name="Comma 3 6 5" xfId="7183"/>
    <cellStyle name="Comma 3 6 2 4" xfId="7184"/>
    <cellStyle name="Comma 3 7 4" xfId="7185"/>
    <cellStyle name="Comma 3 8 4" xfId="7186"/>
    <cellStyle name="Comma 3 9 4" xfId="7187"/>
    <cellStyle name="Currency 120 4" xfId="7188"/>
    <cellStyle name="Currency 121 4" xfId="7189"/>
    <cellStyle name="Currency 122 4" xfId="7190"/>
    <cellStyle name="Currency 123 4" xfId="7191"/>
    <cellStyle name="Currency 124 4" xfId="7192"/>
    <cellStyle name="Currency 125 4" xfId="7193"/>
    <cellStyle name="Currency 126 4" xfId="7194"/>
    <cellStyle name="Currency 127 4" xfId="7195"/>
    <cellStyle name="Currency 128 4" xfId="7196"/>
    <cellStyle name="Currency 129 4" xfId="7197"/>
    <cellStyle name="Currency 130 4" xfId="7198"/>
    <cellStyle name="Currency 159 4" xfId="7199"/>
    <cellStyle name="Currency 2 27 4" xfId="7200"/>
    <cellStyle name="Currency 2 2 20 4" xfId="7201"/>
    <cellStyle name="Currency 2 2 10 4" xfId="7202"/>
    <cellStyle name="Currency 2 2 11 4" xfId="7203"/>
    <cellStyle name="Currency 2 2 12 4" xfId="7204"/>
    <cellStyle name="Currency 2 2 13 4" xfId="7205"/>
    <cellStyle name="Currency 2 2 14 4" xfId="7206"/>
    <cellStyle name="Currency 2 2 15 4" xfId="7207"/>
    <cellStyle name="Currency 2 2 16 4" xfId="7208"/>
    <cellStyle name="Currency 2 2 17 4" xfId="7209"/>
    <cellStyle name="Currency 2 2 18 4" xfId="7210"/>
    <cellStyle name="Currency 2 2 2 2 4" xfId="7211"/>
    <cellStyle name="Currency 2 2 2 3 4" xfId="7212"/>
    <cellStyle name="Currency 2 2 2 4 4" xfId="7213"/>
    <cellStyle name="Currency 2 2 2 5 4" xfId="7214"/>
    <cellStyle name="Currency 2 2 3 8" xfId="7215"/>
    <cellStyle name="Currency 2 2 3 2 4" xfId="7216"/>
    <cellStyle name="Currency 2 2 3 3 4" xfId="7217"/>
    <cellStyle name="Currency 2 2 3 4 4" xfId="7218"/>
    <cellStyle name="Currency 2 2 3 5 4" xfId="7219"/>
    <cellStyle name="Currency 2 2 4 4" xfId="7220"/>
    <cellStyle name="Currency 2 2 5 4" xfId="7221"/>
    <cellStyle name="Currency 2 2 6 4" xfId="7222"/>
    <cellStyle name="Currency 2 2 7 4" xfId="7223"/>
    <cellStyle name="Currency 2 2 8 4" xfId="7224"/>
    <cellStyle name="Currency 2 2 9 4" xfId="7225"/>
    <cellStyle name="Currency 3 10 4" xfId="7226"/>
    <cellStyle name="Currency 3 11 4" xfId="7227"/>
    <cellStyle name="Currency 3 12 4" xfId="7228"/>
    <cellStyle name="Currency 3 13 4" xfId="7229"/>
    <cellStyle name="Currency 3 14 4" xfId="7230"/>
    <cellStyle name="Currency 3 15 4" xfId="7231"/>
    <cellStyle name="Currency 3 16 4" xfId="7232"/>
    <cellStyle name="Currency 3 17 4" xfId="7233"/>
    <cellStyle name="Currency 3 18 4" xfId="7234"/>
    <cellStyle name="Currency 3 19 4" xfId="7235"/>
    <cellStyle name="Currency 3 2 2 4" xfId="7236"/>
    <cellStyle name="Currency 3 2 3 4" xfId="7237"/>
    <cellStyle name="Currency 3 2 4 4" xfId="7238"/>
    <cellStyle name="Currency 3 2 5 4" xfId="7239"/>
    <cellStyle name="Currency 3 20 4" xfId="7240"/>
    <cellStyle name="Currency 3 21 4" xfId="7241"/>
    <cellStyle name="Currency 3 3 10" xfId="7242"/>
    <cellStyle name="Currency 3 3 2 4" xfId="7243"/>
    <cellStyle name="Currency 3 3 3 4" xfId="7244"/>
    <cellStyle name="Currency 3 3 4 4" xfId="7245"/>
    <cellStyle name="Currency 3 3 5 4" xfId="7246"/>
    <cellStyle name="Currency 3 3 6 4" xfId="7247"/>
    <cellStyle name="Currency 3 4 5" xfId="7248"/>
    <cellStyle name="Currency 3 4 2 4" xfId="7249"/>
    <cellStyle name="Currency 3 5 5" xfId="7250"/>
    <cellStyle name="Currency 3 5 2 4" xfId="7251"/>
    <cellStyle name="Currency 3 6 5" xfId="7252"/>
    <cellStyle name="Currency 3 6 2 4" xfId="7253"/>
    <cellStyle name="Currency 3 7 4" xfId="7254"/>
    <cellStyle name="Currency 3 8 4" xfId="7255"/>
    <cellStyle name="Currency 3 9 4" xfId="7256"/>
    <cellStyle name="Normal 10 3 8" xfId="7257"/>
    <cellStyle name="Normal 10 3 2 7" xfId="7258"/>
    <cellStyle name="Normal 10 3 2 2 5" xfId="7259"/>
    <cellStyle name="Normal 10 3 2 2 2 4" xfId="7260"/>
    <cellStyle name="Normal 10 3 2 3 5" xfId="7261"/>
    <cellStyle name="Normal 10 3 2 3 2 4" xfId="7262"/>
    <cellStyle name="Normal 10 3 2 4 4" xfId="7263"/>
    <cellStyle name="Normal 10 3 3 5" xfId="7264"/>
    <cellStyle name="Normal 10 3 3 2 4" xfId="7265"/>
    <cellStyle name="Normal 10 3 4 5" xfId="7266"/>
    <cellStyle name="Normal 10 3 4 2 4" xfId="7267"/>
    <cellStyle name="Normal 10 3 5 4" xfId="7268"/>
    <cellStyle name="Normal 10 4 7" xfId="7269"/>
    <cellStyle name="Normal 10 4 2 5" xfId="7270"/>
    <cellStyle name="Normal 10 4 2 2 4" xfId="7271"/>
    <cellStyle name="Normal 10 4 3 5" xfId="7272"/>
    <cellStyle name="Normal 10 4 3 2 4" xfId="7273"/>
    <cellStyle name="Normal 10 4 4 4" xfId="7274"/>
    <cellStyle name="Normal 10 5 7" xfId="7275"/>
    <cellStyle name="Normal 10 5 2 5" xfId="7276"/>
    <cellStyle name="Normal 10 5 2 2 4" xfId="7277"/>
    <cellStyle name="Normal 10 5 3 5" xfId="7278"/>
    <cellStyle name="Normal 10 5 3 2 4" xfId="7279"/>
    <cellStyle name="Normal 10 5 4 4" xfId="7280"/>
    <cellStyle name="Normal 10 6 5" xfId="7281"/>
    <cellStyle name="Normal 10 6 2 4" xfId="7282"/>
    <cellStyle name="Normal 10 7 5" xfId="7283"/>
    <cellStyle name="Normal 10 7 2 4" xfId="7284"/>
    <cellStyle name="Normal 10 8 2 4" xfId="7285"/>
    <cellStyle name="Normal 10 9 4" xfId="7286"/>
    <cellStyle name="Normal 11 4 4" xfId="7287"/>
    <cellStyle name="Normal 11 3 4" xfId="7288"/>
    <cellStyle name="Normal 12 10" xfId="7289"/>
    <cellStyle name="Normal 12 2 2 7" xfId="7290"/>
    <cellStyle name="Normal 12 2 2 2 5" xfId="7291"/>
    <cellStyle name="Normal 12 2 2 2 2 4" xfId="7292"/>
    <cellStyle name="Normal 12 2 2 3 5" xfId="7293"/>
    <cellStyle name="Normal 12 2 2 3 2 4" xfId="7294"/>
    <cellStyle name="Normal 12 2 2 4 4" xfId="7295"/>
    <cellStyle name="Normal 12 2 3 5" xfId="7296"/>
    <cellStyle name="Normal 12 2 3 2 4" xfId="7297"/>
    <cellStyle name="Normal 12 2 4 5" xfId="7298"/>
    <cellStyle name="Normal 12 2 4 2 4" xfId="7299"/>
    <cellStyle name="Normal 12 2 5 2 4" xfId="7300"/>
    <cellStyle name="Normal 12 2 6 4" xfId="7301"/>
    <cellStyle name="Normal 12 3 7" xfId="7302"/>
    <cellStyle name="Normal 12 3 2 5" xfId="7303"/>
    <cellStyle name="Normal 12 3 2 2 4" xfId="7304"/>
    <cellStyle name="Normal 12 3 3 5" xfId="7305"/>
    <cellStyle name="Normal 12 3 3 2 4" xfId="7306"/>
    <cellStyle name="Normal 12 3 4 4" xfId="7307"/>
    <cellStyle name="Normal 12 4 7" xfId="7308"/>
    <cellStyle name="Normal 12 4 2 5" xfId="7309"/>
    <cellStyle name="Normal 12 4 2 2 4" xfId="7310"/>
    <cellStyle name="Normal 12 4 3 5" xfId="7311"/>
    <cellStyle name="Normal 12 4 3 2 4" xfId="7312"/>
    <cellStyle name="Normal 12 4 4 4" xfId="7313"/>
    <cellStyle name="Normal 12 5 5" xfId="7314"/>
    <cellStyle name="Normal 12 5 2 4" xfId="7315"/>
    <cellStyle name="Normal 12 6 5" xfId="7316"/>
    <cellStyle name="Normal 12 6 2 4" xfId="7317"/>
    <cellStyle name="Normal 12 7 4" xfId="7318"/>
    <cellStyle name="Normal 15 8" xfId="7319"/>
    <cellStyle name="Normal 15 3 4" xfId="7320"/>
    <cellStyle name="Normal 16 2 7" xfId="7321"/>
    <cellStyle name="Normal 16 2 2 5" xfId="7322"/>
    <cellStyle name="Normal 16 2 2 2 4" xfId="7323"/>
    <cellStyle name="Normal 16 2 3 5" xfId="7324"/>
    <cellStyle name="Normal 16 2 3 2 4" xfId="7325"/>
    <cellStyle name="Normal 16 2 4 4" xfId="7326"/>
    <cellStyle name="Normal 16 3 5" xfId="7327"/>
    <cellStyle name="Normal 16 3 2 4" xfId="7328"/>
    <cellStyle name="Normal 16 4 5" xfId="7329"/>
    <cellStyle name="Normal 16 4 2 4" xfId="7330"/>
    <cellStyle name="Normal 16 5 2 4" xfId="7331"/>
    <cellStyle name="Normal 16 6 4" xfId="7332"/>
    <cellStyle name="Normal 17 2 7" xfId="7333"/>
    <cellStyle name="Normal 17 2 2 5" xfId="7334"/>
    <cellStyle name="Normal 17 2 2 2 4" xfId="7335"/>
    <cellStyle name="Normal 17 2 3 5" xfId="7336"/>
    <cellStyle name="Normal 17 2 3 2 4" xfId="7337"/>
    <cellStyle name="Normal 17 2 4 4" xfId="7338"/>
    <cellStyle name="Normal 17 3 5" xfId="7339"/>
    <cellStyle name="Normal 17 3 2 4" xfId="7340"/>
    <cellStyle name="Normal 17 4 5" xfId="7341"/>
    <cellStyle name="Normal 17 4 2 4" xfId="7342"/>
    <cellStyle name="Normal 17 5 2 4" xfId="7343"/>
    <cellStyle name="Normal 17 6 4" xfId="7344"/>
    <cellStyle name="Normal 2 10 3 4" xfId="7345"/>
    <cellStyle name="Normal 2 11 3 4" xfId="7346"/>
    <cellStyle name="Normal 2 12 3 4" xfId="7347"/>
    <cellStyle name="Normal 2 13 3 4" xfId="7348"/>
    <cellStyle name="Normal 2 14 3 4" xfId="7349"/>
    <cellStyle name="Normal 2 15 3 4" xfId="7350"/>
    <cellStyle name="Normal 2 16 3 4" xfId="7351"/>
    <cellStyle name="Normal 2 17 3 4" xfId="7352"/>
    <cellStyle name="Normal 2 18 3 4" xfId="7353"/>
    <cellStyle name="Normal 2 19 3 4" xfId="7354"/>
    <cellStyle name="Normal 2 2 10 4" xfId="7355"/>
    <cellStyle name="Normal 2 2 11 4" xfId="7356"/>
    <cellStyle name="Normal 2 2 12 4" xfId="7357"/>
    <cellStyle name="Normal 2 2 13 4" xfId="7358"/>
    <cellStyle name="Normal 2 2 14 4" xfId="7359"/>
    <cellStyle name="Normal 2 2 15 4" xfId="7360"/>
    <cellStyle name="Normal 2 2 16 4" xfId="7361"/>
    <cellStyle name="Normal 2 2 17 4" xfId="7362"/>
    <cellStyle name="Normal 2 2 18 4" xfId="7363"/>
    <cellStyle name="Normal 2 2 19 4" xfId="7364"/>
    <cellStyle name="Normal 2 2 2 2 8" xfId="7365"/>
    <cellStyle name="Normal 2 2 2 2 2 5" xfId="7366"/>
    <cellStyle name="Normal 2 2 2 2 2 2 4" xfId="7367"/>
    <cellStyle name="Normal 2 2 2 2 3 4" xfId="7368"/>
    <cellStyle name="Normal 2 2 2 2 4 4" xfId="7369"/>
    <cellStyle name="Normal 2 2 2 2 5 4" xfId="7370"/>
    <cellStyle name="Normal 2 2 20 4" xfId="7371"/>
    <cellStyle name="Normal 2 2 21 4" xfId="7372"/>
    <cellStyle name="Normal 2 2 22 4" xfId="7373"/>
    <cellStyle name="Normal 2 2 3 11" xfId="7374"/>
    <cellStyle name="Normal 2 2 3 2 4" xfId="7375"/>
    <cellStyle name="Normal 2 2 3 3 4" xfId="7376"/>
    <cellStyle name="Normal 2 2 3 4 4" xfId="7377"/>
    <cellStyle name="Normal 2 2 3 5 4" xfId="7378"/>
    <cellStyle name="Normal 2 2 3 6 4" xfId="7379"/>
    <cellStyle name="Normal 2 2 4 7" xfId="7380"/>
    <cellStyle name="Normal 2 2 4 2 4" xfId="7381"/>
    <cellStyle name="Normal 2 2 5 6" xfId="7382"/>
    <cellStyle name="Normal 2 2 5 2 4" xfId="7383"/>
    <cellStyle name="Normal 2 2 6 4" xfId="7384"/>
    <cellStyle name="Normal 2 2 7 4" xfId="7385"/>
    <cellStyle name="Normal 2 2 8 4" xfId="7386"/>
    <cellStyle name="Normal 2 2 9 4" xfId="7387"/>
    <cellStyle name="Normal 2 20 4" xfId="7388"/>
    <cellStyle name="Normal 2 3 2 5" xfId="7389"/>
    <cellStyle name="Normal 2 3 3 4" xfId="7390"/>
    <cellStyle name="Normal 2 3 4 4" xfId="7391"/>
    <cellStyle name="Normal 2 3 5 4" xfId="7392"/>
    <cellStyle name="Normal 2 3 6 4" xfId="7393"/>
    <cellStyle name="Normal 2 4 5 4" xfId="7394"/>
    <cellStyle name="Normal 2 4 2 4" xfId="7395"/>
    <cellStyle name="Normal 2 5 3 4" xfId="7396"/>
    <cellStyle name="Normal 2 6 3 4" xfId="7397"/>
    <cellStyle name="Normal 2 7 3 4" xfId="7398"/>
    <cellStyle name="Normal 2 8 3 4" xfId="7399"/>
    <cellStyle name="Normal 2 9 3 4" xfId="7400"/>
    <cellStyle name="Normal 21 11" xfId="7401"/>
    <cellStyle name="Normal 21 2 9" xfId="7402"/>
    <cellStyle name="Normal 21 2 2 4" xfId="7403"/>
    <cellStyle name="Normal 21 2 3 4" xfId="7404"/>
    <cellStyle name="Normal 21 2 4 4" xfId="7405"/>
    <cellStyle name="Normal 21 2 5 4" xfId="7406"/>
    <cellStyle name="Normal 21 2 6 4" xfId="7407"/>
    <cellStyle name="Normal 21 3 5" xfId="7408"/>
    <cellStyle name="Normal 21 3 2 4" xfId="7409"/>
    <cellStyle name="Normal 21 4 4" xfId="7410"/>
    <cellStyle name="Normal 21 5 4" xfId="7411"/>
    <cellStyle name="Normal 21 6 4" xfId="7412"/>
    <cellStyle name="Normal 21 8 4" xfId="7413"/>
    <cellStyle name="Normal 22 10" xfId="7414"/>
    <cellStyle name="Normal 22 2 9" xfId="7415"/>
    <cellStyle name="Normal 22 2 2 4" xfId="7416"/>
    <cellStyle name="Normal 22 2 3 4" xfId="7417"/>
    <cellStyle name="Normal 22 2 4 4" xfId="7418"/>
    <cellStyle name="Normal 22 2 5 4" xfId="7419"/>
    <cellStyle name="Normal 22 3 4" xfId="7420"/>
    <cellStyle name="Normal 22 4 4" xfId="7421"/>
    <cellStyle name="Normal 22 5 4" xfId="7422"/>
    <cellStyle name="Normal 22 6 4" xfId="7423"/>
    <cellStyle name="Normal 23 10" xfId="7424"/>
    <cellStyle name="Normal 23 2 8" xfId="7425"/>
    <cellStyle name="Normal 23 2 2 4" xfId="7426"/>
    <cellStyle name="Normal 23 2 3 4" xfId="7427"/>
    <cellStyle name="Normal 23 2 4 4" xfId="7428"/>
    <cellStyle name="Normal 23 2 5 4" xfId="7429"/>
    <cellStyle name="Normal 23 3 4" xfId="7430"/>
    <cellStyle name="Normal 23 4 4" xfId="7431"/>
    <cellStyle name="Normal 23 5 4" xfId="7432"/>
    <cellStyle name="Normal 23 6 4" xfId="7433"/>
    <cellStyle name="Normal 24 10" xfId="7434"/>
    <cellStyle name="Normal 24 2 8" xfId="7435"/>
    <cellStyle name="Normal 24 2 2 4" xfId="7436"/>
    <cellStyle name="Normal 24 2 3 4" xfId="7437"/>
    <cellStyle name="Normal 24 2 4 4" xfId="7438"/>
    <cellStyle name="Normal 24 2 5 4" xfId="7439"/>
    <cellStyle name="Normal 24 3 4" xfId="7440"/>
    <cellStyle name="Normal 24 4 4" xfId="7441"/>
    <cellStyle name="Normal 24 5 4" xfId="7442"/>
    <cellStyle name="Normal 24 6 4" xfId="7443"/>
    <cellStyle name="Normal 26 10" xfId="7444"/>
    <cellStyle name="Normal 26 2 8" xfId="7445"/>
    <cellStyle name="Normal 26 2 2 4" xfId="7446"/>
    <cellStyle name="Normal 26 2 3 4" xfId="7447"/>
    <cellStyle name="Normal 26 2 4 4" xfId="7448"/>
    <cellStyle name="Normal 26 2 5 4" xfId="7449"/>
    <cellStyle name="Normal 26 3 4" xfId="7450"/>
    <cellStyle name="Normal 26 4 4" xfId="7451"/>
    <cellStyle name="Normal 26 5 4" xfId="7452"/>
    <cellStyle name="Normal 26 6 4" xfId="7453"/>
    <cellStyle name="Normal 3 10 4" xfId="7454"/>
    <cellStyle name="Normal 3 11 4" xfId="7455"/>
    <cellStyle name="Normal 3 12 4" xfId="7456"/>
    <cellStyle name="Normal 3 13 4" xfId="7457"/>
    <cellStyle name="Normal 3 14 4" xfId="7458"/>
    <cellStyle name="Normal 3 15 4" xfId="7459"/>
    <cellStyle name="Normal 3 16 4" xfId="7460"/>
    <cellStyle name="Normal 3 17 4" xfId="7461"/>
    <cellStyle name="Normal 3 18 4" xfId="7462"/>
    <cellStyle name="Normal 3 19 4" xfId="7463"/>
    <cellStyle name="Normal 3 2 2 4" xfId="7464"/>
    <cellStyle name="Normal 3 2 3 4" xfId="7465"/>
    <cellStyle name="Normal 3 2 4 4" xfId="7466"/>
    <cellStyle name="Normal 3 2 5 4" xfId="7467"/>
    <cellStyle name="Normal 3 2 6 4" xfId="7468"/>
    <cellStyle name="Normal 3 20 4" xfId="7469"/>
    <cellStyle name="Normal 3 21 4" xfId="7470"/>
    <cellStyle name="Normal 3 22 4" xfId="7471"/>
    <cellStyle name="Normal 3 23 4" xfId="7472"/>
    <cellStyle name="Normal 3 24 4" xfId="7473"/>
    <cellStyle name="Normal 3 3 7" xfId="7474"/>
    <cellStyle name="Normal 3 3 2 4" xfId="7475"/>
    <cellStyle name="Normal 3 3 3 4" xfId="7476"/>
    <cellStyle name="Normal 3 4 5" xfId="7477"/>
    <cellStyle name="Normal 3 4 2 4" xfId="7478"/>
    <cellStyle name="Normal 3 5 5" xfId="7479"/>
    <cellStyle name="Normal 3 5 2 4" xfId="7480"/>
    <cellStyle name="Normal 3 6 4" xfId="7481"/>
    <cellStyle name="Normal 3 7 4" xfId="7482"/>
    <cellStyle name="Normal 3 8 4" xfId="7483"/>
    <cellStyle name="Normal 3 9 4" xfId="7484"/>
    <cellStyle name="Normal 4 2 10 4" xfId="7485"/>
    <cellStyle name="Normal 4 2 11 4" xfId="7486"/>
    <cellStyle name="Normal 4 2 12 4" xfId="7487"/>
    <cellStyle name="Normal 4 2 13 4" xfId="7488"/>
    <cellStyle name="Normal 4 2 14 4" xfId="7489"/>
    <cellStyle name="Normal 4 2 15 4" xfId="7490"/>
    <cellStyle name="Normal 4 2 16 4" xfId="7491"/>
    <cellStyle name="Normal 4 2 17 4" xfId="7492"/>
    <cellStyle name="Normal 4 2 18 4" xfId="7493"/>
    <cellStyle name="Normal 4 2 19 4" xfId="7494"/>
    <cellStyle name="Normal 4 2 2 8" xfId="7495"/>
    <cellStyle name="Normal 4 2 2 2 4" xfId="7496"/>
    <cellStyle name="Normal 4 2 2 3 4" xfId="7497"/>
    <cellStyle name="Normal 4 2 2 4 4" xfId="7498"/>
    <cellStyle name="Normal 4 2 2 5 4" xfId="7499"/>
    <cellStyle name="Normal 4 2 20 4" xfId="7500"/>
    <cellStyle name="Normal 4 2 21 4" xfId="7501"/>
    <cellStyle name="Normal 4 2 22 4" xfId="7502"/>
    <cellStyle name="Normal 4 2 23 4" xfId="7503"/>
    <cellStyle name="Normal 4 2 24 4" xfId="7504"/>
    <cellStyle name="Normal 4 2 3 5" xfId="7505"/>
    <cellStyle name="Normal 4 2 3 2 4" xfId="7506"/>
    <cellStyle name="Normal 4 2 4 5" xfId="7507"/>
    <cellStyle name="Normal 4 2 4 2 4" xfId="7508"/>
    <cellStyle name="Normal 4 2 5 5" xfId="7509"/>
    <cellStyle name="Normal 4 2 5 2 4" xfId="7510"/>
    <cellStyle name="Normal 4 2 6 4" xfId="7511"/>
    <cellStyle name="Normal 4 2 7 4" xfId="7512"/>
    <cellStyle name="Normal 4 2 8 4" xfId="7513"/>
    <cellStyle name="Normal 4 2 9 4" xfId="7514"/>
    <cellStyle name="Normal 4 3 9" xfId="7515"/>
    <cellStyle name="Normal 4 3 2 8" xfId="7516"/>
    <cellStyle name="Normal 4 3 2 2 7" xfId="7517"/>
    <cellStyle name="Normal 4 3 2 2 2 5" xfId="7518"/>
    <cellStyle name="Normal 4 3 2 2 2 2 4" xfId="7519"/>
    <cellStyle name="Normal 4 3 2 2 3 5" xfId="7520"/>
    <cellStyle name="Normal 4 3 2 2 3 2 4" xfId="7521"/>
    <cellStyle name="Normal 4 3 2 2 4 4" xfId="7522"/>
    <cellStyle name="Normal 4 3 2 3 5" xfId="7523"/>
    <cellStyle name="Normal 4 3 2 3 2 4" xfId="7524"/>
    <cellStyle name="Normal 4 3 2 4 5" xfId="7525"/>
    <cellStyle name="Normal 4 3 2 4 2 4" xfId="7526"/>
    <cellStyle name="Normal 4 3 2 5 4" xfId="7527"/>
    <cellStyle name="Normal 4 3 3 7" xfId="7528"/>
    <cellStyle name="Normal 4 3 3 2 5" xfId="7529"/>
    <cellStyle name="Normal 4 3 3 2 2 4" xfId="7530"/>
    <cellStyle name="Normal 4 3 3 3 5" xfId="7531"/>
    <cellStyle name="Normal 4 3 3 3 2 4" xfId="7532"/>
    <cellStyle name="Normal 4 3 3 4 4" xfId="7533"/>
    <cellStyle name="Normal 4 3 4 5" xfId="7534"/>
    <cellStyle name="Normal 4 3 4 2 4" xfId="7535"/>
    <cellStyle name="Normal 4 3 5 5" xfId="7536"/>
    <cellStyle name="Normal 4 3 5 2 4" xfId="7537"/>
    <cellStyle name="Normal 4 3 6 4" xfId="7538"/>
    <cellStyle name="Normal 4 4 6" xfId="7539"/>
    <cellStyle name="Normal 4 4 2 4" xfId="7540"/>
    <cellStyle name="Normal 4 5 4" xfId="7541"/>
    <cellStyle name="Normal 4 6 4" xfId="7542"/>
    <cellStyle name="Normal 4 7 4" xfId="7543"/>
    <cellStyle name="Normal 4 8 4" xfId="7544"/>
    <cellStyle name="Normal 41 2 4" xfId="7545"/>
    <cellStyle name="Normal 46 4" xfId="7546"/>
    <cellStyle name="Normal 5 28 4" xfId="7547"/>
    <cellStyle name="Normal 5 2 9" xfId="7548"/>
    <cellStyle name="Normal 5 2 2 2 2 4" xfId="7549"/>
    <cellStyle name="Normal 5 2 2 3 4" xfId="7550"/>
    <cellStyle name="Normal 5 2 3 2 2 4" xfId="7551"/>
    <cellStyle name="Normal 5 2 3 3 4" xfId="7552"/>
    <cellStyle name="Normal 5 2 4 2 4" xfId="7553"/>
    <cellStyle name="Normal 5 2 6 4" xfId="7554"/>
    <cellStyle name="Normal 5 24 4" xfId="7555"/>
    <cellStyle name="Normal 5 3 5" xfId="7556"/>
    <cellStyle name="Normal 5 4 5" xfId="7557"/>
    <cellStyle name="Normal 5 5 5" xfId="7558"/>
    <cellStyle name="Normal 5 6 5" xfId="7559"/>
    <cellStyle name="Normal 5 7 5" xfId="7560"/>
    <cellStyle name="Normal 7 25 4" xfId="7561"/>
    <cellStyle name="Normal 7 10 4" xfId="7562"/>
    <cellStyle name="Normal 7 11 4" xfId="7563"/>
    <cellStyle name="Normal 7 12 4" xfId="7564"/>
    <cellStyle name="Normal 7 13 4" xfId="7565"/>
    <cellStyle name="Normal 7 14 4" xfId="7566"/>
    <cellStyle name="Normal 7 15 4" xfId="7567"/>
    <cellStyle name="Normal 7 16 4" xfId="7568"/>
    <cellStyle name="Normal 7 17 4" xfId="7569"/>
    <cellStyle name="Normal 7 18 4" xfId="7570"/>
    <cellStyle name="Normal 7 19 4" xfId="7571"/>
    <cellStyle name="Normal 7 2 8" xfId="7572"/>
    <cellStyle name="Normal 7 2 2 4" xfId="7573"/>
    <cellStyle name="Normal 7 2 3 4" xfId="7574"/>
    <cellStyle name="Normal 7 2 4 4" xfId="7575"/>
    <cellStyle name="Normal 7 2 5 4" xfId="7576"/>
    <cellStyle name="Normal 7 20 4" xfId="7577"/>
    <cellStyle name="Normal 7 22 4" xfId="7578"/>
    <cellStyle name="Normal 7 3 8" xfId="7579"/>
    <cellStyle name="Normal 7 3 2 4" xfId="7580"/>
    <cellStyle name="Normal 7 3 3 4" xfId="7581"/>
    <cellStyle name="Normal 7 3 4 4" xfId="7582"/>
    <cellStyle name="Normal 7 3 5 4" xfId="7583"/>
    <cellStyle name="Normal 7 4 4" xfId="7584"/>
    <cellStyle name="Normal 7 5 4" xfId="7585"/>
    <cellStyle name="Normal 7 6 4" xfId="7586"/>
    <cellStyle name="Normal 7 7 4" xfId="7587"/>
    <cellStyle name="Normal 7 8 4" xfId="7588"/>
    <cellStyle name="Normal 7 9 4" xfId="7589"/>
    <cellStyle name="Normal 8 25 4" xfId="7590"/>
    <cellStyle name="Normal 8 10 4" xfId="7591"/>
    <cellStyle name="Normal 8 11 4" xfId="7592"/>
    <cellStyle name="Normal 8 12 4" xfId="7593"/>
    <cellStyle name="Normal 8 13 4" xfId="7594"/>
    <cellStyle name="Normal 8 14 4" xfId="7595"/>
    <cellStyle name="Normal 8 15 4" xfId="7596"/>
    <cellStyle name="Normal 8 16 4" xfId="7597"/>
    <cellStyle name="Normal 8 17 4" xfId="7598"/>
    <cellStyle name="Normal 8 18 4" xfId="7599"/>
    <cellStyle name="Normal 8 19 4" xfId="7600"/>
    <cellStyle name="Normal 8 2 6 4" xfId="7601"/>
    <cellStyle name="Normal 8 2 2 2 4" xfId="7602"/>
    <cellStyle name="Normal 8 2 3 4" xfId="7603"/>
    <cellStyle name="Normal 8 2 4 4" xfId="7604"/>
    <cellStyle name="Normal 8 2 5 4" xfId="7605"/>
    <cellStyle name="Normal 8 20 4" xfId="7606"/>
    <cellStyle name="Normal 8 22 4" xfId="7607"/>
    <cellStyle name="Normal 8 3 6 4" xfId="7608"/>
    <cellStyle name="Normal 8 3 2 4" xfId="7609"/>
    <cellStyle name="Normal 8 3 3 4" xfId="7610"/>
    <cellStyle name="Normal 8 3 4 4" xfId="7611"/>
    <cellStyle name="Normal 8 3 5 4" xfId="7612"/>
    <cellStyle name="Normal 8 4 4" xfId="7613"/>
    <cellStyle name="Normal 8 5 4" xfId="7614"/>
    <cellStyle name="Normal 8 6 4" xfId="7615"/>
    <cellStyle name="Normal 8 7 4" xfId="7616"/>
    <cellStyle name="Normal 8 8 4" xfId="7617"/>
    <cellStyle name="Normal 8 9 4" xfId="7618"/>
    <cellStyle name="Normal 9 25 4" xfId="7619"/>
    <cellStyle name="Normal 9 10 4" xfId="7620"/>
    <cellStyle name="Normal 9 11 4" xfId="7621"/>
    <cellStyle name="Normal 9 12 4" xfId="7622"/>
    <cellStyle name="Normal 9 13 4" xfId="7623"/>
    <cellStyle name="Normal 9 14 4" xfId="7624"/>
    <cellStyle name="Normal 9 15 4" xfId="7625"/>
    <cellStyle name="Normal 9 16 4" xfId="7626"/>
    <cellStyle name="Normal 9 17 4" xfId="7627"/>
    <cellStyle name="Normal 9 18 4" xfId="7628"/>
    <cellStyle name="Normal 9 19 4" xfId="7629"/>
    <cellStyle name="Normal 9 2 8" xfId="7630"/>
    <cellStyle name="Normal 9 2 2 4" xfId="7631"/>
    <cellStyle name="Normal 9 2 3 4" xfId="7632"/>
    <cellStyle name="Normal 9 2 4 4" xfId="7633"/>
    <cellStyle name="Normal 9 2 5 4" xfId="7634"/>
    <cellStyle name="Normal 9 20 4" xfId="7635"/>
    <cellStyle name="Normal 9 22 4" xfId="7636"/>
    <cellStyle name="Normal 9 3 8" xfId="7637"/>
    <cellStyle name="Normal 9 3 2 4" xfId="7638"/>
    <cellStyle name="Normal 9 3 3 4" xfId="7639"/>
    <cellStyle name="Normal 9 3 4 4" xfId="7640"/>
    <cellStyle name="Normal 9 3 5 4" xfId="7641"/>
    <cellStyle name="Normal 9 4 4" xfId="7642"/>
    <cellStyle name="Normal 9 5 4" xfId="7643"/>
    <cellStyle name="Normal 9 6 4" xfId="7644"/>
    <cellStyle name="Normal 9 7 4" xfId="7645"/>
    <cellStyle name="Normal 9 8 4" xfId="7646"/>
    <cellStyle name="Normal 9 9 4" xfId="7647"/>
    <cellStyle name="Note 2 4 4" xfId="7648"/>
    <cellStyle name="Note 3 4" xfId="7649"/>
    <cellStyle name="Note 4 4" xfId="7650"/>
    <cellStyle name="Note 7 4" xfId="7651"/>
    <cellStyle name="Percent 120 4" xfId="7652"/>
    <cellStyle name="Percent 121 4" xfId="7653"/>
    <cellStyle name="Percent 122 4" xfId="7654"/>
    <cellStyle name="Percent 123 4" xfId="7655"/>
    <cellStyle name="Percent 124 4" xfId="7656"/>
    <cellStyle name="Percent 125 4" xfId="7657"/>
    <cellStyle name="Percent 126 4" xfId="7658"/>
    <cellStyle name="Percent 127 4" xfId="7659"/>
    <cellStyle name="Percent 128 4" xfId="7660"/>
    <cellStyle name="Percent 129 4" xfId="7661"/>
    <cellStyle name="Percent 130 4" xfId="7662"/>
    <cellStyle name="Percent 159 4" xfId="7663"/>
    <cellStyle name="Percent 2 22 4" xfId="7664"/>
    <cellStyle name="Percent 25 2 5" xfId="7665"/>
    <cellStyle name="Percent 25 2 2 4" xfId="7666"/>
    <cellStyle name="Percent 25 3 5" xfId="7667"/>
    <cellStyle name="Percent 25 3 2 4" xfId="7668"/>
    <cellStyle name="Percent 25 4 2 4" xfId="7669"/>
    <cellStyle name="Percent 25 5 4" xfId="7670"/>
    <cellStyle name="Percent 26 2 5" xfId="7671"/>
    <cellStyle name="Percent 26 2 2 4" xfId="7672"/>
    <cellStyle name="Percent 26 3 5" xfId="7673"/>
    <cellStyle name="Percent 26 3 2 4" xfId="7674"/>
    <cellStyle name="Percent 26 4 2 4" xfId="7675"/>
    <cellStyle name="Percent 26 5 4" xfId="7676"/>
    <cellStyle name="Percent 27 2 5" xfId="7677"/>
    <cellStyle name="Percent 27 2 2 4" xfId="7678"/>
    <cellStyle name="Percent 27 3 5" xfId="7679"/>
    <cellStyle name="Percent 27 3 2 4" xfId="7680"/>
    <cellStyle name="Percent 27 4 2 4" xfId="7681"/>
    <cellStyle name="Percent 27 5 4" xfId="7682"/>
    <cellStyle name="Percent 28 2 5" xfId="7683"/>
    <cellStyle name="Percent 28 2 2 4" xfId="7684"/>
    <cellStyle name="Percent 28 3 5" xfId="7685"/>
    <cellStyle name="Percent 28 3 2 4" xfId="7686"/>
    <cellStyle name="Percent 28 4 2 4" xfId="7687"/>
    <cellStyle name="Percent 28 5 4" xfId="7688"/>
    <cellStyle name="Percent 29 2 5" xfId="7689"/>
    <cellStyle name="Percent 29 2 2 4" xfId="7690"/>
    <cellStyle name="Percent 29 3 5" xfId="7691"/>
    <cellStyle name="Percent 29 3 2 4" xfId="7692"/>
    <cellStyle name="Percent 29 4 2 4" xfId="7693"/>
    <cellStyle name="Percent 29 5 4" xfId="7694"/>
    <cellStyle name="Percent 3 10 4" xfId="7695"/>
    <cellStyle name="Percent 3 11 4" xfId="7696"/>
    <cellStyle name="Percent 3 12 4" xfId="7697"/>
    <cellStyle name="Percent 3 13 4" xfId="7698"/>
    <cellStyle name="Percent 3 14 4" xfId="7699"/>
    <cellStyle name="Percent 3 15 4" xfId="7700"/>
    <cellStyle name="Percent 3 16 4" xfId="7701"/>
    <cellStyle name="Percent 3 17 4" xfId="7702"/>
    <cellStyle name="Percent 3 18 4" xfId="7703"/>
    <cellStyle name="Percent 3 19 4" xfId="7704"/>
    <cellStyle name="Percent 3 2 25" xfId="7705"/>
    <cellStyle name="Percent 3 2 10 4" xfId="7706"/>
    <cellStyle name="Percent 3 2 11 4" xfId="7707"/>
    <cellStyle name="Percent 3 2 12 4" xfId="7708"/>
    <cellStyle name="Percent 3 2 13 4" xfId="7709"/>
    <cellStyle name="Percent 3 2 14 4" xfId="7710"/>
    <cellStyle name="Percent 3 2 15 4" xfId="7711"/>
    <cellStyle name="Percent 3 2 16 4" xfId="7712"/>
    <cellStyle name="Percent 3 2 17 4" xfId="7713"/>
    <cellStyle name="Percent 3 2 18 4" xfId="7714"/>
    <cellStyle name="Percent 3 2 19 4" xfId="7715"/>
    <cellStyle name="Percent 3 2 2 2 4" xfId="7716"/>
    <cellStyle name="Percent 3 2 2 3 4" xfId="7717"/>
    <cellStyle name="Percent 3 2 2 4 4" xfId="7718"/>
    <cellStyle name="Percent 3 2 2 5 4" xfId="7719"/>
    <cellStyle name="Percent 3 2 20 4" xfId="7720"/>
    <cellStyle name="Percent 3 2 21 2 4" xfId="7721"/>
    <cellStyle name="Percent 3 2 3 8" xfId="7722"/>
    <cellStyle name="Percent 3 2 3 2 4" xfId="7723"/>
    <cellStyle name="Percent 3 2 3 3 4" xfId="7724"/>
    <cellStyle name="Percent 3 2 3 4 4" xfId="7725"/>
    <cellStyle name="Percent 3 2 3 5 4" xfId="7726"/>
    <cellStyle name="Percent 3 2 4 5" xfId="7727"/>
    <cellStyle name="Percent 3 2 4 2 4" xfId="7728"/>
    <cellStyle name="Percent 3 2 5 5" xfId="7729"/>
    <cellStyle name="Percent 3 2 5 2 4" xfId="7730"/>
    <cellStyle name="Percent 3 2 6 5" xfId="7731"/>
    <cellStyle name="Percent 3 2 6 2 4" xfId="7732"/>
    <cellStyle name="Percent 3 2 7 4" xfId="7733"/>
    <cellStyle name="Percent 3 2 8 4" xfId="7734"/>
    <cellStyle name="Percent 3 2 9 4" xfId="7735"/>
    <cellStyle name="Percent 3 20 4" xfId="7736"/>
    <cellStyle name="Percent 3 21 4" xfId="7737"/>
    <cellStyle name="Percent 3 3 2 4" xfId="7738"/>
    <cellStyle name="Percent 3 3 3 4" xfId="7739"/>
    <cellStyle name="Percent 3 3 4 4" xfId="7740"/>
    <cellStyle name="Percent 3 3 5 4" xfId="7741"/>
    <cellStyle name="Percent 3 4 8" xfId="7742"/>
    <cellStyle name="Percent 3 4 2 4" xfId="7743"/>
    <cellStyle name="Percent 3 4 3 4" xfId="7744"/>
    <cellStyle name="Percent 3 4 4 4" xfId="7745"/>
    <cellStyle name="Percent 3 4 5 4" xfId="7746"/>
    <cellStyle name="Percent 3 5 5" xfId="7747"/>
    <cellStyle name="Percent 3 5 2 4" xfId="7748"/>
    <cellStyle name="Percent 3 6 5" xfId="7749"/>
    <cellStyle name="Percent 3 6 2 4" xfId="7750"/>
    <cellStyle name="Percent 3 7 5" xfId="7751"/>
    <cellStyle name="Percent 3 7 2 4" xfId="7752"/>
    <cellStyle name="Percent 3 8 4" xfId="7753"/>
    <cellStyle name="Percent 3 9 4" xfId="7754"/>
    <cellStyle name="Percent 30 2 5" xfId="7755"/>
    <cellStyle name="Percent 30 2 2 4" xfId="7756"/>
    <cellStyle name="Percent 30 3 5" xfId="7757"/>
    <cellStyle name="Percent 30 3 2 4" xfId="7758"/>
    <cellStyle name="Percent 30 4 2 4" xfId="7759"/>
    <cellStyle name="Percent 30 5 4" xfId="7760"/>
    <cellStyle name="Percent 31 2 5" xfId="7761"/>
    <cellStyle name="Percent 31 2 2 4" xfId="7762"/>
    <cellStyle name="Percent 31 3 5" xfId="7763"/>
    <cellStyle name="Percent 31 3 2 4" xfId="7764"/>
    <cellStyle name="Percent 31 4 2 4" xfId="7765"/>
    <cellStyle name="Percent 31 5 4" xfId="7766"/>
    <cellStyle name="Percent 32 2 5" xfId="7767"/>
    <cellStyle name="Percent 32 2 2 4" xfId="7768"/>
    <cellStyle name="Percent 32 3 5" xfId="7769"/>
    <cellStyle name="Percent 32 3 2 4" xfId="7770"/>
    <cellStyle name="Percent 32 4 2 4" xfId="7771"/>
    <cellStyle name="Percent 32 5 4" xfId="7772"/>
    <cellStyle name="Percent 33 2 5" xfId="7773"/>
    <cellStyle name="Percent 33 2 2 4" xfId="7774"/>
    <cellStyle name="Percent 33 3 5" xfId="7775"/>
    <cellStyle name="Percent 33 3 2 4" xfId="7776"/>
    <cellStyle name="Percent 33 4 2 4" xfId="7777"/>
    <cellStyle name="Percent 33 5 4" xfId="7778"/>
    <cellStyle name="Percent 34 2 5" xfId="7779"/>
    <cellStyle name="Percent 34 2 2 4" xfId="7780"/>
    <cellStyle name="Percent 34 3 5" xfId="7781"/>
    <cellStyle name="Percent 34 3 2 4" xfId="7782"/>
    <cellStyle name="Percent 34 4 2 4" xfId="7783"/>
    <cellStyle name="Percent 34 5 4" xfId="7784"/>
    <cellStyle name="Percent 35 2 5" xfId="7785"/>
    <cellStyle name="Percent 35 2 2 4" xfId="7786"/>
    <cellStyle name="Percent 35 3 5" xfId="7787"/>
    <cellStyle name="Percent 35 3 2 4" xfId="7788"/>
    <cellStyle name="Percent 35 4 2 4" xfId="7789"/>
    <cellStyle name="Percent 35 5 4" xfId="7790"/>
    <cellStyle name="Currency 5 4 4" xfId="7791"/>
    <cellStyle name="Comma 5 7 4" xfId="7792"/>
    <cellStyle name="Percent 5 4 4" xfId="7793"/>
    <cellStyle name="Comma 6 5 4" xfId="7794"/>
    <cellStyle name="Currency 5 2 4 4" xfId="7795"/>
    <cellStyle name="Comma 5 2 4 4" xfId="7796"/>
    <cellStyle name="Percent 5 2 4 4" xfId="7797"/>
    <cellStyle name="Comma 6 2 3 4" xfId="7798"/>
    <cellStyle name="Currency 5 3 2 4" xfId="7799"/>
    <cellStyle name="Comma 5 3 2 4" xfId="7800"/>
    <cellStyle name="Percent 5 3 2 4" xfId="7801"/>
    <cellStyle name="Comma 6 3 4 4" xfId="7802"/>
    <cellStyle name="Normal 11 2 2 4" xfId="7803"/>
    <cellStyle name="Currency 5 2 2 2 4" xfId="7804"/>
    <cellStyle name="Comma 5 2 2 2 4" xfId="7805"/>
    <cellStyle name="Percent 5 2 2 2 4" xfId="7806"/>
    <cellStyle name="Comma 6 2 2 2 4" xfId="7807"/>
    <cellStyle name="Normal 51 4" xfId="7808"/>
    <cellStyle name="Comma 187 4" xfId="7809"/>
    <cellStyle name="Percent 163 4" xfId="7810"/>
    <cellStyle name="Currency 162 4" xfId="7811"/>
    <cellStyle name="Currency 5 6 3" xfId="7812"/>
    <cellStyle name="Currency 179 3" xfId="7813"/>
    <cellStyle name="Percent 180 3" xfId="7814"/>
    <cellStyle name="Comma 204 3" xfId="7815"/>
    <cellStyle name="Normal 8 26 3" xfId="7816"/>
    <cellStyle name="Comma 5 9 3" xfId="7817"/>
    <cellStyle name="Percent 5 6 3" xfId="7818"/>
    <cellStyle name="Comma 6 7 3" xfId="7819"/>
    <cellStyle name="Normal 11 5 3" xfId="7820"/>
    <cellStyle name="Currency 5 2 6 3" xfId="7821"/>
    <cellStyle name="Normal 8 2 7 3" xfId="7822"/>
    <cellStyle name="Comma 5 2 6 3" xfId="7823"/>
    <cellStyle name="Percent 5 2 6 3" xfId="7824"/>
    <cellStyle name="Comma 6 2 5 3" xfId="7825"/>
    <cellStyle name="Currency 5 3 4 3" xfId="7826"/>
    <cellStyle name="Normal 8 3 7 3" xfId="7827"/>
    <cellStyle name="Comma 5 3 4 3" xfId="7828"/>
    <cellStyle name="Percent 5 3 4 3" xfId="7829"/>
    <cellStyle name="Comma 6 3 6 3" xfId="7830"/>
    <cellStyle name="Normal 11 2 4 3" xfId="7831"/>
    <cellStyle name="Currency 5 2 2 4 3" xfId="7832"/>
    <cellStyle name="Normal 8 2 2 3 3" xfId="7833"/>
    <cellStyle name="Comma 5 2 2 4 3" xfId="7834"/>
    <cellStyle name="Percent 5 2 2 4 3" xfId="7835"/>
    <cellStyle name="Comma 6 2 2 3 3" xfId="7836"/>
    <cellStyle name="Normal 50 2 3" xfId="7837"/>
    <cellStyle name="Comma 186 2 3" xfId="7838"/>
    <cellStyle name="Percent 162 2 3" xfId="7839"/>
    <cellStyle name="Normal 2 24 2 3" xfId="7840"/>
    <cellStyle name="20% - Accent1 2 2 3" xfId="7841"/>
    <cellStyle name="20% - Accent1 3 2 3" xfId="7842"/>
    <cellStyle name="20% - Accent1 4 2 3" xfId="7843"/>
    <cellStyle name="20% - Accent1 5 2 3" xfId="7844"/>
    <cellStyle name="20% - Accent2 2 2 3" xfId="7845"/>
    <cellStyle name="20% - Accent2 3 2 3" xfId="7846"/>
    <cellStyle name="20% - Accent2 4 2 3" xfId="7847"/>
    <cellStyle name="20% - Accent2 5 2 3" xfId="7848"/>
    <cellStyle name="20% - Accent3 2 2 3" xfId="7849"/>
    <cellStyle name="20% - Accent3 3 2 3" xfId="7850"/>
    <cellStyle name="20% - Accent3 4 2 3" xfId="7851"/>
    <cellStyle name="20% - Accent3 5 2 3" xfId="7852"/>
    <cellStyle name="20% - Accent4 2 2 3" xfId="7853"/>
    <cellStyle name="20% - Accent4 3 2 3" xfId="7854"/>
    <cellStyle name="20% - Accent4 4 2 3" xfId="7855"/>
    <cellStyle name="20% - Accent4 5 2 3" xfId="7856"/>
    <cellStyle name="20% - Accent5 2 2 3" xfId="7857"/>
    <cellStyle name="20% - Accent5 3 2 3" xfId="7858"/>
    <cellStyle name="20% - Accent5 4 2 3" xfId="7859"/>
    <cellStyle name="20% - Accent6 2 2 3" xfId="7860"/>
    <cellStyle name="20% - Accent6 3 2 3" xfId="7861"/>
    <cellStyle name="20% - Accent6 4 2 3" xfId="7862"/>
    <cellStyle name="40% - Accent1 2 2 3" xfId="7863"/>
    <cellStyle name="40% - Accent1 3 2 3" xfId="7864"/>
    <cellStyle name="40% - Accent1 4 2 3" xfId="7865"/>
    <cellStyle name="40% - Accent1 5 2 3" xfId="7866"/>
    <cellStyle name="40% - Accent2 2 2 3" xfId="7867"/>
    <cellStyle name="40% - Accent2 3 2 3" xfId="7868"/>
    <cellStyle name="40% - Accent2 4 2 3" xfId="7869"/>
    <cellStyle name="40% - Accent3 2 2 3" xfId="7870"/>
    <cellStyle name="40% - Accent3 3 2 3" xfId="7871"/>
    <cellStyle name="40% - Accent3 4 2 3" xfId="7872"/>
    <cellStyle name="40% - Accent3 5 2 3" xfId="7873"/>
    <cellStyle name="40% - Accent4 2 2 3" xfId="7874"/>
    <cellStyle name="40% - Accent4 3 2 3" xfId="7875"/>
    <cellStyle name="40% - Accent4 4 2 3" xfId="7876"/>
    <cellStyle name="40% - Accent4 5 2 3" xfId="7877"/>
    <cellStyle name="40% - Accent5 2 2 3" xfId="7878"/>
    <cellStyle name="40% - Accent5 3 2 3" xfId="7879"/>
    <cellStyle name="40% - Accent5 4 2 3" xfId="7880"/>
    <cellStyle name="40% - Accent6 2 2 3" xfId="7881"/>
    <cellStyle name="40% - Accent6 3 2 3" xfId="7882"/>
    <cellStyle name="40% - Accent6 4 2 3" xfId="7883"/>
    <cellStyle name="40% - Accent6 5 2 3" xfId="7884"/>
    <cellStyle name="Comma 143 2 3" xfId="7885"/>
    <cellStyle name="Comma 144 2 3" xfId="7886"/>
    <cellStyle name="Comma 145 2 3" xfId="7887"/>
    <cellStyle name="Comma 146 2 3" xfId="7888"/>
    <cellStyle name="Comma 147 2 3" xfId="7889"/>
    <cellStyle name="Comma 148 2 3" xfId="7890"/>
    <cellStyle name="Comma 149 2 3" xfId="7891"/>
    <cellStyle name="Comma 150 2 3" xfId="7892"/>
    <cellStyle name="Comma 151 2 3" xfId="7893"/>
    <cellStyle name="Comma 152 2 3" xfId="7894"/>
    <cellStyle name="Comma 153 2 3" xfId="7895"/>
    <cellStyle name="Comma 182 2 3" xfId="7896"/>
    <cellStyle name="Comma 2 23 2 3" xfId="7897"/>
    <cellStyle name="Comma 2 2 10 2 3" xfId="7898"/>
    <cellStyle name="Comma 2 2 11 2 3" xfId="7899"/>
    <cellStyle name="Comma 2 2 12 2 3" xfId="7900"/>
    <cellStyle name="Comma 2 2 13 2 3" xfId="7901"/>
    <cellStyle name="Comma 2 2 14 2 3" xfId="7902"/>
    <cellStyle name="Comma 2 2 15 2 3" xfId="7903"/>
    <cellStyle name="Comma 2 2 16 2 3" xfId="7904"/>
    <cellStyle name="Comma 2 2 17 2 3" xfId="7905"/>
    <cellStyle name="Comma 2 2 2 2 6 3" xfId="7906"/>
    <cellStyle name="Comma 2 2 2 2 2 2 3" xfId="7907"/>
    <cellStyle name="Comma 2 2 2 2 3 2 3" xfId="7908"/>
    <cellStyle name="Comma 2 2 2 2 4 2 3" xfId="7909"/>
    <cellStyle name="Comma 2 2 2 2 5 2 3" xfId="7910"/>
    <cellStyle name="Comma 2 2 2 3 2 3" xfId="7911"/>
    <cellStyle name="Comma 2 2 2 4 2 3" xfId="7912"/>
    <cellStyle name="Comma 2 2 2 5 2 3" xfId="7913"/>
    <cellStyle name="Comma 2 2 2 6 2 3" xfId="7914"/>
    <cellStyle name="Comma 2 2 3 6 3" xfId="7915"/>
    <cellStyle name="Comma 2 2 3 2 2 2 3" xfId="7916"/>
    <cellStyle name="Comma 2 2 3 2 3 2 3" xfId="7917"/>
    <cellStyle name="Comma 2 2 3 2 4 2 3" xfId="7918"/>
    <cellStyle name="Comma 2 2 3 2 5 2 3" xfId="7919"/>
    <cellStyle name="Comma 2 2 3 3 2 3" xfId="7920"/>
    <cellStyle name="Comma 2 2 4 2 2 3" xfId="7921"/>
    <cellStyle name="Comma 2 2 5 2 3" xfId="7922"/>
    <cellStyle name="Comma 2 2 6 2 3" xfId="7923"/>
    <cellStyle name="Comma 2 2 7 2 3" xfId="7924"/>
    <cellStyle name="Comma 2 2 8 2 3" xfId="7925"/>
    <cellStyle name="Comma 2 2 9 2 3" xfId="7926"/>
    <cellStyle name="Comma 3 10 2 3" xfId="7927"/>
    <cellStyle name="Comma 3 11 2 3" xfId="7928"/>
    <cellStyle name="Comma 3 12 2 3" xfId="7929"/>
    <cellStyle name="Comma 3 13 2 3" xfId="7930"/>
    <cellStyle name="Comma 3 14 2 3" xfId="7931"/>
    <cellStyle name="Comma 3 15 2 3" xfId="7932"/>
    <cellStyle name="Comma 3 16 2 3" xfId="7933"/>
    <cellStyle name="Comma 3 17 2 3" xfId="7934"/>
    <cellStyle name="Comma 3 18 2 3" xfId="7935"/>
    <cellStyle name="Comma 3 19 2 3" xfId="7936"/>
    <cellStyle name="Comma 3 2 2 2 3" xfId="7937"/>
    <cellStyle name="Comma 3 2 3 2 3" xfId="7938"/>
    <cellStyle name="Comma 3 2 4 2 3" xfId="7939"/>
    <cellStyle name="Comma 3 2 5 2 3" xfId="7940"/>
    <cellStyle name="Comma 3 20 2 3" xfId="7941"/>
    <cellStyle name="Comma 3 21 2 3" xfId="7942"/>
    <cellStyle name="Comma 3 3 6 3" xfId="7943"/>
    <cellStyle name="Comma 3 3 2 2 3" xfId="7944"/>
    <cellStyle name="Comma 3 3 3 2 3" xfId="7945"/>
    <cellStyle name="Comma 3 3 4 2 3" xfId="7946"/>
    <cellStyle name="Comma 3 3 5 2 3" xfId="7947"/>
    <cellStyle name="Comma 3 4 3 3" xfId="7948"/>
    <cellStyle name="Comma 3 4 2 2 3" xfId="7949"/>
    <cellStyle name="Comma 3 5 3 3" xfId="7950"/>
    <cellStyle name="Comma 3 5 2 2 3" xfId="7951"/>
    <cellStyle name="Comma 3 6 3 3" xfId="7952"/>
    <cellStyle name="Comma 3 6 2 2 3" xfId="7953"/>
    <cellStyle name="Comma 3 7 2 3" xfId="7954"/>
    <cellStyle name="Comma 3 8 2 3" xfId="7955"/>
    <cellStyle name="Comma 3 9 2 3" xfId="7956"/>
    <cellStyle name="Currency 120 2 3" xfId="7957"/>
    <cellStyle name="Currency 121 2 3" xfId="7958"/>
    <cellStyle name="Currency 122 2 3" xfId="7959"/>
    <cellStyle name="Currency 123 2 3" xfId="7960"/>
    <cellStyle name="Currency 124 2 3" xfId="7961"/>
    <cellStyle name="Currency 125 2 3" xfId="7962"/>
    <cellStyle name="Currency 126 2 3" xfId="7963"/>
    <cellStyle name="Currency 127 2 3" xfId="7964"/>
    <cellStyle name="Currency 128 2 3" xfId="7965"/>
    <cellStyle name="Currency 129 2 3" xfId="7966"/>
    <cellStyle name="Currency 130 2 3" xfId="7967"/>
    <cellStyle name="Currency 159 2 3" xfId="7968"/>
    <cellStyle name="Currency 2 27 2 3" xfId="7969"/>
    <cellStyle name="Currency 2 2 20 2 3" xfId="7970"/>
    <cellStyle name="Currency 2 2 10 2 3" xfId="7971"/>
    <cellStyle name="Currency 2 2 11 2 3" xfId="7972"/>
    <cellStyle name="Currency 2 2 12 2 3" xfId="7973"/>
    <cellStyle name="Currency 2 2 13 2 3" xfId="7974"/>
    <cellStyle name="Currency 2 2 14 2 3" xfId="7975"/>
    <cellStyle name="Currency 2 2 15 2 3" xfId="7976"/>
    <cellStyle name="Currency 2 2 16 2 3" xfId="7977"/>
    <cellStyle name="Currency 2 2 17 2 3" xfId="7978"/>
    <cellStyle name="Currency 2 2 18 2 3" xfId="7979"/>
    <cellStyle name="Currency 2 2 2 2 2 3" xfId="7980"/>
    <cellStyle name="Currency 2 2 2 3 2 3" xfId="7981"/>
    <cellStyle name="Currency 2 2 2 4 2 3" xfId="7982"/>
    <cellStyle name="Currency 2 2 2 5 2 3" xfId="7983"/>
    <cellStyle name="Currency 2 2 3 6 3" xfId="7984"/>
    <cellStyle name="Currency 2 2 3 2 2 3" xfId="7985"/>
    <cellStyle name="Currency 2 2 3 3 2 3" xfId="7986"/>
    <cellStyle name="Currency 2 2 3 4 2 3" xfId="7987"/>
    <cellStyle name="Currency 2 2 3 5 2 3" xfId="7988"/>
    <cellStyle name="Currency 2 2 4 2 3" xfId="7989"/>
    <cellStyle name="Currency 2 2 5 2 3" xfId="7990"/>
    <cellStyle name="Currency 2 2 6 2 3" xfId="7991"/>
    <cellStyle name="Currency 2 2 7 2 3" xfId="7992"/>
    <cellStyle name="Currency 2 2 8 2 3" xfId="7993"/>
    <cellStyle name="Currency 2 2 9 2 3" xfId="7994"/>
    <cellStyle name="Currency 3 10 2 3" xfId="7995"/>
    <cellStyle name="Currency 3 11 2 3" xfId="7996"/>
    <cellStyle name="Currency 3 12 2 3" xfId="7997"/>
    <cellStyle name="Currency 3 13 2 3" xfId="7998"/>
    <cellStyle name="Currency 3 14 2 3" xfId="7999"/>
    <cellStyle name="Currency 3 15 2 3" xfId="8000"/>
    <cellStyle name="Currency 3 16 2 3" xfId="8001"/>
    <cellStyle name="Currency 3 17 2 3" xfId="8002"/>
    <cellStyle name="Currency 3 18 2 3" xfId="8003"/>
    <cellStyle name="Currency 3 19 2 3" xfId="8004"/>
    <cellStyle name="Currency 3 2 2 2 3" xfId="8005"/>
    <cellStyle name="Currency 3 2 3 2 3" xfId="8006"/>
    <cellStyle name="Currency 3 2 4 2 3" xfId="8007"/>
    <cellStyle name="Currency 3 2 5 2 3" xfId="8008"/>
    <cellStyle name="Currency 3 20 2 3" xfId="8009"/>
    <cellStyle name="Currency 3 21 2 3" xfId="8010"/>
    <cellStyle name="Currency 3 3 8 3" xfId="8011"/>
    <cellStyle name="Currency 3 3 2 2 3" xfId="8012"/>
    <cellStyle name="Currency 3 3 3 2 3" xfId="8013"/>
    <cellStyle name="Currency 3 3 4 2 3" xfId="8014"/>
    <cellStyle name="Currency 3 3 5 2 3" xfId="8015"/>
    <cellStyle name="Currency 3 3 6 2 3" xfId="8016"/>
    <cellStyle name="Currency 3 4 3 3" xfId="8017"/>
    <cellStyle name="Currency 3 4 2 2 3" xfId="8018"/>
    <cellStyle name="Currency 3 5 3 3" xfId="8019"/>
    <cellStyle name="Currency 3 5 2 2 3" xfId="8020"/>
    <cellStyle name="Currency 3 6 3 3" xfId="8021"/>
    <cellStyle name="Currency 3 6 2 2 3" xfId="8022"/>
    <cellStyle name="Currency 3 7 2 3" xfId="8023"/>
    <cellStyle name="Currency 3 8 2 3" xfId="8024"/>
    <cellStyle name="Currency 3 9 2 3" xfId="8025"/>
    <cellStyle name="Normal 10 3 6 3" xfId="8026"/>
    <cellStyle name="Normal 10 3 2 5 3" xfId="8027"/>
    <cellStyle name="Normal 10 3 2 2 3 3" xfId="8028"/>
    <cellStyle name="Normal 10 3 2 2 2 2 3" xfId="8029"/>
    <cellStyle name="Normal 10 3 2 3 3 3" xfId="8030"/>
    <cellStyle name="Normal 10 3 2 3 2 2 3" xfId="8031"/>
    <cellStyle name="Normal 10 3 2 4 2 3" xfId="8032"/>
    <cellStyle name="Normal 10 3 3 3 3" xfId="8033"/>
    <cellStyle name="Normal 10 3 3 2 2 3" xfId="8034"/>
    <cellStyle name="Normal 10 3 4 3 3" xfId="8035"/>
    <cellStyle name="Normal 10 3 4 2 2 3" xfId="8036"/>
    <cellStyle name="Normal 10 3 5 2 3" xfId="8037"/>
    <cellStyle name="Normal 10 4 5 3" xfId="8038"/>
    <cellStyle name="Normal 10 4 2 3 3" xfId="8039"/>
    <cellStyle name="Normal 10 4 2 2 2 3" xfId="8040"/>
    <cellStyle name="Normal 10 4 3 3 3" xfId="8041"/>
    <cellStyle name="Normal 10 4 3 2 2 3" xfId="8042"/>
    <cellStyle name="Normal 10 4 4 2 3" xfId="8043"/>
    <cellStyle name="Normal 10 5 5 3" xfId="8044"/>
    <cellStyle name="Normal 10 5 2 3 3" xfId="8045"/>
    <cellStyle name="Normal 10 5 2 2 2 3" xfId="8046"/>
    <cellStyle name="Normal 10 5 3 3 3" xfId="8047"/>
    <cellStyle name="Normal 10 5 3 2 2 3" xfId="8048"/>
    <cellStyle name="Normal 10 5 4 2 3" xfId="8049"/>
    <cellStyle name="Normal 10 6 3 3" xfId="8050"/>
    <cellStyle name="Normal 10 6 2 2 3" xfId="8051"/>
    <cellStyle name="Normal 10 7 3 3" xfId="8052"/>
    <cellStyle name="Normal 10 7 2 2 3" xfId="8053"/>
    <cellStyle name="Normal 10 8 2 2 3" xfId="8054"/>
    <cellStyle name="Normal 10 9 2 3" xfId="8055"/>
    <cellStyle name="Normal 11 4 2 3" xfId="8056"/>
    <cellStyle name="Normal 11 3 2 3" xfId="8057"/>
    <cellStyle name="Normal 12 8 3" xfId="8058"/>
    <cellStyle name="Normal 12 2 2 5 3" xfId="8059"/>
    <cellStyle name="Normal 12 2 2 2 3 3" xfId="8060"/>
    <cellStyle name="Normal 12 2 2 2 2 2 3" xfId="8061"/>
    <cellStyle name="Normal 12 2 2 3 3 3" xfId="8062"/>
    <cellStyle name="Normal 12 2 2 3 2 2 3" xfId="8063"/>
    <cellStyle name="Normal 12 2 2 4 2 3" xfId="8064"/>
    <cellStyle name="Normal 12 2 3 3 3" xfId="8065"/>
    <cellStyle name="Normal 12 2 3 2 2 3" xfId="8066"/>
    <cellStyle name="Normal 12 2 4 3 3" xfId="8067"/>
    <cellStyle name="Normal 12 2 4 2 2 3" xfId="8068"/>
    <cellStyle name="Normal 12 2 5 2 2 3" xfId="8069"/>
    <cellStyle name="Normal 12 2 6 2 3" xfId="8070"/>
    <cellStyle name="Normal 12 3 5 3" xfId="8071"/>
    <cellStyle name="Normal 12 3 2 3 3" xfId="8072"/>
    <cellStyle name="Normal 12 3 2 2 2 3" xfId="8073"/>
    <cellStyle name="Normal 12 3 3 3 3" xfId="8074"/>
    <cellStyle name="Normal 12 3 3 2 2 3" xfId="8075"/>
    <cellStyle name="Normal 12 3 4 2 3" xfId="8076"/>
    <cellStyle name="Normal 12 4 5 3" xfId="8077"/>
    <cellStyle name="Normal 12 4 2 3 3" xfId="8078"/>
    <cellStyle name="Normal 12 4 2 2 2 3" xfId="8079"/>
    <cellStyle name="Normal 12 4 3 3 3" xfId="8080"/>
    <cellStyle name="Normal 12 4 3 2 2 3" xfId="8081"/>
    <cellStyle name="Normal 12 4 4 2 3" xfId="8082"/>
    <cellStyle name="Normal 12 5 3 3" xfId="8083"/>
    <cellStyle name="Normal 12 5 2 2 3" xfId="8084"/>
    <cellStyle name="Normal 12 6 3 3" xfId="8085"/>
    <cellStyle name="Normal 12 6 2 2 3" xfId="8086"/>
    <cellStyle name="Normal 12 7 2 3" xfId="8087"/>
    <cellStyle name="Normal 15 6 3" xfId="8088"/>
    <cellStyle name="Normal 15 3 2 3" xfId="8089"/>
    <cellStyle name="Normal 16 2 5 3" xfId="8090"/>
    <cellStyle name="Normal 16 2 2 3 3" xfId="8091"/>
    <cellStyle name="Normal 16 2 2 2 2 3" xfId="8092"/>
    <cellStyle name="Normal 16 2 3 3 3" xfId="8093"/>
    <cellStyle name="Normal 16 2 3 2 2 3" xfId="8094"/>
    <cellStyle name="Normal 16 2 4 2 3" xfId="8095"/>
    <cellStyle name="Normal 16 3 3 3" xfId="8096"/>
    <cellStyle name="Normal 16 3 2 2 3" xfId="8097"/>
    <cellStyle name="Normal 16 4 3 3" xfId="8098"/>
    <cellStyle name="Normal 16 4 2 2 3" xfId="8099"/>
    <cellStyle name="Normal 16 5 2 2 3" xfId="8100"/>
    <cellStyle name="Normal 16 6 2 3" xfId="8101"/>
    <cellStyle name="Normal 17 2 5 3" xfId="8102"/>
    <cellStyle name="Normal 17 2 2 3 3" xfId="8103"/>
    <cellStyle name="Normal 17 2 2 2 2 3" xfId="8104"/>
    <cellStyle name="Normal 17 2 3 3 3" xfId="8105"/>
    <cellStyle name="Normal 17 2 3 2 2 3" xfId="8106"/>
    <cellStyle name="Normal 17 2 4 2 3" xfId="8107"/>
    <cellStyle name="Normal 17 3 3 3" xfId="8108"/>
    <cellStyle name="Normal 17 3 2 2 3" xfId="8109"/>
    <cellStyle name="Normal 17 4 3 3" xfId="8110"/>
    <cellStyle name="Normal 17 4 2 2 3" xfId="8111"/>
    <cellStyle name="Normal 17 5 2 2 3" xfId="8112"/>
    <cellStyle name="Normal 17 6 2 3" xfId="8113"/>
    <cellStyle name="Normal 2 10 3 2 3" xfId="8114"/>
    <cellStyle name="Normal 2 11 3 2 3" xfId="8115"/>
    <cellStyle name="Normal 2 12 3 2 3" xfId="8116"/>
    <cellStyle name="Normal 2 13 3 2 3" xfId="8117"/>
    <cellStyle name="Normal 2 14 3 2 3" xfId="8118"/>
    <cellStyle name="Normal 2 15 3 2 3" xfId="8119"/>
    <cellStyle name="Normal 2 16 3 2 3" xfId="8120"/>
    <cellStyle name="Normal 2 17 3 2 3" xfId="8121"/>
    <cellStyle name="Normal 2 18 3 2 3" xfId="8122"/>
    <cellStyle name="Normal 2 19 3 2 3" xfId="8123"/>
    <cellStyle name="Normal 2 2 10 2 3" xfId="8124"/>
    <cellStyle name="Normal 2 2 11 2 3" xfId="8125"/>
    <cellStyle name="Normal 2 2 12 2 3" xfId="8126"/>
    <cellStyle name="Normal 2 2 13 2 3" xfId="8127"/>
    <cellStyle name="Normal 2 2 14 2 3" xfId="8128"/>
    <cellStyle name="Normal 2 2 15 2 3" xfId="8129"/>
    <cellStyle name="Normal 2 2 16 2 3" xfId="8130"/>
    <cellStyle name="Normal 2 2 17 2 3" xfId="8131"/>
    <cellStyle name="Normal 2 2 18 2 3" xfId="8132"/>
    <cellStyle name="Normal 2 2 19 2 3" xfId="8133"/>
    <cellStyle name="Normal 2 2 2 2 6 3" xfId="8134"/>
    <cellStyle name="Normal 2 2 2 2 2 3 3" xfId="8135"/>
    <cellStyle name="Normal 2 2 2 2 2 2 2 3" xfId="8136"/>
    <cellStyle name="Normal 2 2 2 2 3 2 3" xfId="8137"/>
    <cellStyle name="Normal 2 2 2 2 4 2 3" xfId="8138"/>
    <cellStyle name="Normal 2 2 2 2 5 2 3" xfId="8139"/>
    <cellStyle name="Normal 2 2 20 2 3" xfId="8140"/>
    <cellStyle name="Normal 2 2 21 2 3" xfId="8141"/>
    <cellStyle name="Normal 2 2 22 2 3" xfId="8142"/>
    <cellStyle name="Normal 2 2 3 9 3" xfId="8143"/>
    <cellStyle name="Normal 2 2 3 2 2 3" xfId="8144"/>
    <cellStyle name="Normal 2 2 3 3 2 3" xfId="8145"/>
    <cellStyle name="Normal 2 2 3 4 2 3" xfId="8146"/>
    <cellStyle name="Normal 2 2 3 5 2 3" xfId="8147"/>
    <cellStyle name="Normal 2 2 3 6 2 3" xfId="8148"/>
    <cellStyle name="Normal 2 2 4 5 3" xfId="8149"/>
    <cellStyle name="Normal 2 2 4 2 2 3" xfId="8150"/>
    <cellStyle name="Normal 2 2 5 4 3" xfId="8151"/>
    <cellStyle name="Normal 2 2 5 2 2 3" xfId="8152"/>
    <cellStyle name="Normal 2 2 6 2 3" xfId="8153"/>
    <cellStyle name="Normal 2 2 7 2 3" xfId="8154"/>
    <cellStyle name="Normal 2 2 8 2 3" xfId="8155"/>
    <cellStyle name="Normal 2 2 9 2 3" xfId="8156"/>
    <cellStyle name="Normal 2 20 2 3" xfId="8157"/>
    <cellStyle name="Normal 2 3 2 3 3" xfId="8158"/>
    <cellStyle name="Normal 2 3 3 2 3" xfId="8159"/>
    <cellStyle name="Normal 2 3 4 2 3" xfId="8160"/>
    <cellStyle name="Normal 2 3 5 2 3" xfId="8161"/>
    <cellStyle name="Normal 2 3 6 2 3" xfId="8162"/>
    <cellStyle name="Normal 2 4 5 2 3" xfId="8163"/>
    <cellStyle name="Normal 2 4 2 2 3" xfId="8164"/>
    <cellStyle name="Normal 2 5 3 2 3" xfId="8165"/>
    <cellStyle name="Normal 2 6 3 2 3" xfId="8166"/>
    <cellStyle name="Normal 2 7 3 2 3" xfId="8167"/>
    <cellStyle name="Normal 2 8 3 2 3" xfId="8168"/>
    <cellStyle name="Normal 2 9 3 2 3" xfId="8169"/>
    <cellStyle name="Normal 21 9 3" xfId="8170"/>
    <cellStyle name="Normal 21 2 7 3" xfId="8171"/>
    <cellStyle name="Normal 21 2 2 2 3" xfId="8172"/>
    <cellStyle name="Normal 21 2 3 2 3" xfId="8173"/>
    <cellStyle name="Normal 21 2 4 2 3" xfId="8174"/>
    <cellStyle name="Normal 21 2 5 2 3" xfId="8175"/>
    <cellStyle name="Normal 21 2 6 2 3" xfId="8176"/>
    <cellStyle name="Normal 21 3 3 3" xfId="8177"/>
    <cellStyle name="Normal 21 3 2 2 3" xfId="8178"/>
    <cellStyle name="Normal 21 4 2 3" xfId="8179"/>
    <cellStyle name="Normal 21 5 2 3" xfId="8180"/>
    <cellStyle name="Normal 21 6 2 3" xfId="8181"/>
    <cellStyle name="Normal 21 8 2 3" xfId="8182"/>
    <cellStyle name="Normal 22 8 3" xfId="8183"/>
    <cellStyle name="Normal 22 2 7 3" xfId="8184"/>
    <cellStyle name="Normal 22 2 2 2 3" xfId="8185"/>
    <cellStyle name="Normal 22 2 3 2 3" xfId="8186"/>
    <cellStyle name="Normal 22 2 4 2 3" xfId="8187"/>
    <cellStyle name="Normal 22 2 5 2 3" xfId="8188"/>
    <cellStyle name="Normal 22 3 2 3" xfId="8189"/>
    <cellStyle name="Normal 22 4 2 3" xfId="8190"/>
    <cellStyle name="Normal 22 5 2 3" xfId="8191"/>
    <cellStyle name="Normal 22 6 2 3" xfId="8192"/>
    <cellStyle name="Normal 23 8 3" xfId="8193"/>
    <cellStyle name="Normal 23 2 6 3" xfId="8194"/>
    <cellStyle name="Normal 23 2 2 2 3" xfId="8195"/>
    <cellStyle name="Normal 23 2 3 2 3" xfId="8196"/>
    <cellStyle name="Normal 23 2 4 2 3" xfId="8197"/>
    <cellStyle name="Normal 23 2 5 2 3" xfId="8198"/>
    <cellStyle name="Normal 23 3 2 3" xfId="8199"/>
    <cellStyle name="Normal 23 4 2 3" xfId="8200"/>
    <cellStyle name="Normal 23 5 2 3" xfId="8201"/>
    <cellStyle name="Normal 23 6 2 3" xfId="8202"/>
    <cellStyle name="Normal 24 8 3" xfId="8203"/>
    <cellStyle name="Normal 24 2 6 3" xfId="8204"/>
    <cellStyle name="Normal 24 2 2 2 3" xfId="8205"/>
    <cellStyle name="Normal 24 2 3 2 3" xfId="8206"/>
    <cellStyle name="Normal 24 2 4 2 3" xfId="8207"/>
    <cellStyle name="Normal 24 2 5 2 3" xfId="8208"/>
    <cellStyle name="Normal 24 3 2 3" xfId="8209"/>
    <cellStyle name="Normal 24 4 2 3" xfId="8210"/>
    <cellStyle name="Normal 24 5 2 3" xfId="8211"/>
    <cellStyle name="Normal 24 6 2 3" xfId="8212"/>
    <cellStyle name="Normal 26 8 3" xfId="8213"/>
    <cellStyle name="Normal 26 2 6 3" xfId="8214"/>
    <cellStyle name="Normal 26 2 2 2 3" xfId="8215"/>
    <cellStyle name="Normal 26 2 3 2 3" xfId="8216"/>
    <cellStyle name="Normal 26 2 4 2 3" xfId="8217"/>
    <cellStyle name="Normal 26 2 5 2 3" xfId="8218"/>
    <cellStyle name="Normal 26 3 2 3" xfId="8219"/>
    <cellStyle name="Normal 26 4 2 3" xfId="8220"/>
    <cellStyle name="Normal 26 5 2 3" xfId="8221"/>
    <cellStyle name="Normal 26 6 2 3" xfId="8222"/>
    <cellStyle name="Normal 3 10 2 3" xfId="8223"/>
    <cellStyle name="Normal 3 11 2 3" xfId="8224"/>
    <cellStyle name="Normal 3 12 2 3" xfId="8225"/>
    <cellStyle name="Normal 3 13 2 3" xfId="8226"/>
    <cellStyle name="Normal 3 14 2 3" xfId="8227"/>
    <cellStyle name="Normal 3 15 2 3" xfId="8228"/>
    <cellStyle name="Normal 3 16 2 3" xfId="8229"/>
    <cellStyle name="Normal 3 17 2 3" xfId="8230"/>
    <cellStyle name="Normal 3 18 2 3" xfId="8231"/>
    <cellStyle name="Normal 3 19 2 3" xfId="8232"/>
    <cellStyle name="Normal 3 2 2 2 3" xfId="8233"/>
    <cellStyle name="Normal 3 2 3 2 3" xfId="8234"/>
    <cellStyle name="Normal 3 2 4 2 3" xfId="8235"/>
    <cellStyle name="Normal 3 2 5 2 3" xfId="8236"/>
    <cellStyle name="Normal 3 2 6 2 3" xfId="8237"/>
    <cellStyle name="Normal 3 20 2 3" xfId="8238"/>
    <cellStyle name="Normal 3 21 2 3" xfId="8239"/>
    <cellStyle name="Normal 3 22 2 3" xfId="8240"/>
    <cellStyle name="Normal 3 23 2 3" xfId="8241"/>
    <cellStyle name="Normal 3 24 2 3" xfId="8242"/>
    <cellStyle name="Normal 3 3 5 3" xfId="8243"/>
    <cellStyle name="Normal 3 3 2 2 3" xfId="8244"/>
    <cellStyle name="Normal 3 3 3 2 3" xfId="8245"/>
    <cellStyle name="Normal 3 4 3 3" xfId="8246"/>
    <cellStyle name="Normal 3 4 2 2 3" xfId="8247"/>
    <cellStyle name="Normal 3 5 3 3" xfId="8248"/>
    <cellStyle name="Normal 3 5 2 2 3" xfId="8249"/>
    <cellStyle name="Normal 3 6 2 3" xfId="8250"/>
    <cellStyle name="Normal 3 7 2 3" xfId="8251"/>
    <cellStyle name="Normal 3 8 2 3" xfId="8252"/>
    <cellStyle name="Normal 3 9 2 3" xfId="8253"/>
    <cellStyle name="Normal 4 2 10 2 3" xfId="8254"/>
    <cellStyle name="Normal 4 2 11 2 3" xfId="8255"/>
    <cellStyle name="Normal 4 2 12 2 3" xfId="8256"/>
    <cellStyle name="Normal 4 2 13 2 3" xfId="8257"/>
    <cellStyle name="Normal 4 2 14 2 3" xfId="8258"/>
    <cellStyle name="Normal 4 2 15 2 3" xfId="8259"/>
    <cellStyle name="Normal 4 2 16 2 3" xfId="8260"/>
    <cellStyle name="Normal 4 2 17 2 3" xfId="8261"/>
    <cellStyle name="Normal 4 2 18 2 3" xfId="8262"/>
    <cellStyle name="Normal 4 2 19 2 3" xfId="8263"/>
    <cellStyle name="Normal 4 2 2 6 3" xfId="8264"/>
    <cellStyle name="Normal 4 2 2 2 2 3" xfId="8265"/>
    <cellStyle name="Normal 4 2 2 3 2 3" xfId="8266"/>
    <cellStyle name="Normal 4 2 2 4 2 3" xfId="8267"/>
    <cellStyle name="Normal 4 2 2 5 2 3" xfId="8268"/>
    <cellStyle name="Normal 4 2 20 2 3" xfId="8269"/>
    <cellStyle name="Normal 4 2 21 2 3" xfId="8270"/>
    <cellStyle name="Normal 4 2 22 2 3" xfId="8271"/>
    <cellStyle name="Normal 4 2 23 2 3" xfId="8272"/>
    <cellStyle name="Normal 4 2 24 2 3" xfId="8273"/>
    <cellStyle name="Normal 4 2 3 3 3" xfId="8274"/>
    <cellStyle name="Normal 4 2 3 2 2 3" xfId="8275"/>
    <cellStyle name="Normal 4 2 4 3 3" xfId="8276"/>
    <cellStyle name="Normal 4 2 4 2 2 3" xfId="8277"/>
    <cellStyle name="Normal 4 2 5 3 3" xfId="8278"/>
    <cellStyle name="Normal 4 2 5 2 2 3" xfId="8279"/>
    <cellStyle name="Normal 4 2 6 2 3" xfId="8280"/>
    <cellStyle name="Normal 4 2 7 2 3" xfId="8281"/>
    <cellStyle name="Normal 4 2 8 2 3" xfId="8282"/>
    <cellStyle name="Normal 4 2 9 2 3" xfId="8283"/>
    <cellStyle name="Normal 4 3 7 3" xfId="8284"/>
    <cellStyle name="Normal 4 3 2 6 3" xfId="8285"/>
    <cellStyle name="Normal 4 3 2 2 5 3" xfId="8286"/>
    <cellStyle name="Normal 4 3 2 2 2 3 3" xfId="8287"/>
    <cellStyle name="Normal 4 3 2 2 2 2 2 3" xfId="8288"/>
    <cellStyle name="Normal 4 3 2 2 3 3 3" xfId="8289"/>
    <cellStyle name="Normal 4 3 2 2 3 2 2 3" xfId="8290"/>
    <cellStyle name="Normal 4 3 2 2 4 2 3" xfId="8291"/>
    <cellStyle name="Normal 4 3 2 3 3 3" xfId="8292"/>
    <cellStyle name="Normal 4 3 2 3 2 2 3" xfId="8293"/>
    <cellStyle name="Normal 4 3 2 4 3 3" xfId="8294"/>
    <cellStyle name="Normal 4 3 2 4 2 2 3" xfId="8295"/>
    <cellStyle name="Normal 4 3 2 5 2 3" xfId="8296"/>
    <cellStyle name="Normal 4 3 3 5 3" xfId="8297"/>
    <cellStyle name="Normal 4 3 3 2 3 3" xfId="8298"/>
    <cellStyle name="Normal 4 3 3 2 2 2 3" xfId="8299"/>
    <cellStyle name="Normal 4 3 3 3 3 3" xfId="8300"/>
    <cellStyle name="Normal 4 3 3 3 2 2 3" xfId="8301"/>
    <cellStyle name="Normal 4 3 3 4 2 3" xfId="8302"/>
    <cellStyle name="Normal 4 3 4 3 3" xfId="8303"/>
    <cellStyle name="Normal 4 3 4 2 2 3" xfId="8304"/>
    <cellStyle name="Normal 4 3 5 3 3" xfId="8305"/>
    <cellStyle name="Normal 4 3 5 2 2 3" xfId="8306"/>
    <cellStyle name="Normal 4 3 6 2 3" xfId="8307"/>
    <cellStyle name="Normal 4 4 4 3" xfId="8308"/>
    <cellStyle name="Normal 4 4 2 2 3" xfId="8309"/>
    <cellStyle name="Normal 4 5 2 3" xfId="8310"/>
    <cellStyle name="Normal 4 6 2 3" xfId="8311"/>
    <cellStyle name="Normal 4 7 2 3" xfId="8312"/>
    <cellStyle name="Normal 4 8 2 3" xfId="8313"/>
    <cellStyle name="Normal 41 2 2 3" xfId="8314"/>
    <cellStyle name="Normal 46 2 3" xfId="8315"/>
    <cellStyle name="Normal 5 28 2 3" xfId="8316"/>
    <cellStyle name="Normal 5 2 7 3" xfId="8317"/>
    <cellStyle name="Normal 5 2 2 2 2 2 3" xfId="8318"/>
    <cellStyle name="Normal 5 2 2 3 2 3" xfId="8319"/>
    <cellStyle name="Normal 5 2 3 2 2 2 3" xfId="8320"/>
    <cellStyle name="Normal 5 2 3 3 2 3" xfId="8321"/>
    <cellStyle name="Normal 5 2 4 2 2 3" xfId="8322"/>
    <cellStyle name="Normal 5 2 6 2 3" xfId="8323"/>
    <cellStyle name="Normal 5 24 2 3" xfId="8324"/>
    <cellStyle name="Normal 5 3 3 3" xfId="8325"/>
    <cellStyle name="Normal 5 4 3 3" xfId="8326"/>
    <cellStyle name="Normal 5 5 3 3" xfId="8327"/>
    <cellStyle name="Normal 5 6 3 3" xfId="8328"/>
    <cellStyle name="Normal 5 7 3 3" xfId="8329"/>
    <cellStyle name="Normal 7 25 2 3" xfId="8330"/>
    <cellStyle name="Normal 7 10 2 3" xfId="8331"/>
    <cellStyle name="Normal 7 11 2 3" xfId="8332"/>
    <cellStyle name="Normal 7 12 2 3" xfId="8333"/>
    <cellStyle name="Normal 7 13 2 3" xfId="8334"/>
    <cellStyle name="Normal 7 14 2 3" xfId="8335"/>
    <cellStyle name="Normal 7 15 2 3" xfId="8336"/>
    <cellStyle name="Normal 7 16 2 3" xfId="8337"/>
    <cellStyle name="Normal 7 17 2 3" xfId="8338"/>
    <cellStyle name="Normal 7 18 2 3" xfId="8339"/>
    <cellStyle name="Normal 7 19 2 3" xfId="8340"/>
    <cellStyle name="Normal 7 2 6 3" xfId="8341"/>
    <cellStyle name="Normal 7 2 2 2 3" xfId="8342"/>
    <cellStyle name="Normal 7 2 3 2 3" xfId="8343"/>
    <cellStyle name="Normal 7 2 4 2 3" xfId="8344"/>
    <cellStyle name="Normal 7 2 5 2 3" xfId="8345"/>
    <cellStyle name="Normal 7 20 2 3" xfId="8346"/>
    <cellStyle name="Normal 7 22 2 3" xfId="8347"/>
    <cellStyle name="Normal 7 3 6 3" xfId="8348"/>
    <cellStyle name="Normal 7 3 2 2 3" xfId="8349"/>
    <cellStyle name="Normal 7 3 3 2 3" xfId="8350"/>
    <cellStyle name="Normal 7 3 4 2 3" xfId="8351"/>
    <cellStyle name="Normal 7 3 5 2 3" xfId="8352"/>
    <cellStyle name="Normal 7 4 2 3" xfId="8353"/>
    <cellStyle name="Normal 7 5 2 3" xfId="8354"/>
    <cellStyle name="Normal 7 6 2 3" xfId="8355"/>
    <cellStyle name="Normal 7 7 2 3" xfId="8356"/>
    <cellStyle name="Normal 7 8 2 3" xfId="8357"/>
    <cellStyle name="Normal 7 9 2 3" xfId="8358"/>
    <cellStyle name="Normal 8 25 2 3" xfId="8359"/>
    <cellStyle name="Normal 8 10 2 3" xfId="8360"/>
    <cellStyle name="Normal 8 11 2 3" xfId="8361"/>
    <cellStyle name="Normal 8 12 2 3" xfId="8362"/>
    <cellStyle name="Normal 8 13 2 3" xfId="8363"/>
    <cellStyle name="Normal 8 14 2 3" xfId="8364"/>
    <cellStyle name="Normal 8 15 2 3" xfId="8365"/>
    <cellStyle name="Normal 8 16 2 3" xfId="8366"/>
    <cellStyle name="Normal 8 17 2 3" xfId="8367"/>
    <cellStyle name="Normal 8 18 2 3" xfId="8368"/>
    <cellStyle name="Normal 8 19 2 3" xfId="8369"/>
    <cellStyle name="Normal 8 2 6 2 3" xfId="8370"/>
    <cellStyle name="Normal 8 2 2 2 2 3" xfId="8371"/>
    <cellStyle name="Normal 8 2 3 2 3" xfId="8372"/>
    <cellStyle name="Normal 8 2 4 2 3" xfId="8373"/>
    <cellStyle name="Normal 8 2 5 2 3" xfId="8374"/>
    <cellStyle name="Normal 8 20 2 3" xfId="8375"/>
    <cellStyle name="Normal 8 22 2 3" xfId="8376"/>
    <cellStyle name="Normal 8 3 6 2 3" xfId="8377"/>
    <cellStyle name="Normal 8 3 2 2 3" xfId="8378"/>
    <cellStyle name="Normal 8 3 3 2 3" xfId="8379"/>
    <cellStyle name="Normal 8 3 4 2 3" xfId="8380"/>
    <cellStyle name="Normal 8 3 5 2 3" xfId="8381"/>
    <cellStyle name="Normal 8 4 2 3" xfId="8382"/>
    <cellStyle name="Normal 8 5 2 3" xfId="8383"/>
    <cellStyle name="Normal 8 6 2 3" xfId="8384"/>
    <cellStyle name="Normal 8 7 2 3" xfId="8385"/>
    <cellStyle name="Normal 8 8 2 3" xfId="8386"/>
    <cellStyle name="Normal 8 9 2 3" xfId="8387"/>
    <cellStyle name="Normal 9 25 2 3" xfId="8388"/>
    <cellStyle name="Normal 9 10 2 3" xfId="8389"/>
    <cellStyle name="Normal 9 11 2 3" xfId="8390"/>
    <cellStyle name="Normal 9 12 2 3" xfId="8391"/>
    <cellStyle name="Normal 9 13 2 3" xfId="8392"/>
    <cellStyle name="Normal 9 14 2 3" xfId="8393"/>
    <cellStyle name="Normal 9 15 2 3" xfId="8394"/>
    <cellStyle name="Normal 9 16 2 3" xfId="8395"/>
    <cellStyle name="Normal 9 17 2 3" xfId="8396"/>
    <cellStyle name="Normal 9 18 2 3" xfId="8397"/>
    <cellStyle name="Normal 9 19 2 3" xfId="8398"/>
    <cellStyle name="Normal 9 2 6 3" xfId="8399"/>
    <cellStyle name="Normal 9 2 2 2 3" xfId="8400"/>
    <cellStyle name="Normal 9 2 3 2 3" xfId="8401"/>
    <cellStyle name="Normal 9 2 4 2 3" xfId="8402"/>
    <cellStyle name="Normal 9 2 5 2 3" xfId="8403"/>
    <cellStyle name="Normal 9 20 2 3" xfId="8404"/>
    <cellStyle name="Normal 9 22 2 3" xfId="8405"/>
    <cellStyle name="Normal 9 3 6 3" xfId="8406"/>
    <cellStyle name="Normal 9 3 2 2 3" xfId="8407"/>
    <cellStyle name="Normal 9 3 3 2 3" xfId="8408"/>
    <cellStyle name="Normal 9 3 4 2 3" xfId="8409"/>
    <cellStyle name="Normal 9 3 5 2 3" xfId="8410"/>
    <cellStyle name="Normal 9 4 2 3" xfId="8411"/>
    <cellStyle name="Normal 9 5 2 3" xfId="8412"/>
    <cellStyle name="Normal 9 6 2 3" xfId="8413"/>
    <cellStyle name="Normal 9 7 2 3" xfId="8414"/>
    <cellStyle name="Normal 9 8 2 3" xfId="8415"/>
    <cellStyle name="Normal 9 9 2 3" xfId="8416"/>
    <cellStyle name="Note 2 2 3" xfId="8417"/>
    <cellStyle name="Note 3 2 3" xfId="8418"/>
    <cellStyle name="Note 4 2 3" xfId="8419"/>
    <cellStyle name="Note 7 2 3" xfId="8420"/>
    <cellStyle name="Percent 120 2 3" xfId="8421"/>
    <cellStyle name="Percent 121 2 3" xfId="8422"/>
    <cellStyle name="Percent 122 2 3" xfId="8423"/>
    <cellStyle name="Percent 123 2 3" xfId="8424"/>
    <cellStyle name="Percent 124 2 3" xfId="8425"/>
    <cellStyle name="Percent 125 2 3" xfId="8426"/>
    <cellStyle name="Percent 126 2 3" xfId="8427"/>
    <cellStyle name="Percent 127 2 3" xfId="8428"/>
    <cellStyle name="Percent 128 2 3" xfId="8429"/>
    <cellStyle name="Percent 129 2 3" xfId="8430"/>
    <cellStyle name="Percent 130 2 3" xfId="8431"/>
    <cellStyle name="Percent 159 2 3" xfId="8432"/>
    <cellStyle name="Percent 2 22 2 3" xfId="8433"/>
    <cellStyle name="Percent 25 2 3 3" xfId="8434"/>
    <cellStyle name="Percent 25 2 2 2 3" xfId="8435"/>
    <cellStyle name="Percent 25 3 3 3" xfId="8436"/>
    <cellStyle name="Percent 25 3 2 2 3" xfId="8437"/>
    <cellStyle name="Percent 25 4 2 2 3" xfId="8438"/>
    <cellStyle name="Percent 25 5 2 3" xfId="8439"/>
    <cellStyle name="Percent 26 2 3 3" xfId="8440"/>
    <cellStyle name="Percent 26 2 2 2 3" xfId="8441"/>
    <cellStyle name="Percent 26 3 3 3" xfId="8442"/>
    <cellStyle name="Percent 26 3 2 2 3" xfId="8443"/>
    <cellStyle name="Percent 26 4 2 2 3" xfId="8444"/>
    <cellStyle name="Percent 26 5 2 3" xfId="8445"/>
    <cellStyle name="Percent 27 2 3 3" xfId="8446"/>
    <cellStyle name="Percent 27 2 2 2 3" xfId="8447"/>
    <cellStyle name="Percent 27 3 3 3" xfId="8448"/>
    <cellStyle name="Percent 27 3 2 2 3" xfId="8449"/>
    <cellStyle name="Percent 27 4 2 2 3" xfId="8450"/>
    <cellStyle name="Percent 27 5 2 3" xfId="8451"/>
    <cellStyle name="Percent 28 2 3 3" xfId="8452"/>
    <cellStyle name="Percent 28 2 2 2 3" xfId="8453"/>
    <cellStyle name="Percent 28 3 3 3" xfId="8454"/>
    <cellStyle name="Percent 28 3 2 2 3" xfId="8455"/>
    <cellStyle name="Percent 28 4 2 2 3" xfId="8456"/>
    <cellStyle name="Percent 28 5 2 3" xfId="8457"/>
    <cellStyle name="Percent 29 2 3 3" xfId="8458"/>
    <cellStyle name="Percent 29 2 2 2 3" xfId="8459"/>
    <cellStyle name="Percent 29 3 3 3" xfId="8460"/>
    <cellStyle name="Percent 29 3 2 2 3" xfId="8461"/>
    <cellStyle name="Percent 29 4 2 2 3" xfId="8462"/>
    <cellStyle name="Percent 29 5 2 3" xfId="8463"/>
    <cellStyle name="Percent 3 10 2 3" xfId="8464"/>
    <cellStyle name="Percent 3 11 2 3" xfId="8465"/>
    <cellStyle name="Percent 3 12 2 3" xfId="8466"/>
    <cellStyle name="Percent 3 13 2 3" xfId="8467"/>
    <cellStyle name="Percent 3 14 2 3" xfId="8468"/>
    <cellStyle name="Percent 3 15 2 3" xfId="8469"/>
    <cellStyle name="Percent 3 16 2 3" xfId="8470"/>
    <cellStyle name="Percent 3 17 2 3" xfId="8471"/>
    <cellStyle name="Percent 3 18 2 3" xfId="8472"/>
    <cellStyle name="Percent 3 19 2 3" xfId="8473"/>
    <cellStyle name="Percent 3 2 23 3" xfId="8474"/>
    <cellStyle name="Percent 3 2 10 2 3" xfId="8475"/>
    <cellStyle name="Percent 3 2 11 2 3" xfId="8476"/>
    <cellStyle name="Percent 3 2 12 2 3" xfId="8477"/>
    <cellStyle name="Percent 3 2 13 2 3" xfId="8478"/>
    <cellStyle name="Percent 3 2 14 2 3" xfId="8479"/>
    <cellStyle name="Percent 3 2 15 2 3" xfId="8480"/>
    <cellStyle name="Percent 3 2 16 2 3" xfId="8481"/>
    <cellStyle name="Percent 3 2 17 2 3" xfId="8482"/>
    <cellStyle name="Percent 3 2 18 2 3" xfId="8483"/>
    <cellStyle name="Percent 3 2 19 2 3" xfId="8484"/>
    <cellStyle name="Percent 3 2 2 2 2 3" xfId="8485"/>
    <cellStyle name="Percent 3 2 2 3 2 3" xfId="8486"/>
    <cellStyle name="Percent 3 2 2 4 2 3" xfId="8487"/>
    <cellStyle name="Percent 3 2 2 5 2 3" xfId="8488"/>
    <cellStyle name="Percent 3 2 20 2 3" xfId="8489"/>
    <cellStyle name="Percent 3 2 21 2 2 3" xfId="8490"/>
    <cellStyle name="Percent 3 2 3 6 3" xfId="8491"/>
    <cellStyle name="Percent 3 2 3 2 2 3" xfId="8492"/>
    <cellStyle name="Percent 3 2 3 3 2 3" xfId="8493"/>
    <cellStyle name="Percent 3 2 3 4 2 3" xfId="8494"/>
    <cellStyle name="Percent 3 2 3 5 2 3" xfId="8495"/>
    <cellStyle name="Percent 3 2 4 3 3" xfId="8496"/>
    <cellStyle name="Percent 3 2 4 2 2 3" xfId="8497"/>
    <cellStyle name="Percent 3 2 5 3 3" xfId="8498"/>
    <cellStyle name="Percent 3 2 5 2 2 3" xfId="8499"/>
    <cellStyle name="Percent 3 2 6 3 3" xfId="8500"/>
    <cellStyle name="Percent 3 2 6 2 2 3" xfId="8501"/>
    <cellStyle name="Percent 3 2 7 2 3" xfId="8502"/>
    <cellStyle name="Percent 3 2 8 2 3" xfId="8503"/>
    <cellStyle name="Percent 3 2 9 2 3" xfId="8504"/>
    <cellStyle name="Percent 3 20 2 3" xfId="8505"/>
    <cellStyle name="Percent 3 21 2 3" xfId="8506"/>
    <cellStyle name="Percent 3 3 2 2 3" xfId="8507"/>
    <cellStyle name="Percent 3 3 3 2 3" xfId="8508"/>
    <cellStyle name="Percent 3 3 4 2 3" xfId="8509"/>
    <cellStyle name="Percent 3 3 5 2 3" xfId="8510"/>
    <cellStyle name="Percent 3 4 6 3" xfId="8511"/>
    <cellStyle name="Percent 3 4 2 2 3" xfId="8512"/>
    <cellStyle name="Percent 3 4 3 2 3" xfId="8513"/>
    <cellStyle name="Percent 3 4 4 2 3" xfId="8514"/>
    <cellStyle name="Percent 3 4 5 2 3" xfId="8515"/>
    <cellStyle name="Percent 3 5 3 3" xfId="8516"/>
    <cellStyle name="Percent 3 5 2 2 3" xfId="8517"/>
    <cellStyle name="Percent 3 6 3 3" xfId="8518"/>
    <cellStyle name="Percent 3 6 2 2 3" xfId="8519"/>
    <cellStyle name="Percent 3 7 3 3" xfId="8520"/>
    <cellStyle name="Percent 3 7 2 2 3" xfId="8521"/>
    <cellStyle name="Percent 3 8 2 3" xfId="8522"/>
    <cellStyle name="Percent 3 9 2 3" xfId="8523"/>
    <cellStyle name="Percent 30 2 3 3" xfId="8524"/>
    <cellStyle name="Percent 30 2 2 2 3" xfId="8525"/>
    <cellStyle name="Percent 30 3 3 3" xfId="8526"/>
    <cellStyle name="Percent 30 3 2 2 3" xfId="8527"/>
    <cellStyle name="Percent 30 4 2 2 3" xfId="8528"/>
    <cellStyle name="Percent 30 5 2 3" xfId="8529"/>
    <cellStyle name="Percent 31 2 3 3" xfId="8530"/>
    <cellStyle name="Percent 31 2 2 2 3" xfId="8531"/>
    <cellStyle name="Percent 31 3 3 3" xfId="8532"/>
    <cellStyle name="Percent 31 3 2 2 3" xfId="8533"/>
    <cellStyle name="Percent 31 4 2 2 3" xfId="8534"/>
    <cellStyle name="Percent 31 5 2 3" xfId="8535"/>
    <cellStyle name="Percent 32 2 3 3" xfId="8536"/>
    <cellStyle name="Percent 32 2 2 2 3" xfId="8537"/>
    <cellStyle name="Percent 32 3 3 3" xfId="8538"/>
    <cellStyle name="Percent 32 3 2 2 3" xfId="8539"/>
    <cellStyle name="Percent 32 4 2 2 3" xfId="8540"/>
    <cellStyle name="Percent 32 5 2 3" xfId="8541"/>
    <cellStyle name="Percent 33 2 3 3" xfId="8542"/>
    <cellStyle name="Percent 33 2 2 2 3" xfId="8543"/>
    <cellStyle name="Percent 33 3 3 3" xfId="8544"/>
    <cellStyle name="Percent 33 3 2 2 3" xfId="8545"/>
    <cellStyle name="Percent 33 4 2 2 3" xfId="8546"/>
    <cellStyle name="Percent 33 5 2 3" xfId="8547"/>
    <cellStyle name="Percent 34 2 3 3" xfId="8548"/>
    <cellStyle name="Percent 34 2 2 2 3" xfId="8549"/>
    <cellStyle name="Percent 34 3 3 3" xfId="8550"/>
    <cellStyle name="Percent 34 3 2 2 3" xfId="8551"/>
    <cellStyle name="Percent 34 4 2 2 3" xfId="8552"/>
    <cellStyle name="Percent 34 5 2 3" xfId="8553"/>
    <cellStyle name="Percent 35 2 3 3" xfId="8554"/>
    <cellStyle name="Percent 35 2 2 2 3" xfId="8555"/>
    <cellStyle name="Percent 35 3 3 3" xfId="8556"/>
    <cellStyle name="Percent 35 3 2 2 3" xfId="8557"/>
    <cellStyle name="Percent 35 4 2 2 3" xfId="8558"/>
    <cellStyle name="Percent 35 5 2 3" xfId="8559"/>
    <cellStyle name="Currency 5 4 2 3" xfId="8560"/>
    <cellStyle name="Comma 5 7 2 3" xfId="8561"/>
    <cellStyle name="Percent 5 4 2 3" xfId="8562"/>
    <cellStyle name="Comma 6 5 2 3" xfId="8563"/>
    <cellStyle name="Currency 5 2 4 2 3" xfId="8564"/>
    <cellStyle name="Comma 5 2 4 2 3" xfId="8565"/>
    <cellStyle name="Percent 5 2 4 2 3" xfId="8566"/>
    <cellStyle name="Comma 6 2 3 2 3" xfId="8567"/>
    <cellStyle name="Currency 5 3 2 2 3" xfId="8568"/>
    <cellStyle name="Comma 5 3 2 2 3" xfId="8569"/>
    <cellStyle name="Percent 5 3 2 2 3" xfId="8570"/>
    <cellStyle name="Comma 6 3 4 2 3" xfId="8571"/>
    <cellStyle name="Normal 11 2 2 2 3" xfId="8572"/>
    <cellStyle name="Currency 5 2 2 2 2 3" xfId="8573"/>
    <cellStyle name="Comma 5 2 2 2 2 3" xfId="8574"/>
    <cellStyle name="Percent 5 2 2 2 2 3" xfId="8575"/>
    <cellStyle name="Comma 6 2 2 2 2 3" xfId="8576"/>
    <cellStyle name="Normal 52 2" xfId="8577"/>
    <cellStyle name="Comma 205 2" xfId="8578"/>
    <cellStyle name="Normal 2 25 2" xfId="8579"/>
    <cellStyle name="Comma 206 2" xfId="8580"/>
    <cellStyle name="Currency 5 7 2" xfId="8581"/>
    <cellStyle name="Normal 8 27 2" xfId="8582"/>
    <cellStyle name="Comma 5 10 2 4" xfId="8583"/>
    <cellStyle name="Percent 5 7 2 4" xfId="8584"/>
    <cellStyle name="Comma 6 8 2" xfId="8585"/>
    <cellStyle name="Normal 11 6 2" xfId="8586"/>
    <cellStyle name="Currency 5 2 7 2" xfId="8587"/>
    <cellStyle name="Normal 8 2 8 2" xfId="8588"/>
    <cellStyle name="Comma 5 2 7 2" xfId="8589"/>
    <cellStyle name="Percent 5 2 7 2" xfId="8590"/>
    <cellStyle name="Comma 6 2 6 2" xfId="8591"/>
    <cellStyle name="Currency 5 3 5 2" xfId="8592"/>
    <cellStyle name="Normal 8 3 8 2" xfId="8593"/>
    <cellStyle name="Comma 5 3 5 2" xfId="8594"/>
    <cellStyle name="Percent 5 3 5 2" xfId="8595"/>
    <cellStyle name="Comma 6 3 7 2" xfId="8596"/>
    <cellStyle name="Normal 11 2 5 2" xfId="8597"/>
    <cellStyle name="Currency 5 2 2 5 2" xfId="8598"/>
    <cellStyle name="Normal 8 2 2 4 2" xfId="8599"/>
    <cellStyle name="Comma 5 2 2 5 2" xfId="8600"/>
    <cellStyle name="Percent 5 2 2 5 2" xfId="8601"/>
    <cellStyle name="Comma 6 2 2 4 2" xfId="8602"/>
    <cellStyle name="Normal 50 3 2" xfId="8603"/>
    <cellStyle name="Comma 186 3 2" xfId="8604"/>
    <cellStyle name="Percent 162 3 2" xfId="8605"/>
    <cellStyle name="Normal 2 24 3 2" xfId="8606"/>
    <cellStyle name="20% - Accent1 2 3 2" xfId="8607"/>
    <cellStyle name="20% - Accent1 3 3 2" xfId="8608"/>
    <cellStyle name="20% - Accent1 4 3 2" xfId="8609"/>
    <cellStyle name="20% - Accent1 5 3 2" xfId="8610"/>
    <cellStyle name="20% - Accent2 2 3 2" xfId="8611"/>
    <cellStyle name="20% - Accent2 3 3 2" xfId="8612"/>
    <cellStyle name="20% - Accent2 4 3 2" xfId="8613"/>
    <cellStyle name="20% - Accent2 5 3 2" xfId="8614"/>
    <cellStyle name="20% - Accent3 2 3 2" xfId="8615"/>
    <cellStyle name="20% - Accent3 3 3 2" xfId="8616"/>
    <cellStyle name="20% - Accent3 4 3 2" xfId="8617"/>
    <cellStyle name="20% - Accent3 5 3 2" xfId="8618"/>
    <cellStyle name="20% - Accent4 2 3 2" xfId="8619"/>
    <cellStyle name="20% - Accent4 3 3 2" xfId="8620"/>
    <cellStyle name="20% - Accent4 4 3 2" xfId="8621"/>
    <cellStyle name="20% - Accent4 5 3 2" xfId="8622"/>
    <cellStyle name="20% - Accent5 2 3 2" xfId="8623"/>
    <cellStyle name="20% - Accent5 3 3 2" xfId="8624"/>
    <cellStyle name="20% - Accent5 4 3 2" xfId="8625"/>
    <cellStyle name="20% - Accent6 2 3 2" xfId="8626"/>
    <cellStyle name="20% - Accent6 3 3 2" xfId="8627"/>
    <cellStyle name="20% - Accent6 4 3 2" xfId="8628"/>
    <cellStyle name="40% - Accent1 2 3 2" xfId="8629"/>
    <cellStyle name="40% - Accent1 3 3 2" xfId="8630"/>
    <cellStyle name="40% - Accent1 4 3 2" xfId="8631"/>
    <cellStyle name="40% - Accent1 5 3 2" xfId="8632"/>
    <cellStyle name="40% - Accent2 2 3 2" xfId="8633"/>
    <cellStyle name="40% - Accent2 3 3 2" xfId="8634"/>
    <cellStyle name="40% - Accent2 4 3 2" xfId="8635"/>
    <cellStyle name="40% - Accent3 2 3 2" xfId="8636"/>
    <cellStyle name="40% - Accent3 3 3 2" xfId="8637"/>
    <cellStyle name="40% - Accent3 4 3 2" xfId="8638"/>
    <cellStyle name="40% - Accent3 5 3 2" xfId="8639"/>
    <cellStyle name="40% - Accent4 2 3 2" xfId="8640"/>
    <cellStyle name="40% - Accent4 3 3 2" xfId="8641"/>
    <cellStyle name="40% - Accent4 4 3 2" xfId="8642"/>
    <cellStyle name="40% - Accent4 5 3 2" xfId="8643"/>
    <cellStyle name="40% - Accent5 2 3 2" xfId="8644"/>
    <cellStyle name="40% - Accent5 3 3 2" xfId="8645"/>
    <cellStyle name="40% - Accent5 4 3 2" xfId="8646"/>
    <cellStyle name="40% - Accent6 2 3 2" xfId="8647"/>
    <cellStyle name="40% - Accent6 3 3 2" xfId="8648"/>
    <cellStyle name="40% - Accent6 4 3 2" xfId="8649"/>
    <cellStyle name="40% - Accent6 5 3 2" xfId="8650"/>
    <cellStyle name="Comma 143 3 2" xfId="8651"/>
    <cellStyle name="Comma 144 3 2" xfId="8652"/>
    <cellStyle name="Comma 145 3 2" xfId="8653"/>
    <cellStyle name="Comma 146 3 2" xfId="8654"/>
    <cellStyle name="Comma 147 3 2" xfId="8655"/>
    <cellStyle name="Comma 148 3 2" xfId="8656"/>
    <cellStyle name="Comma 149 3 2" xfId="8657"/>
    <cellStyle name="Comma 150 3 2" xfId="8658"/>
    <cellStyle name="Comma 151 3 2" xfId="8659"/>
    <cellStyle name="Comma 152 3 2" xfId="8660"/>
    <cellStyle name="Comma 153 3 2" xfId="8661"/>
    <cellStyle name="Comma 182 3 2" xfId="8662"/>
    <cellStyle name="Comma 2 23 3 2" xfId="8663"/>
    <cellStyle name="Comma 2 2 10 3 2" xfId="8664"/>
    <cellStyle name="Comma 2 2 11 3 2" xfId="8665"/>
    <cellStyle name="Comma 2 2 12 3 2" xfId="8666"/>
    <cellStyle name="Comma 2 2 13 3 2" xfId="8667"/>
    <cellStyle name="Comma 2 2 14 3 2" xfId="8668"/>
    <cellStyle name="Comma 2 2 15 3 2" xfId="8669"/>
    <cellStyle name="Comma 2 2 16 3 2" xfId="8670"/>
    <cellStyle name="Comma 2 2 17 3 2" xfId="8671"/>
    <cellStyle name="Comma 2 2 2 2 7 2" xfId="8672"/>
    <cellStyle name="Comma 2 2 2 2 2 3 2" xfId="8673"/>
    <cellStyle name="Comma 2 2 2 2 3 3 2" xfId="8674"/>
    <cellStyle name="Comma 2 2 2 2 4 3 2" xfId="8675"/>
    <cellStyle name="Comma 2 2 2 2 5 3 2" xfId="8676"/>
    <cellStyle name="Comma 2 2 2 3 3 2" xfId="8677"/>
    <cellStyle name="Comma 2 2 2 4 3 2" xfId="8678"/>
    <cellStyle name="Comma 2 2 2 5 3 2" xfId="8679"/>
    <cellStyle name="Comma 2 2 2 6 3 2" xfId="8680"/>
    <cellStyle name="Comma 2 2 3 7 2" xfId="8681"/>
    <cellStyle name="Comma 2 2 3 2 2 3 2" xfId="8682"/>
    <cellStyle name="Comma 2 2 3 2 3 3 2" xfId="8683"/>
    <cellStyle name="Comma 2 2 3 2 4 3 2" xfId="8684"/>
    <cellStyle name="Comma 2 2 3 2 5 3 2" xfId="8685"/>
    <cellStyle name="Comma 2 2 3 3 3 2" xfId="8686"/>
    <cellStyle name="Comma 2 2 4 2 3 2" xfId="8687"/>
    <cellStyle name="Comma 2 2 5 3 2" xfId="8688"/>
    <cellStyle name="Comma 2 2 6 3 2" xfId="8689"/>
    <cellStyle name="Comma 2 2 7 3 2" xfId="8690"/>
    <cellStyle name="Comma 2 2 8 3 2" xfId="8691"/>
    <cellStyle name="Comma 2 2 9 3 2" xfId="8692"/>
    <cellStyle name="Comma 3 10 3 2" xfId="8693"/>
    <cellStyle name="Comma 3 11 3 2" xfId="8694"/>
    <cellStyle name="Comma 3 12 3 2" xfId="8695"/>
    <cellStyle name="Comma 3 13 3 2" xfId="8696"/>
    <cellStyle name="Comma 3 14 3 2" xfId="8697"/>
    <cellStyle name="Comma 3 15 3 2" xfId="8698"/>
    <cellStyle name="Comma 3 16 3 2" xfId="8699"/>
    <cellStyle name="Comma 3 17 3 2" xfId="8700"/>
    <cellStyle name="Comma 3 18 3 2" xfId="8701"/>
    <cellStyle name="Comma 3 19 3 2" xfId="8702"/>
    <cellStyle name="Comma 3 2 2 3 2" xfId="8703"/>
    <cellStyle name="Comma 3 2 3 3 2" xfId="8704"/>
    <cellStyle name="Comma 3 2 4 3 2" xfId="8705"/>
    <cellStyle name="Comma 3 2 5 3 2" xfId="8706"/>
    <cellStyle name="Comma 3 20 3 2" xfId="8707"/>
    <cellStyle name="Comma 3 21 3 2" xfId="8708"/>
    <cellStyle name="Comma 3 3 7 2" xfId="8709"/>
    <cellStyle name="Comma 3 3 2 3 2" xfId="8710"/>
    <cellStyle name="Comma 3 3 3 3 2" xfId="8711"/>
    <cellStyle name="Comma 3 3 4 3 2" xfId="8712"/>
    <cellStyle name="Comma 3 3 5 3 2" xfId="8713"/>
    <cellStyle name="Comma 3 4 4 2" xfId="8714"/>
    <cellStyle name="Comma 3 4 2 3 2" xfId="8715"/>
    <cellStyle name="Comma 3 5 4 2" xfId="8716"/>
    <cellStyle name="Comma 3 5 2 3 2" xfId="8717"/>
    <cellStyle name="Comma 3 6 4 2" xfId="8718"/>
    <cellStyle name="Comma 3 6 2 3 2" xfId="8719"/>
    <cellStyle name="Comma 3 7 3 2" xfId="8720"/>
    <cellStyle name="Comma 3 8 3 2" xfId="8721"/>
    <cellStyle name="Comma 3 9 3 2" xfId="8722"/>
    <cellStyle name="Currency 120 3 2" xfId="8723"/>
    <cellStyle name="Currency 121 3 2" xfId="8724"/>
    <cellStyle name="Currency 122 3 2" xfId="8725"/>
    <cellStyle name="Currency 123 3 2" xfId="8726"/>
    <cellStyle name="Currency 124 3 2" xfId="8727"/>
    <cellStyle name="Currency 125 3 2" xfId="8728"/>
    <cellStyle name="Currency 126 3 2" xfId="8729"/>
    <cellStyle name="Currency 127 3 2" xfId="8730"/>
    <cellStyle name="Currency 128 3 2" xfId="8731"/>
    <cellStyle name="Currency 129 3 2" xfId="8732"/>
    <cellStyle name="Currency 130 3 2" xfId="8733"/>
    <cellStyle name="Currency 159 3 2" xfId="8734"/>
    <cellStyle name="Currency 2 27 3 2" xfId="8735"/>
    <cellStyle name="Currency 2 2 20 3 2" xfId="8736"/>
    <cellStyle name="Currency 2 2 10 3 2" xfId="8737"/>
    <cellStyle name="Currency 2 2 11 3 2" xfId="8738"/>
    <cellStyle name="Currency 2 2 12 3 2" xfId="8739"/>
    <cellStyle name="Currency 2 2 13 3 2" xfId="8740"/>
    <cellStyle name="Currency 2 2 14 3 2" xfId="8741"/>
    <cellStyle name="Currency 2 2 15 3 2" xfId="8742"/>
    <cellStyle name="Currency 2 2 16 3 2" xfId="8743"/>
    <cellStyle name="Currency 2 2 17 3 2" xfId="8744"/>
    <cellStyle name="Currency 2 2 18 3 2" xfId="8745"/>
    <cellStyle name="Currency 2 2 2 2 3 2" xfId="8746"/>
    <cellStyle name="Currency 2 2 2 3 3 2" xfId="8747"/>
    <cellStyle name="Currency 2 2 2 4 3 2" xfId="8748"/>
    <cellStyle name="Currency 2 2 2 5 3 2" xfId="8749"/>
    <cellStyle name="Currency 2 2 3 7 2" xfId="8750"/>
    <cellStyle name="Currency 2 2 3 2 3 2" xfId="8751"/>
    <cellStyle name="Currency 2 2 3 3 3 2" xfId="8752"/>
    <cellStyle name="Currency 2 2 3 4 3 2" xfId="8753"/>
    <cellStyle name="Currency 2 2 3 5 3 2" xfId="8754"/>
    <cellStyle name="Currency 2 2 4 3 2" xfId="8755"/>
    <cellStyle name="Currency 2 2 5 3 2" xfId="8756"/>
    <cellStyle name="Currency 2 2 6 3 2" xfId="8757"/>
    <cellStyle name="Currency 2 2 7 3 2" xfId="8758"/>
    <cellStyle name="Currency 2 2 8 3 2" xfId="8759"/>
    <cellStyle name="Currency 2 2 9 3 2" xfId="8760"/>
    <cellStyle name="Currency 3 10 3 2" xfId="8761"/>
    <cellStyle name="Currency 3 11 3 2" xfId="8762"/>
    <cellStyle name="Currency 3 12 3 2" xfId="8763"/>
    <cellStyle name="Currency 3 13 3 2" xfId="8764"/>
    <cellStyle name="Currency 3 14 3 2" xfId="8765"/>
    <cellStyle name="Currency 3 15 3 2" xfId="8766"/>
    <cellStyle name="Currency 3 16 3 2" xfId="8767"/>
    <cellStyle name="Currency 3 17 3 2" xfId="8768"/>
    <cellStyle name="Currency 3 18 3 2" xfId="8769"/>
    <cellStyle name="Currency 3 19 3 2" xfId="8770"/>
    <cellStyle name="Currency 3 2 2 3 2" xfId="8771"/>
    <cellStyle name="Currency 3 2 3 3 2" xfId="8772"/>
    <cellStyle name="Currency 3 2 4 3 2" xfId="8773"/>
    <cellStyle name="Currency 3 2 5 3 2" xfId="8774"/>
    <cellStyle name="Currency 3 20 3 2" xfId="8775"/>
    <cellStyle name="Currency 3 21 3 2" xfId="8776"/>
    <cellStyle name="Currency 3 3 9 2" xfId="8777"/>
    <cellStyle name="Currency 3 3 2 3 2" xfId="8778"/>
    <cellStyle name="Currency 3 3 3 3 2" xfId="8779"/>
    <cellStyle name="Currency 3 3 4 3 2" xfId="8780"/>
    <cellStyle name="Currency 3 3 5 3 2" xfId="8781"/>
    <cellStyle name="Currency 3 3 6 3 2" xfId="8782"/>
    <cellStyle name="Currency 3 4 4 2" xfId="8783"/>
    <cellStyle name="Currency 3 4 2 3 2" xfId="8784"/>
    <cellStyle name="Currency 3 5 4 2" xfId="8785"/>
    <cellStyle name="Currency 3 5 2 3 2" xfId="8786"/>
    <cellStyle name="Currency 3 6 4 2" xfId="8787"/>
    <cellStyle name="Currency 3 6 2 3 2" xfId="8788"/>
    <cellStyle name="Currency 3 7 3 2" xfId="8789"/>
    <cellStyle name="Currency 3 8 3 2" xfId="8790"/>
    <cellStyle name="Currency 3 9 3 2" xfId="8791"/>
    <cellStyle name="Normal 10 3 7 2" xfId="8792"/>
    <cellStyle name="Normal 10 3 2 6 2" xfId="8793"/>
    <cellStyle name="Normal 10 3 2 2 4 2" xfId="8794"/>
    <cellStyle name="Normal 10 3 2 2 2 3 2" xfId="8795"/>
    <cellStyle name="Normal 10 3 2 3 4 2" xfId="8796"/>
    <cellStyle name="Normal 10 3 2 3 2 3 2" xfId="8797"/>
    <cellStyle name="Normal 10 3 2 4 3 2" xfId="8798"/>
    <cellStyle name="Normal 10 3 3 4 2" xfId="8799"/>
    <cellStyle name="Normal 10 3 3 2 3 2" xfId="8800"/>
    <cellStyle name="Normal 10 3 4 4 2" xfId="8801"/>
    <cellStyle name="Normal 10 3 4 2 3 2" xfId="8802"/>
    <cellStyle name="Normal 10 3 5 3 2" xfId="8803"/>
    <cellStyle name="Normal 10 4 6 2" xfId="8804"/>
    <cellStyle name="Normal 10 4 2 4 2" xfId="8805"/>
    <cellStyle name="Normal 10 4 2 2 3 2" xfId="8806"/>
    <cellStyle name="Normal 10 4 3 4 2" xfId="8807"/>
    <cellStyle name="Normal 10 4 3 2 3 2" xfId="8808"/>
    <cellStyle name="Normal 10 4 4 3 2" xfId="8809"/>
    <cellStyle name="Normal 10 5 6 2" xfId="8810"/>
    <cellStyle name="Normal 10 5 2 4 2" xfId="8811"/>
    <cellStyle name="Normal 10 5 2 2 3 2" xfId="8812"/>
    <cellStyle name="Normal 10 5 3 4 2" xfId="8813"/>
    <cellStyle name="Normal 10 5 3 2 3 2" xfId="8814"/>
    <cellStyle name="Normal 10 5 4 3 2" xfId="8815"/>
    <cellStyle name="Normal 10 6 4 2" xfId="8816"/>
    <cellStyle name="Normal 10 6 2 3 2" xfId="8817"/>
    <cellStyle name="Normal 10 7 4 2" xfId="8818"/>
    <cellStyle name="Normal 10 7 2 3 2" xfId="8819"/>
    <cellStyle name="Normal 10 8 2 3 2" xfId="8820"/>
    <cellStyle name="Normal 10 9 3 2" xfId="8821"/>
    <cellStyle name="Normal 11 4 3 2" xfId="8822"/>
    <cellStyle name="Normal 11 3 3 2" xfId="8823"/>
    <cellStyle name="Normal 12 9 2" xfId="8824"/>
    <cellStyle name="Normal 12 2 2 6 2" xfId="8825"/>
    <cellStyle name="Normal 12 2 2 2 4 2" xfId="8826"/>
    <cellStyle name="Normal 12 2 2 2 2 3 2" xfId="8827"/>
    <cellStyle name="Normal 12 2 2 3 4 2" xfId="8828"/>
    <cellStyle name="Normal 12 2 2 3 2 3 2" xfId="8829"/>
    <cellStyle name="Normal 12 2 2 4 3 2" xfId="8830"/>
    <cellStyle name="Normal 12 2 3 4 2" xfId="8831"/>
    <cellStyle name="Normal 12 2 3 2 3 2" xfId="8832"/>
    <cellStyle name="Normal 12 2 4 4 2" xfId="8833"/>
    <cellStyle name="Normal 12 2 4 2 3 2" xfId="8834"/>
    <cellStyle name="Normal 12 2 5 2 3 2" xfId="8835"/>
    <cellStyle name="Normal 12 2 6 3 2" xfId="8836"/>
    <cellStyle name="Normal 12 3 6 2" xfId="8837"/>
    <cellStyle name="Normal 12 3 2 4 2" xfId="8838"/>
    <cellStyle name="Normal 12 3 2 2 3 2" xfId="8839"/>
    <cellStyle name="Normal 12 3 3 4 2" xfId="8840"/>
    <cellStyle name="Normal 12 3 3 2 3 2" xfId="8841"/>
    <cellStyle name="Normal 12 3 4 3 2" xfId="8842"/>
    <cellStyle name="Normal 12 4 6 2" xfId="8843"/>
    <cellStyle name="Normal 12 4 2 4 2" xfId="8844"/>
    <cellStyle name="Normal 12 4 2 2 3 2" xfId="8845"/>
    <cellStyle name="Normal 12 4 3 4 2" xfId="8846"/>
    <cellStyle name="Normal 12 4 3 2 3 2" xfId="8847"/>
    <cellStyle name="Normal 12 4 4 3 2" xfId="8848"/>
    <cellStyle name="Normal 12 5 4 2" xfId="8849"/>
    <cellStyle name="Normal 12 5 2 3 2" xfId="8850"/>
    <cellStyle name="Normal 12 6 4 2" xfId="8851"/>
    <cellStyle name="Normal 12 6 2 3 2" xfId="8852"/>
    <cellStyle name="Normal 12 7 3 2" xfId="8853"/>
    <cellStyle name="Normal 15 7 2" xfId="8854"/>
    <cellStyle name="Normal 15 3 3 2" xfId="8855"/>
    <cellStyle name="Normal 16 2 6 2" xfId="8856"/>
    <cellStyle name="Normal 16 2 2 4 2" xfId="8857"/>
    <cellStyle name="Normal 16 2 2 2 3 2" xfId="8858"/>
    <cellStyle name="Normal 16 2 3 4 2" xfId="8859"/>
    <cellStyle name="Normal 16 2 3 2 3 2" xfId="8860"/>
    <cellStyle name="Normal 16 2 4 3 2" xfId="8861"/>
    <cellStyle name="Normal 16 3 4 2" xfId="8862"/>
    <cellStyle name="Normal 16 3 2 3 2" xfId="8863"/>
    <cellStyle name="Normal 16 4 4 2" xfId="8864"/>
    <cellStyle name="Normal 16 4 2 3 2" xfId="8865"/>
    <cellStyle name="Normal 16 5 2 3 2" xfId="8866"/>
    <cellStyle name="Normal 16 6 3 2" xfId="8867"/>
    <cellStyle name="Normal 17 2 6 2" xfId="8868"/>
    <cellStyle name="Normal 17 2 2 4 2" xfId="8869"/>
    <cellStyle name="Normal 17 2 2 2 3 2" xfId="8870"/>
    <cellStyle name="Normal 17 2 3 4 2" xfId="8871"/>
    <cellStyle name="Normal 17 2 3 2 3 2" xfId="8872"/>
    <cellStyle name="Normal 17 2 4 3 2" xfId="8873"/>
    <cellStyle name="Normal 17 3 4 2" xfId="8874"/>
    <cellStyle name="Normal 17 3 2 3 2" xfId="8875"/>
    <cellStyle name="Normal 17 4 4 2" xfId="8876"/>
    <cellStyle name="Normal 17 4 2 3 2" xfId="8877"/>
    <cellStyle name="Normal 17 5 2 3 2" xfId="8878"/>
    <cellStyle name="Normal 17 6 3 2" xfId="8879"/>
    <cellStyle name="Normal 2 10 3 3 2" xfId="8880"/>
    <cellStyle name="Normal 2 11 3 3 2" xfId="8881"/>
    <cellStyle name="Normal 2 12 3 3 2" xfId="8882"/>
    <cellStyle name="Normal 2 13 3 3 2" xfId="8883"/>
    <cellStyle name="Normal 2 14 3 3 2" xfId="8884"/>
    <cellStyle name="Normal 2 15 3 3 2" xfId="8885"/>
    <cellStyle name="Normal 2 16 3 3 2" xfId="8886"/>
    <cellStyle name="Normal 2 17 3 3 2" xfId="8887"/>
    <cellStyle name="Normal 2 18 3 3 2" xfId="8888"/>
    <cellStyle name="Normal 2 19 3 3 2" xfId="8889"/>
    <cellStyle name="Normal 2 2 10 3 2" xfId="8890"/>
    <cellStyle name="Normal 2 2 11 3 2" xfId="8891"/>
    <cellStyle name="Normal 2 2 12 3 2" xfId="8892"/>
    <cellStyle name="Normal 2 2 13 3 2" xfId="8893"/>
    <cellStyle name="Normal 2 2 14 3 2" xfId="8894"/>
    <cellStyle name="Normal 2 2 15 3 2" xfId="8895"/>
    <cellStyle name="Normal 2 2 16 3 2" xfId="8896"/>
    <cellStyle name="Normal 2 2 17 3 2" xfId="8897"/>
    <cellStyle name="Normal 2 2 18 3 2" xfId="8898"/>
    <cellStyle name="Normal 2 2 19 3 2" xfId="8899"/>
    <cellStyle name="Normal 2 2 2 2 7 2" xfId="8900"/>
    <cellStyle name="Normal 2 2 2 2 2 4 2" xfId="8901"/>
    <cellStyle name="Normal 2 2 2 2 2 2 3 2" xfId="8902"/>
    <cellStyle name="Normal 2 2 2 2 3 3 2" xfId="8903"/>
    <cellStyle name="Normal 2 2 2 2 4 3 2" xfId="8904"/>
    <cellStyle name="Normal 2 2 2 2 5 3 2" xfId="8905"/>
    <cellStyle name="Normal 2 2 20 3 2" xfId="8906"/>
    <cellStyle name="Normal 2 2 21 3 2" xfId="8907"/>
    <cellStyle name="Normal 2 2 22 3 2" xfId="8908"/>
    <cellStyle name="Normal 2 2 3 10 2" xfId="8909"/>
    <cellStyle name="Normal 2 2 3 2 3 2" xfId="8910"/>
    <cellStyle name="Normal 2 2 3 3 3 2" xfId="8911"/>
    <cellStyle name="Normal 2 2 3 4 3 2" xfId="8912"/>
    <cellStyle name="Normal 2 2 3 5 3 2" xfId="8913"/>
    <cellStyle name="Normal 2 2 3 6 3 2" xfId="8914"/>
    <cellStyle name="Normal 2 2 4 6 2" xfId="8915"/>
    <cellStyle name="Normal 2 2 4 2 3 2" xfId="8916"/>
    <cellStyle name="Normal 2 2 5 5 2" xfId="8917"/>
    <cellStyle name="Normal 2 2 5 2 3 2" xfId="8918"/>
    <cellStyle name="Normal 2 2 6 3 2" xfId="8919"/>
    <cellStyle name="Normal 2 2 7 3 2" xfId="8920"/>
    <cellStyle name="Normal 2 2 8 3 2" xfId="8921"/>
    <cellStyle name="Normal 2 2 9 3 2" xfId="8922"/>
    <cellStyle name="Normal 2 20 3 2" xfId="8923"/>
    <cellStyle name="Normal 2 3 2 4 2" xfId="8924"/>
    <cellStyle name="Normal 2 3 3 3 2" xfId="8925"/>
    <cellStyle name="Normal 2 3 4 3 2" xfId="8926"/>
    <cellStyle name="Normal 2 3 5 3 2" xfId="8927"/>
    <cellStyle name="Normal 2 3 6 3 2" xfId="8928"/>
    <cellStyle name="Normal 2 4 5 3 2" xfId="8929"/>
    <cellStyle name="Normal 2 4 2 3 2" xfId="8930"/>
    <cellStyle name="Normal 2 5 3 3 2" xfId="8931"/>
    <cellStyle name="Normal 2 6 3 3 2" xfId="8932"/>
    <cellStyle name="Normal 2 7 3 3 2" xfId="8933"/>
    <cellStyle name="Normal 2 8 3 3 2" xfId="8934"/>
    <cellStyle name="Normal 2 9 3 3 2" xfId="8935"/>
    <cellStyle name="Normal 21 10 2" xfId="8936"/>
    <cellStyle name="Normal 21 2 8 2" xfId="8937"/>
    <cellStyle name="Normal 21 2 2 3 2" xfId="8938"/>
    <cellStyle name="Normal 21 2 3 3 2" xfId="8939"/>
    <cellStyle name="Normal 21 2 4 3 2" xfId="8940"/>
    <cellStyle name="Normal 21 2 5 3 2" xfId="8941"/>
    <cellStyle name="Normal 21 2 6 3 2" xfId="8942"/>
    <cellStyle name="Normal 21 3 4 2" xfId="8943"/>
    <cellStyle name="Normal 21 3 2 3 2" xfId="8944"/>
    <cellStyle name="Normal 21 4 3 2" xfId="8945"/>
    <cellStyle name="Normal 21 5 3 2" xfId="8946"/>
    <cellStyle name="Normal 21 6 3 2" xfId="8947"/>
    <cellStyle name="Normal 21 8 3 2" xfId="8948"/>
    <cellStyle name="Normal 22 9 2" xfId="8949"/>
    <cellStyle name="Normal 22 2 8 2" xfId="8950"/>
    <cellStyle name="Normal 22 2 2 3 2" xfId="8951"/>
    <cellStyle name="Normal 22 2 3 3 2" xfId="8952"/>
    <cellStyle name="Normal 22 2 4 3 2" xfId="8953"/>
    <cellStyle name="Normal 22 2 5 3 2" xfId="8954"/>
    <cellStyle name="Normal 22 3 3 2" xfId="8955"/>
    <cellStyle name="Normal 22 4 3 2" xfId="8956"/>
    <cellStyle name="Normal 22 5 3 2" xfId="8957"/>
    <cellStyle name="Normal 22 6 3 2" xfId="8958"/>
    <cellStyle name="Normal 23 9 2" xfId="8959"/>
    <cellStyle name="Normal 23 2 7 2" xfId="8960"/>
    <cellStyle name="Normal 23 2 2 3 2" xfId="8961"/>
    <cellStyle name="Normal 23 2 3 3 2" xfId="8962"/>
    <cellStyle name="Normal 23 2 4 3 2" xfId="8963"/>
    <cellStyle name="Normal 23 2 5 3 2" xfId="8964"/>
    <cellStyle name="Normal 23 3 3 2" xfId="8965"/>
    <cellStyle name="Normal 23 4 3 2" xfId="8966"/>
    <cellStyle name="Normal 23 5 3 2" xfId="8967"/>
    <cellStyle name="Normal 23 6 3 2" xfId="8968"/>
    <cellStyle name="Normal 24 9 2" xfId="8969"/>
    <cellStyle name="Normal 24 2 7 2" xfId="8970"/>
    <cellStyle name="Normal 24 2 2 3 2" xfId="8971"/>
    <cellStyle name="Normal 24 2 3 3 2" xfId="8972"/>
    <cellStyle name="Normal 24 2 4 3 2" xfId="8973"/>
    <cellStyle name="Normal 24 2 5 3 2" xfId="8974"/>
    <cellStyle name="Normal 24 3 3 2" xfId="8975"/>
    <cellStyle name="Normal 24 4 3 2" xfId="8976"/>
    <cellStyle name="Normal 24 5 3 2" xfId="8977"/>
    <cellStyle name="Normal 24 6 3 2" xfId="8978"/>
    <cellStyle name="Normal 26 9 2" xfId="8979"/>
    <cellStyle name="Normal 26 2 7 2" xfId="8980"/>
    <cellStyle name="Normal 26 2 2 3 2" xfId="8981"/>
    <cellStyle name="Normal 26 2 3 3 2" xfId="8982"/>
    <cellStyle name="Normal 26 2 4 3 2" xfId="8983"/>
    <cellStyle name="Normal 26 2 5 3 2" xfId="8984"/>
    <cellStyle name="Normal 26 3 3 2" xfId="8985"/>
    <cellStyle name="Normal 26 4 3 2" xfId="8986"/>
    <cellStyle name="Normal 26 5 3 2" xfId="8987"/>
    <cellStyle name="Normal 26 6 3 2" xfId="8988"/>
    <cellStyle name="Normal 3 10 3 2" xfId="8989"/>
    <cellStyle name="Normal 3 11 3 2" xfId="8990"/>
    <cellStyle name="Normal 3 12 3 2" xfId="8991"/>
    <cellStyle name="Normal 3 13 3 2" xfId="8992"/>
    <cellStyle name="Normal 3 14 3 2" xfId="8993"/>
    <cellStyle name="Normal 3 15 3 2" xfId="8994"/>
    <cellStyle name="Normal 3 16 3 2" xfId="8995"/>
    <cellStyle name="Normal 3 17 3 2" xfId="8996"/>
    <cellStyle name="Normal 3 18 3 2" xfId="8997"/>
    <cellStyle name="Normal 3 19 3 2" xfId="8998"/>
    <cellStyle name="Normal 3 2 2 3 2" xfId="8999"/>
    <cellStyle name="Normal 3 2 3 3 2" xfId="9000"/>
    <cellStyle name="Normal 3 2 4 3 2" xfId="9001"/>
    <cellStyle name="Normal 3 2 5 3 2" xfId="9002"/>
    <cellStyle name="Normal 3 2 6 3 2" xfId="9003"/>
    <cellStyle name="Normal 3 20 3 2" xfId="9004"/>
    <cellStyle name="Normal 3 21 3 2" xfId="9005"/>
    <cellStyle name="Normal 3 22 3 2" xfId="9006"/>
    <cellStyle name="Normal 3 23 3 2" xfId="9007"/>
    <cellStyle name="Normal 3 24 3 2" xfId="9008"/>
    <cellStyle name="Normal 3 3 6 2" xfId="9009"/>
    <cellStyle name="Normal 3 3 2 3 2" xfId="9010"/>
    <cellStyle name="Normal 3 3 3 3 2" xfId="9011"/>
    <cellStyle name="Normal 3 4 4 2" xfId="9012"/>
    <cellStyle name="Normal 3 4 2 3 2" xfId="9013"/>
    <cellStyle name="Normal 3 5 4 2" xfId="9014"/>
    <cellStyle name="Normal 3 5 2 3 2" xfId="9015"/>
    <cellStyle name="Normal 3 6 3 2" xfId="9016"/>
    <cellStyle name="Normal 3 7 3 2" xfId="9017"/>
    <cellStyle name="Normal 3 8 3 2" xfId="9018"/>
    <cellStyle name="Normal 3 9 3 2" xfId="9019"/>
    <cellStyle name="Normal 4 2 10 3 2" xfId="9020"/>
    <cellStyle name="Normal 4 2 11 3 2" xfId="9021"/>
    <cellStyle name="Normal 4 2 12 3 2" xfId="9022"/>
    <cellStyle name="Normal 4 2 13 3 2" xfId="9023"/>
    <cellStyle name="Normal 4 2 14 3 2" xfId="9024"/>
    <cellStyle name="Normal 4 2 15 3 2" xfId="9025"/>
    <cellStyle name="Normal 4 2 16 3 2" xfId="9026"/>
    <cellStyle name="Normal 4 2 17 3 2" xfId="9027"/>
    <cellStyle name="Normal 4 2 18 3 2" xfId="9028"/>
    <cellStyle name="Normal 4 2 19 3 2" xfId="9029"/>
    <cellStyle name="Normal 4 2 2 7 2" xfId="9030"/>
    <cellStyle name="Normal 4 2 2 2 3 2" xfId="9031"/>
    <cellStyle name="Normal 4 2 2 3 3 2" xfId="9032"/>
    <cellStyle name="Normal 4 2 2 4 3 2" xfId="9033"/>
    <cellStyle name="Normal 4 2 2 5 3 2" xfId="9034"/>
    <cellStyle name="Normal 4 2 20 3 2" xfId="9035"/>
    <cellStyle name="Normal 4 2 21 3 2" xfId="9036"/>
    <cellStyle name="Normal 4 2 22 3 2" xfId="9037"/>
    <cellStyle name="Normal 4 2 23 3 2" xfId="9038"/>
    <cellStyle name="Normal 4 2 24 3 2" xfId="9039"/>
    <cellStyle name="Normal 4 2 3 4 2" xfId="9040"/>
    <cellStyle name="Normal 4 2 3 2 3 2" xfId="9041"/>
    <cellStyle name="Normal 4 2 4 4 2" xfId="9042"/>
    <cellStyle name="Normal 4 2 4 2 3 2" xfId="9043"/>
    <cellStyle name="Normal 4 2 5 4 2" xfId="9044"/>
    <cellStyle name="Normal 4 2 5 2 3 2" xfId="9045"/>
    <cellStyle name="Normal 4 2 6 3 2" xfId="9046"/>
    <cellStyle name="Normal 4 2 7 3 2" xfId="9047"/>
    <cellStyle name="Normal 4 2 8 3 2" xfId="9048"/>
    <cellStyle name="Normal 4 2 9 3 2" xfId="9049"/>
    <cellStyle name="Normal 4 3 8 2" xfId="9050"/>
    <cellStyle name="Normal 4 3 2 7 2" xfId="9051"/>
    <cellStyle name="Normal 4 3 2 2 6 2" xfId="9052"/>
    <cellStyle name="Normal 4 3 2 2 2 4 2" xfId="9053"/>
    <cellStyle name="Normal 4 3 2 2 2 2 3 2" xfId="9054"/>
    <cellStyle name="Normal 4 3 2 2 3 4 2" xfId="9055"/>
    <cellStyle name="Normal 4 3 2 2 3 2 3 2" xfId="9056"/>
    <cellStyle name="Normal 4 3 2 2 4 3 2" xfId="9057"/>
    <cellStyle name="Normal 4 3 2 3 4 2" xfId="9058"/>
    <cellStyle name="Normal 4 3 2 3 2 3 2" xfId="9059"/>
    <cellStyle name="Normal 4 3 2 4 4 2" xfId="9060"/>
    <cellStyle name="Normal 4 3 2 4 2 3 2" xfId="9061"/>
    <cellStyle name="Normal 4 3 2 5 3 2" xfId="9062"/>
    <cellStyle name="Normal 4 3 3 6 2" xfId="9063"/>
    <cellStyle name="Normal 4 3 3 2 4 2" xfId="9064"/>
    <cellStyle name="Normal 4 3 3 2 2 3 2" xfId="9065"/>
    <cellStyle name="Normal 4 3 3 3 4 2" xfId="9066"/>
    <cellStyle name="Normal 4 3 3 3 2 3 2" xfId="9067"/>
    <cellStyle name="Normal 4 3 3 4 3 2" xfId="9068"/>
    <cellStyle name="Normal 4 3 4 4 2" xfId="9069"/>
    <cellStyle name="Normal 4 3 4 2 3 2" xfId="9070"/>
    <cellStyle name="Normal 4 3 5 4 2" xfId="9071"/>
    <cellStyle name="Normal 4 3 5 2 3 2" xfId="9072"/>
    <cellStyle name="Normal 4 3 6 3 2" xfId="9073"/>
    <cellStyle name="Normal 4 4 5 2" xfId="9074"/>
    <cellStyle name="Normal 4 4 2 3 2" xfId="9075"/>
    <cellStyle name="Normal 4 5 3 2" xfId="9076"/>
    <cellStyle name="Normal 4 6 3 2" xfId="9077"/>
    <cellStyle name="Normal 4 7 3 2" xfId="9078"/>
    <cellStyle name="Normal 4 8 3 2" xfId="9079"/>
    <cellStyle name="Normal 41 2 3 2" xfId="9080"/>
    <cellStyle name="Normal 46 3 2" xfId="9081"/>
    <cellStyle name="Normal 5 28 3 2" xfId="9082"/>
    <cellStyle name="Normal 5 2 8 2" xfId="9083"/>
    <cellStyle name="Normal 5 2 2 2 2 3 2" xfId="9084"/>
    <cellStyle name="Normal 5 2 2 3 3 2" xfId="9085"/>
    <cellStyle name="Normal 5 2 3 2 2 3 2" xfId="9086"/>
    <cellStyle name="Normal 5 2 3 3 3 2" xfId="9087"/>
    <cellStyle name="Normal 5 2 4 2 3 2" xfId="9088"/>
    <cellStyle name="Normal 5 2 6 3 2" xfId="9089"/>
    <cellStyle name="Normal 5 24 3 2" xfId="9090"/>
    <cellStyle name="Normal 5 3 4 2" xfId="9091"/>
    <cellStyle name="Normal 5 4 4 2" xfId="9092"/>
    <cellStyle name="Normal 5 5 4 2" xfId="9093"/>
    <cellStyle name="Normal 5 6 4 2" xfId="9094"/>
    <cellStyle name="Normal 5 7 4 2" xfId="9095"/>
    <cellStyle name="Normal 7 25 3 2" xfId="9096"/>
    <cellStyle name="Normal 7 10 3 2" xfId="9097"/>
    <cellStyle name="Normal 7 11 3 2" xfId="9098"/>
    <cellStyle name="Normal 7 12 3 2" xfId="9099"/>
    <cellStyle name="Normal 7 13 3 2" xfId="9100"/>
    <cellStyle name="Normal 7 14 3 2" xfId="9101"/>
    <cellStyle name="Normal 7 15 3 2" xfId="9102"/>
    <cellStyle name="Normal 7 16 3 2" xfId="9103"/>
    <cellStyle name="Normal 7 17 3 2" xfId="9104"/>
    <cellStyle name="Normal 7 18 3 2" xfId="9105"/>
    <cellStyle name="Normal 7 19 3 2" xfId="9106"/>
    <cellStyle name="Normal 7 2 7 2" xfId="9107"/>
    <cellStyle name="Normal 7 2 2 3 2" xfId="9108"/>
    <cellStyle name="Normal 7 2 3 3 2" xfId="9109"/>
    <cellStyle name="Normal 7 2 4 3 2" xfId="9110"/>
    <cellStyle name="Normal 7 2 5 3 2" xfId="9111"/>
    <cellStyle name="Normal 7 20 3 2" xfId="9112"/>
    <cellStyle name="Normal 7 22 3 2" xfId="9113"/>
    <cellStyle name="Normal 7 3 7 2" xfId="9114"/>
    <cellStyle name="Normal 7 3 2 3 2" xfId="9115"/>
    <cellStyle name="Normal 7 3 3 3 2" xfId="9116"/>
    <cellStyle name="Normal 7 3 4 3 2" xfId="9117"/>
    <cellStyle name="Normal 7 3 5 3 2" xfId="9118"/>
    <cellStyle name="Normal 7 4 3 2" xfId="9119"/>
    <cellStyle name="Normal 7 5 3 2" xfId="9120"/>
    <cellStyle name="Normal 7 6 3 2" xfId="9121"/>
    <cellStyle name="Normal 7 7 3 2" xfId="9122"/>
    <cellStyle name="Normal 7 8 3 2" xfId="9123"/>
    <cellStyle name="Normal 7 9 3 2" xfId="9124"/>
    <cellStyle name="Normal 8 25 3 2" xfId="9125"/>
    <cellStyle name="Normal 8 10 3 2" xfId="9126"/>
    <cellStyle name="Normal 8 11 3 2" xfId="9127"/>
    <cellStyle name="Normal 8 12 3 2" xfId="9128"/>
    <cellStyle name="Normal 8 13 3 2" xfId="9129"/>
    <cellStyle name="Normal 8 14 3 2" xfId="9130"/>
    <cellStyle name="Normal 8 15 3 2" xfId="9131"/>
    <cellStyle name="Normal 8 16 3 2" xfId="9132"/>
    <cellStyle name="Normal 8 17 3 2" xfId="9133"/>
    <cellStyle name="Normal 8 18 3 2" xfId="9134"/>
    <cellStyle name="Normal 8 19 3 2" xfId="9135"/>
    <cellStyle name="Normal 8 2 6 3 2" xfId="9136"/>
    <cellStyle name="Normal 8 2 2 2 3 2" xfId="9137"/>
    <cellStyle name="Normal 8 2 3 3 2" xfId="9138"/>
    <cellStyle name="Normal 8 2 4 3 2" xfId="9139"/>
    <cellStyle name="Normal 8 2 5 3 2" xfId="9140"/>
    <cellStyle name="Normal 8 20 3 2" xfId="9141"/>
    <cellStyle name="Normal 8 22 3 2" xfId="9142"/>
    <cellStyle name="Normal 8 3 6 3 2" xfId="9143"/>
    <cellStyle name="Normal 8 3 2 3 2" xfId="9144"/>
    <cellStyle name="Normal 8 3 3 3 2" xfId="9145"/>
    <cellStyle name="Normal 8 3 4 3 2" xfId="9146"/>
    <cellStyle name="Normal 8 3 5 3 2" xfId="9147"/>
    <cellStyle name="Normal 8 4 3 2" xfId="9148"/>
    <cellStyle name="Normal 8 5 3 2" xfId="9149"/>
    <cellStyle name="Normal 8 6 3 2" xfId="9150"/>
    <cellStyle name="Normal 8 7 3 2" xfId="9151"/>
    <cellStyle name="Normal 8 8 3 2" xfId="9152"/>
    <cellStyle name="Normal 8 9 3 2" xfId="9153"/>
    <cellStyle name="Normal 9 25 3 2" xfId="9154"/>
    <cellStyle name="Normal 9 10 3 2" xfId="9155"/>
    <cellStyle name="Normal 9 11 3 2" xfId="9156"/>
    <cellStyle name="Normal 9 12 3 2" xfId="9157"/>
    <cellStyle name="Normal 9 13 3 2" xfId="9158"/>
    <cellStyle name="Normal 9 14 3 2" xfId="9159"/>
    <cellStyle name="Normal 9 15 3 2" xfId="9160"/>
    <cellStyle name="Normal 9 16 3 2" xfId="9161"/>
    <cellStyle name="Normal 9 17 3 2" xfId="9162"/>
    <cellStyle name="Normal 9 18 3 2" xfId="9163"/>
    <cellStyle name="Normal 9 19 3 2" xfId="9164"/>
    <cellStyle name="Normal 9 2 7 2" xfId="9165"/>
    <cellStyle name="Normal 9 2 2 3 2" xfId="9166"/>
    <cellStyle name="Normal 9 2 3 3 2" xfId="9167"/>
    <cellStyle name="Normal 9 2 4 3 2" xfId="9168"/>
    <cellStyle name="Normal 9 2 5 3 2" xfId="9169"/>
    <cellStyle name="Normal 9 20 3 2" xfId="9170"/>
    <cellStyle name="Normal 9 22 3 2" xfId="9171"/>
    <cellStyle name="Normal 9 3 7 2" xfId="9172"/>
    <cellStyle name="Normal 9 3 2 3 2" xfId="9173"/>
    <cellStyle name="Normal 9 3 3 3 2" xfId="9174"/>
    <cellStyle name="Normal 9 3 4 3 2" xfId="9175"/>
    <cellStyle name="Normal 9 3 5 3 2" xfId="9176"/>
    <cellStyle name="Normal 9 4 3 2" xfId="9177"/>
    <cellStyle name="Normal 9 5 3 2" xfId="9178"/>
    <cellStyle name="Normal 9 6 3 2" xfId="9179"/>
    <cellStyle name="Normal 9 7 3 2" xfId="9180"/>
    <cellStyle name="Normal 9 8 3 2" xfId="9181"/>
    <cellStyle name="Normal 9 9 3 2" xfId="9182"/>
    <cellStyle name="Note 2 3 2 4" xfId="9183"/>
    <cellStyle name="Note 3 3 2" xfId="9184"/>
    <cellStyle name="Note 4 3 2" xfId="9185"/>
    <cellStyle name="Note 7 3 2" xfId="9186"/>
    <cellStyle name="Percent 120 3 2" xfId="9187"/>
    <cellStyle name="Percent 121 3 2" xfId="9188"/>
    <cellStyle name="Percent 122 3 2" xfId="9189"/>
    <cellStyle name="Percent 123 3 2" xfId="9190"/>
    <cellStyle name="Percent 124 3 2" xfId="9191"/>
    <cellStyle name="Percent 125 3 2" xfId="9192"/>
    <cellStyle name="Percent 126 3 2" xfId="9193"/>
    <cellStyle name="Percent 127 3 2" xfId="9194"/>
    <cellStyle name="Percent 128 3 2" xfId="9195"/>
    <cellStyle name="Percent 129 3 2" xfId="9196"/>
    <cellStyle name="Percent 130 3 2" xfId="9197"/>
    <cellStyle name="Percent 159 3 2" xfId="9198"/>
    <cellStyle name="Percent 2 22 3 2" xfId="9199"/>
    <cellStyle name="Percent 25 2 4 2" xfId="9200"/>
    <cellStyle name="Percent 25 2 2 3 2" xfId="9201"/>
    <cellStyle name="Percent 25 3 4 2" xfId="9202"/>
    <cellStyle name="Percent 25 3 2 3 2" xfId="9203"/>
    <cellStyle name="Percent 25 4 2 3 2" xfId="9204"/>
    <cellStyle name="Percent 25 5 3 2" xfId="9205"/>
    <cellStyle name="Percent 26 2 4 2" xfId="9206"/>
    <cellStyle name="Percent 26 2 2 3 2" xfId="9207"/>
    <cellStyle name="Percent 26 3 4 2" xfId="9208"/>
    <cellStyle name="Percent 26 3 2 3 2" xfId="9209"/>
    <cellStyle name="Percent 26 4 2 3 2" xfId="9210"/>
    <cellStyle name="Percent 26 5 3 2" xfId="9211"/>
    <cellStyle name="Percent 27 2 4 2" xfId="9212"/>
    <cellStyle name="Percent 27 2 2 3 2" xfId="9213"/>
    <cellStyle name="Percent 27 3 4 2" xfId="9214"/>
    <cellStyle name="Percent 27 3 2 3 2" xfId="9215"/>
    <cellStyle name="Percent 27 4 2 3 2" xfId="9216"/>
    <cellStyle name="Percent 27 5 3 2" xfId="9217"/>
    <cellStyle name="Percent 28 2 4 2" xfId="9218"/>
    <cellStyle name="Percent 28 2 2 3 2" xfId="9219"/>
    <cellStyle name="Percent 28 3 4 2" xfId="9220"/>
    <cellStyle name="Percent 28 3 2 3 2" xfId="9221"/>
    <cellStyle name="Percent 28 4 2 3 2" xfId="9222"/>
    <cellStyle name="Percent 28 5 3 2" xfId="9223"/>
    <cellStyle name="Percent 29 2 4 2" xfId="9224"/>
    <cellStyle name="Percent 29 2 2 3 2" xfId="9225"/>
    <cellStyle name="Percent 29 3 4 2" xfId="9226"/>
    <cellStyle name="Percent 29 3 2 3 2" xfId="9227"/>
    <cellStyle name="Percent 29 4 2 3 2" xfId="9228"/>
    <cellStyle name="Percent 29 5 3 2" xfId="9229"/>
    <cellStyle name="Percent 3 10 3 2" xfId="9230"/>
    <cellStyle name="Percent 3 11 3 2" xfId="9231"/>
    <cellStyle name="Percent 3 12 3 2" xfId="9232"/>
    <cellStyle name="Percent 3 13 3 2" xfId="9233"/>
    <cellStyle name="Percent 3 14 3 2" xfId="9234"/>
    <cellStyle name="Percent 3 15 3 2" xfId="9235"/>
    <cellStyle name="Percent 3 16 3 2" xfId="9236"/>
    <cellStyle name="Percent 3 17 3 2" xfId="9237"/>
    <cellStyle name="Percent 3 18 3 2" xfId="9238"/>
    <cellStyle name="Percent 3 19 3 2" xfId="9239"/>
    <cellStyle name="Percent 3 2 24 2" xfId="9240"/>
    <cellStyle name="Percent 3 2 10 3 2" xfId="9241"/>
    <cellStyle name="Percent 3 2 11 3 2" xfId="9242"/>
    <cellStyle name="Percent 3 2 12 3 2" xfId="9243"/>
    <cellStyle name="Percent 3 2 13 3 2" xfId="9244"/>
    <cellStyle name="Percent 3 2 14 3 2" xfId="9245"/>
    <cellStyle name="Percent 3 2 15 3 2" xfId="9246"/>
    <cellStyle name="Percent 3 2 16 3 2" xfId="9247"/>
    <cellStyle name="Percent 3 2 17 3 2" xfId="9248"/>
    <cellStyle name="Percent 3 2 18 3 2" xfId="9249"/>
    <cellStyle name="Percent 3 2 19 3 2" xfId="9250"/>
    <cellStyle name="Percent 3 2 2 2 3 2" xfId="9251"/>
    <cellStyle name="Percent 3 2 2 3 3 2" xfId="9252"/>
    <cellStyle name="Percent 3 2 2 4 3 2" xfId="9253"/>
    <cellStyle name="Percent 3 2 2 5 3 2" xfId="9254"/>
    <cellStyle name="Percent 3 2 20 3 2" xfId="9255"/>
    <cellStyle name="Percent 3 2 21 2 3 2" xfId="9256"/>
    <cellStyle name="Percent 3 2 3 7 2" xfId="9257"/>
    <cellStyle name="Percent 3 2 3 2 3 2" xfId="9258"/>
    <cellStyle name="Percent 3 2 3 3 3 2" xfId="9259"/>
    <cellStyle name="Percent 3 2 3 4 3 2" xfId="9260"/>
    <cellStyle name="Percent 3 2 3 5 3 2" xfId="9261"/>
    <cellStyle name="Percent 3 2 4 4 2" xfId="9262"/>
    <cellStyle name="Percent 3 2 4 2 3 2" xfId="9263"/>
    <cellStyle name="Percent 3 2 5 4 2" xfId="9264"/>
    <cellStyle name="Percent 3 2 5 2 3 2" xfId="9265"/>
    <cellStyle name="Percent 3 2 6 4 2" xfId="9266"/>
    <cellStyle name="Percent 3 2 6 2 3 2" xfId="9267"/>
    <cellStyle name="Percent 3 2 7 3 2" xfId="9268"/>
    <cellStyle name="Percent 3 2 8 3 2" xfId="9269"/>
    <cellStyle name="Percent 3 2 9 3 2" xfId="9270"/>
    <cellStyle name="Percent 3 20 3 2" xfId="9271"/>
    <cellStyle name="Percent 3 21 3 2" xfId="9272"/>
    <cellStyle name="Percent 3 3 2 3 2" xfId="9273"/>
    <cellStyle name="Percent 3 3 3 3 2" xfId="9274"/>
    <cellStyle name="Percent 3 3 4 3 2" xfId="9275"/>
    <cellStyle name="Percent 3 3 5 3 2" xfId="9276"/>
    <cellStyle name="Percent 3 4 7 2" xfId="9277"/>
    <cellStyle name="Percent 3 4 2 3 2" xfId="9278"/>
    <cellStyle name="Percent 3 4 3 3 2" xfId="9279"/>
    <cellStyle name="Percent 3 4 4 3 2" xfId="9280"/>
    <cellStyle name="Percent 3 4 5 3 2" xfId="9281"/>
    <cellStyle name="Percent 3 5 4 2" xfId="9282"/>
    <cellStyle name="Percent 3 5 2 3 2" xfId="9283"/>
    <cellStyle name="Percent 3 6 4 2" xfId="9284"/>
    <cellStyle name="Percent 3 6 2 3 2" xfId="9285"/>
    <cellStyle name="Percent 3 7 4 2" xfId="9286"/>
    <cellStyle name="Percent 3 7 2 3 2" xfId="9287"/>
    <cellStyle name="Percent 3 8 3 2" xfId="9288"/>
    <cellStyle name="Percent 3 9 3 2" xfId="9289"/>
    <cellStyle name="Percent 30 2 4 2" xfId="9290"/>
    <cellStyle name="Percent 30 2 2 3 2" xfId="9291"/>
    <cellStyle name="Percent 30 3 4 2" xfId="9292"/>
    <cellStyle name="Percent 30 3 2 3 2" xfId="9293"/>
    <cellStyle name="Percent 30 4 2 3 2" xfId="9294"/>
    <cellStyle name="Percent 30 5 3 2" xfId="9295"/>
    <cellStyle name="Percent 31 2 4 2" xfId="9296"/>
    <cellStyle name="Percent 31 2 2 3 2" xfId="9297"/>
    <cellStyle name="Percent 31 3 4 2" xfId="9298"/>
    <cellStyle name="Percent 31 3 2 3 2" xfId="9299"/>
    <cellStyle name="Percent 31 4 2 3 2" xfId="9300"/>
    <cellStyle name="Percent 31 5 3 2" xfId="9301"/>
    <cellStyle name="Percent 32 2 4 2" xfId="9302"/>
    <cellStyle name="Percent 32 2 2 3 2" xfId="9303"/>
    <cellStyle name="Percent 32 3 4 2" xfId="9304"/>
    <cellStyle name="Percent 32 3 2 3 2" xfId="9305"/>
    <cellStyle name="Percent 32 4 2 3 2" xfId="9306"/>
    <cellStyle name="Percent 32 5 3 2" xfId="9307"/>
    <cellStyle name="Percent 33 2 4 2" xfId="9308"/>
    <cellStyle name="Percent 33 2 2 3 2" xfId="9309"/>
    <cellStyle name="Percent 33 3 4 2" xfId="9310"/>
    <cellStyle name="Percent 33 3 2 3 2" xfId="9311"/>
    <cellStyle name="Percent 33 4 2 3 2" xfId="9312"/>
    <cellStyle name="Percent 33 5 3 2" xfId="9313"/>
    <cellStyle name="Percent 34 2 4 2" xfId="9314"/>
    <cellStyle name="Percent 34 2 2 3 2" xfId="9315"/>
    <cellStyle name="Percent 34 3 4 2" xfId="9316"/>
    <cellStyle name="Percent 34 3 2 3 2" xfId="9317"/>
    <cellStyle name="Percent 34 4 2 3 2" xfId="9318"/>
    <cellStyle name="Percent 34 5 3 2" xfId="9319"/>
    <cellStyle name="Percent 35 2 4 2" xfId="9320"/>
    <cellStyle name="Percent 35 2 2 3 2" xfId="9321"/>
    <cellStyle name="Percent 35 3 4 2" xfId="9322"/>
    <cellStyle name="Percent 35 3 2 3 2" xfId="9323"/>
    <cellStyle name="Percent 35 4 2 3 2" xfId="9324"/>
    <cellStyle name="Percent 35 5 3 2" xfId="9325"/>
    <cellStyle name="Currency 5 4 3 2" xfId="9326"/>
    <cellStyle name="Comma 5 7 3 2" xfId="9327"/>
    <cellStyle name="Percent 5 4 3 2" xfId="9328"/>
    <cellStyle name="Comma 6 5 3 2" xfId="9329"/>
    <cellStyle name="Currency 5 2 4 3 2" xfId="9330"/>
    <cellStyle name="Comma 5 2 4 3 2" xfId="9331"/>
    <cellStyle name="Percent 5 2 4 3 2" xfId="9332"/>
    <cellStyle name="Comma 6 2 3 3 2" xfId="9333"/>
    <cellStyle name="Currency 5 3 2 3 2" xfId="9334"/>
    <cellStyle name="Comma 5 3 2 3 2" xfId="9335"/>
    <cellStyle name="Percent 5 3 2 3 2" xfId="9336"/>
    <cellStyle name="Comma 6 3 4 3 2" xfId="9337"/>
    <cellStyle name="Normal 11 2 2 3 2" xfId="9338"/>
    <cellStyle name="Currency 5 2 2 2 3 2" xfId="9339"/>
    <cellStyle name="Comma 5 2 2 2 3 2" xfId="9340"/>
    <cellStyle name="Percent 5 2 2 2 3 2" xfId="9341"/>
    <cellStyle name="Comma 6 2 2 2 3 2" xfId="9342"/>
    <cellStyle name="Normal 51 3 2" xfId="9343"/>
    <cellStyle name="Comma 187 3 2" xfId="9344"/>
    <cellStyle name="Percent 163 3 2" xfId="9345"/>
    <cellStyle name="Currency 162 3 2" xfId="9346"/>
    <cellStyle name="Currency 5 6 2 2" xfId="9347"/>
    <cellStyle name="Currency 179 2 2" xfId="9348"/>
    <cellStyle name="Percent 180 2 2" xfId="9349"/>
    <cellStyle name="Comma 204 2 2" xfId="9350"/>
    <cellStyle name="Normal 8 26 2 2" xfId="9351"/>
    <cellStyle name="Comma 5 9 2 2" xfId="9352"/>
    <cellStyle name="Percent 5 6 2 2" xfId="9353"/>
    <cellStyle name="Comma 6 7 2 2" xfId="9354"/>
    <cellStyle name="Normal 11 5 2 2" xfId="9355"/>
    <cellStyle name="Currency 5 2 6 2 2" xfId="9356"/>
    <cellStyle name="Normal 8 2 7 2 2" xfId="9357"/>
    <cellStyle name="Comma 5 2 6 2 2" xfId="9358"/>
    <cellStyle name="Percent 5 2 6 2 2" xfId="9359"/>
    <cellStyle name="Comma 6 2 5 2 2" xfId="9360"/>
    <cellStyle name="Currency 5 3 4 2 2" xfId="9361"/>
    <cellStyle name="Normal 8 3 7 2 2" xfId="9362"/>
    <cellStyle name="Comma 5 3 4 2 2" xfId="9363"/>
    <cellStyle name="Percent 5 3 4 2 2" xfId="9364"/>
    <cellStyle name="Comma 6 3 6 2 2" xfId="9365"/>
    <cellStyle name="Normal 11 2 4 2 2" xfId="9366"/>
    <cellStyle name="Currency 5 2 2 4 2 2" xfId="9367"/>
    <cellStyle name="Normal 8 2 2 3 2 2" xfId="9368"/>
    <cellStyle name="Comma 5 2 2 4 2 2" xfId="9369"/>
    <cellStyle name="Percent 5 2 2 4 2 2" xfId="9370"/>
    <cellStyle name="Comma 6 2 2 3 2 2" xfId="9371"/>
    <cellStyle name="Normal 50 2 2 2" xfId="9372"/>
    <cellStyle name="Comma 186 2 2 2" xfId="9373"/>
    <cellStyle name="Percent 162 2 2 2" xfId="9374"/>
    <cellStyle name="Normal 2 24 2 2 2" xfId="9375"/>
    <cellStyle name="20% - Accent1 2 2 2 2" xfId="9376"/>
    <cellStyle name="20% - Accent1 3 2 2 2" xfId="9377"/>
    <cellStyle name="20% - Accent1 4 2 2 2" xfId="9378"/>
    <cellStyle name="20% - Accent1 5 2 2 2" xfId="9379"/>
    <cellStyle name="20% - Accent2 2 2 2 2" xfId="9380"/>
    <cellStyle name="20% - Accent2 3 2 2 2" xfId="9381"/>
    <cellStyle name="20% - Accent2 4 2 2 2" xfId="9382"/>
    <cellStyle name="20% - Accent2 5 2 2 2" xfId="9383"/>
    <cellStyle name="20% - Accent3 2 2 2 2" xfId="9384"/>
    <cellStyle name="20% - Accent3 3 2 2 2" xfId="9385"/>
    <cellStyle name="20% - Accent3 4 2 2 2" xfId="9386"/>
    <cellStyle name="20% - Accent3 5 2 2 2" xfId="9387"/>
    <cellStyle name="20% - Accent4 2 2 2 2" xfId="9388"/>
    <cellStyle name="20% - Accent4 3 2 2 2" xfId="9389"/>
    <cellStyle name="20% - Accent4 4 2 2 2" xfId="9390"/>
    <cellStyle name="20% - Accent4 5 2 2 2" xfId="9391"/>
    <cellStyle name="20% - Accent5 2 2 2 2" xfId="9392"/>
    <cellStyle name="20% - Accent5 3 2 2 2" xfId="9393"/>
    <cellStyle name="20% - Accent5 4 2 2 2" xfId="9394"/>
    <cellStyle name="20% - Accent6 2 2 2 2" xfId="9395"/>
    <cellStyle name="20% - Accent6 3 2 2 2" xfId="9396"/>
    <cellStyle name="20% - Accent6 4 2 2 2" xfId="9397"/>
    <cellStyle name="40% - Accent1 2 2 2 2" xfId="9398"/>
    <cellStyle name="40% - Accent1 3 2 2 2" xfId="9399"/>
    <cellStyle name="40% - Accent1 4 2 2 2" xfId="9400"/>
    <cellStyle name="40% - Accent1 5 2 2 2" xfId="9401"/>
    <cellStyle name="40% - Accent2 2 2 2 2" xfId="9402"/>
    <cellStyle name="40% - Accent2 3 2 2 2" xfId="9403"/>
    <cellStyle name="40% - Accent2 4 2 2 2" xfId="9404"/>
    <cellStyle name="40% - Accent3 2 2 2 2" xfId="9405"/>
    <cellStyle name="40% - Accent3 3 2 2 2" xfId="9406"/>
    <cellStyle name="40% - Accent3 4 2 2 2" xfId="9407"/>
    <cellStyle name="40% - Accent3 5 2 2 2" xfId="9408"/>
    <cellStyle name="40% - Accent4 2 2 2 2" xfId="9409"/>
    <cellStyle name="40% - Accent4 3 2 2 2" xfId="9410"/>
    <cellStyle name="40% - Accent4 4 2 2 2" xfId="9411"/>
    <cellStyle name="40% - Accent4 5 2 2 2" xfId="9412"/>
    <cellStyle name="40% - Accent5 2 2 2 2" xfId="9413"/>
    <cellStyle name="40% - Accent5 3 2 2 2" xfId="9414"/>
    <cellStyle name="40% - Accent5 4 2 2 2" xfId="9415"/>
    <cellStyle name="40% - Accent6 2 2 2 2" xfId="9416"/>
    <cellStyle name="40% - Accent6 3 2 2 2" xfId="9417"/>
    <cellStyle name="40% - Accent6 4 2 2 2" xfId="9418"/>
    <cellStyle name="40% - Accent6 5 2 2 2" xfId="9419"/>
    <cellStyle name="Comma 143 2 2 2" xfId="9420"/>
    <cellStyle name="Comma 144 2 2 2" xfId="9421"/>
    <cellStyle name="Comma 145 2 2 2" xfId="9422"/>
    <cellStyle name="Comma 146 2 2 2" xfId="9423"/>
    <cellStyle name="Comma 147 2 2 2" xfId="9424"/>
    <cellStyle name="Comma 148 2 2 2" xfId="9425"/>
    <cellStyle name="Comma 149 2 2 2" xfId="9426"/>
    <cellStyle name="Comma 150 2 2 2" xfId="9427"/>
    <cellStyle name="Comma 151 2 2 2" xfId="9428"/>
    <cellStyle name="Comma 152 2 2 2" xfId="9429"/>
    <cellStyle name="Comma 153 2 2 2" xfId="9430"/>
    <cellStyle name="Comma 182 2 2 2" xfId="9431"/>
    <cellStyle name="Comma 2 23 2 2 2" xfId="9432"/>
    <cellStyle name="Comma 2 2 10 2 2 2" xfId="9433"/>
    <cellStyle name="Comma 2 2 11 2 2 2" xfId="9434"/>
    <cellStyle name="Comma 2 2 12 2 2 2" xfId="9435"/>
    <cellStyle name="Comma 2 2 13 2 2 2" xfId="9436"/>
    <cellStyle name="Comma 2 2 14 2 2 2" xfId="9437"/>
    <cellStyle name="Comma 2 2 15 2 2 2" xfId="9438"/>
    <cellStyle name="Comma 2 2 16 2 2 2" xfId="9439"/>
    <cellStyle name="Comma 2 2 17 2 2 2" xfId="9440"/>
    <cellStyle name="Comma 2 2 2 2 6 2 2" xfId="9441"/>
    <cellStyle name="Comma 2 2 2 2 2 2 2 2" xfId="9442"/>
    <cellStyle name="Comma 2 2 2 2 3 2 2 2" xfId="9443"/>
    <cellStyle name="Comma 2 2 2 2 4 2 2 2" xfId="9444"/>
    <cellStyle name="Comma 2 2 2 2 5 2 2 2" xfId="9445"/>
    <cellStyle name="Comma 2 2 2 3 2 2 2" xfId="9446"/>
    <cellStyle name="Comma 2 2 2 4 2 2 2" xfId="9447"/>
    <cellStyle name="Comma 2 2 2 5 2 2 2" xfId="9448"/>
    <cellStyle name="Comma 2 2 2 6 2 2 2" xfId="9449"/>
    <cellStyle name="Comma 2 2 3 6 2 2" xfId="9450"/>
    <cellStyle name="Comma 2 2 3 2 2 2 2 2" xfId="9451"/>
    <cellStyle name="Comma 2 2 3 2 3 2 2 2" xfId="9452"/>
    <cellStyle name="Comma 2 2 3 2 4 2 2 2" xfId="9453"/>
    <cellStyle name="Comma 2 2 3 2 5 2 2 2" xfId="9454"/>
    <cellStyle name="Comma 2 2 3 3 2 2 2" xfId="9455"/>
    <cellStyle name="Comma 2 2 4 2 2 2 2" xfId="9456"/>
    <cellStyle name="Comma 2 2 5 2 2 2" xfId="9457"/>
    <cellStyle name="Comma 2 2 6 2 2 2" xfId="9458"/>
    <cellStyle name="Comma 2 2 7 2 2 2" xfId="9459"/>
    <cellStyle name="Comma 2 2 8 2 2 2" xfId="9460"/>
    <cellStyle name="Comma 2 2 9 2 2 2" xfId="9461"/>
    <cellStyle name="Comma 3 10 2 2 2" xfId="9462"/>
    <cellStyle name="Comma 3 11 2 2 2" xfId="9463"/>
    <cellStyle name="Comma 3 12 2 2 2" xfId="9464"/>
    <cellStyle name="Comma 3 13 2 2 2" xfId="9465"/>
    <cellStyle name="Comma 3 14 2 2 2" xfId="9466"/>
    <cellStyle name="Comma 3 15 2 2 2" xfId="9467"/>
    <cellStyle name="Comma 3 16 2 2 2" xfId="9468"/>
    <cellStyle name="Comma 3 17 2 2 2" xfId="9469"/>
    <cellStyle name="Comma 3 18 2 2 2" xfId="9470"/>
    <cellStyle name="Comma 3 19 2 2 2" xfId="9471"/>
    <cellStyle name="Comma 3 2 2 2 2 2" xfId="9472"/>
    <cellStyle name="Comma 3 2 3 2 2 2" xfId="9473"/>
    <cellStyle name="Comma 3 2 4 2 2 2" xfId="9474"/>
    <cellStyle name="Comma 3 2 5 2 2 2" xfId="9475"/>
    <cellStyle name="Comma 3 20 2 2 2" xfId="9476"/>
    <cellStyle name="Comma 3 21 2 2 2" xfId="9477"/>
    <cellStyle name="Comma 3 3 6 2 2" xfId="9478"/>
    <cellStyle name="Comma 3 3 2 2 2 2" xfId="9479"/>
    <cellStyle name="Comma 3 3 3 2 2 2" xfId="9480"/>
    <cellStyle name="Comma 3 3 4 2 2 2" xfId="9481"/>
    <cellStyle name="Comma 3 3 5 2 2 2" xfId="9482"/>
    <cellStyle name="Comma 3 4 3 2 2" xfId="9483"/>
    <cellStyle name="Comma 3 4 2 2 2 2" xfId="9484"/>
    <cellStyle name="Comma 3 5 3 2 2" xfId="9485"/>
    <cellStyle name="Comma 3 5 2 2 2 2" xfId="9486"/>
    <cellStyle name="Comma 3 6 3 2 2" xfId="9487"/>
    <cellStyle name="Comma 3 6 2 2 2 2" xfId="9488"/>
    <cellStyle name="Comma 3 7 2 2 2" xfId="9489"/>
    <cellStyle name="Comma 3 8 2 2 2" xfId="9490"/>
    <cellStyle name="Comma 3 9 2 2 2" xfId="9491"/>
    <cellStyle name="Currency 120 2 2 2" xfId="9492"/>
    <cellStyle name="Currency 121 2 2 2" xfId="9493"/>
    <cellStyle name="Currency 122 2 2 2" xfId="9494"/>
    <cellStyle name="Currency 123 2 2 2" xfId="9495"/>
    <cellStyle name="Currency 124 2 2 2" xfId="9496"/>
    <cellStyle name="Currency 125 2 2 2" xfId="9497"/>
    <cellStyle name="Currency 126 2 2 2" xfId="9498"/>
    <cellStyle name="Currency 127 2 2 2" xfId="9499"/>
    <cellStyle name="Currency 128 2 2 2" xfId="9500"/>
    <cellStyle name="Currency 129 2 2 2" xfId="9501"/>
    <cellStyle name="Currency 130 2 2 2" xfId="9502"/>
    <cellStyle name="Currency 159 2 2 2" xfId="9503"/>
    <cellStyle name="Currency 2 27 2 2 2" xfId="9504"/>
    <cellStyle name="Currency 2 2 20 2 2 2" xfId="9505"/>
    <cellStyle name="Currency 2 2 10 2 2 2" xfId="9506"/>
    <cellStyle name="Currency 2 2 11 2 2 2" xfId="9507"/>
    <cellStyle name="Currency 2 2 12 2 2 2" xfId="9508"/>
    <cellStyle name="Currency 2 2 13 2 2 2" xfId="9509"/>
    <cellStyle name="Currency 2 2 14 2 2 2" xfId="9510"/>
    <cellStyle name="Currency 2 2 15 2 2 2" xfId="9511"/>
    <cellStyle name="Currency 2 2 16 2 2 2" xfId="9512"/>
    <cellStyle name="Currency 2 2 17 2 2 2" xfId="9513"/>
    <cellStyle name="Currency 2 2 18 2 2 2" xfId="9514"/>
    <cellStyle name="Currency 2 2 2 2 2 2 2" xfId="9515"/>
    <cellStyle name="Currency 2 2 2 3 2 2 2" xfId="9516"/>
    <cellStyle name="Currency 2 2 2 4 2 2 2" xfId="9517"/>
    <cellStyle name="Currency 2 2 2 5 2 2 2" xfId="9518"/>
    <cellStyle name="Currency 2 2 3 6 2 2" xfId="9519"/>
    <cellStyle name="Currency 2 2 3 2 2 2 2" xfId="9520"/>
    <cellStyle name="Currency 2 2 3 3 2 2 2" xfId="9521"/>
    <cellStyle name="Currency 2 2 3 4 2 2 2" xfId="9522"/>
    <cellStyle name="Currency 2 2 3 5 2 2 2" xfId="9523"/>
    <cellStyle name="Currency 2 2 4 2 2 2" xfId="9524"/>
    <cellStyle name="Currency 2 2 5 2 2 2" xfId="9525"/>
    <cellStyle name="Currency 2 2 6 2 2 2" xfId="9526"/>
    <cellStyle name="Currency 2 2 7 2 2 2" xfId="9527"/>
    <cellStyle name="Currency 2 2 8 2 2 2" xfId="9528"/>
    <cellStyle name="Currency 2 2 9 2 2 2" xfId="9529"/>
    <cellStyle name="Currency 3 10 2 2 2" xfId="9530"/>
    <cellStyle name="Currency 3 11 2 2 2" xfId="9531"/>
    <cellStyle name="Currency 3 12 2 2 2" xfId="9532"/>
    <cellStyle name="Currency 3 13 2 2 2" xfId="9533"/>
    <cellStyle name="Currency 3 14 2 2 2" xfId="9534"/>
    <cellStyle name="Currency 3 15 2 2 2" xfId="9535"/>
    <cellStyle name="Currency 3 16 2 2 2" xfId="9536"/>
    <cellStyle name="Currency 3 17 2 2 2" xfId="9537"/>
    <cellStyle name="Currency 3 18 2 2 2" xfId="9538"/>
    <cellStyle name="Currency 3 19 2 2 2" xfId="9539"/>
    <cellStyle name="Currency 3 2 2 2 2 2" xfId="9540"/>
    <cellStyle name="Currency 3 2 3 2 2 2" xfId="9541"/>
    <cellStyle name="Currency 3 2 4 2 2 2" xfId="9542"/>
    <cellStyle name="Currency 3 2 5 2 2 2" xfId="9543"/>
    <cellStyle name="Currency 3 20 2 2 2" xfId="9544"/>
    <cellStyle name="Currency 3 21 2 2 2" xfId="9545"/>
    <cellStyle name="Currency 3 3 8 2 2" xfId="9546"/>
    <cellStyle name="Currency 3 3 2 2 2 2" xfId="9547"/>
    <cellStyle name="Currency 3 3 3 2 2 2" xfId="9548"/>
    <cellStyle name="Currency 3 3 4 2 2 2" xfId="9549"/>
    <cellStyle name="Currency 3 3 5 2 2 2" xfId="9550"/>
    <cellStyle name="Currency 3 3 6 2 2 2" xfId="9551"/>
    <cellStyle name="Currency 3 4 3 2 2" xfId="9552"/>
    <cellStyle name="Currency 3 4 2 2 2 2" xfId="9553"/>
    <cellStyle name="Currency 3 5 3 2 2" xfId="9554"/>
    <cellStyle name="Currency 3 5 2 2 2 2" xfId="9555"/>
    <cellStyle name="Currency 3 6 3 2 2" xfId="9556"/>
    <cellStyle name="Currency 3 6 2 2 2 2" xfId="9557"/>
    <cellStyle name="Currency 3 7 2 2 2" xfId="9558"/>
    <cellStyle name="Currency 3 8 2 2 2" xfId="9559"/>
    <cellStyle name="Currency 3 9 2 2 2" xfId="9560"/>
    <cellStyle name="Normal 10 3 6 2 2" xfId="9561"/>
    <cellStyle name="Normal 10 3 2 5 2 2" xfId="9562"/>
    <cellStyle name="Normal 10 3 2 2 3 2 2" xfId="9563"/>
    <cellStyle name="Normal 10 3 2 2 2 2 2 2" xfId="9564"/>
    <cellStyle name="Normal 10 3 2 3 3 2 2" xfId="9565"/>
    <cellStyle name="Normal 10 3 2 3 2 2 2 2" xfId="9566"/>
    <cellStyle name="Normal 10 3 2 4 2 2 2" xfId="9567"/>
    <cellStyle name="Normal 10 3 3 3 2 2" xfId="9568"/>
    <cellStyle name="Normal 10 3 3 2 2 2 2" xfId="9569"/>
    <cellStyle name="Normal 10 3 4 3 2 2" xfId="9570"/>
    <cellStyle name="Normal 10 3 4 2 2 2 2" xfId="9571"/>
    <cellStyle name="Normal 10 3 5 2 2 2" xfId="9572"/>
    <cellStyle name="Normal 10 4 5 2 2" xfId="9573"/>
    <cellStyle name="Normal 10 4 2 3 2 2" xfId="9574"/>
    <cellStyle name="Normal 10 4 2 2 2 2 2" xfId="9575"/>
    <cellStyle name="Normal 10 4 3 3 2 2" xfId="9576"/>
    <cellStyle name="Normal 10 4 3 2 2 2 2" xfId="9577"/>
    <cellStyle name="Normal 10 4 4 2 2 2" xfId="9578"/>
    <cellStyle name="Normal 10 5 5 2 2" xfId="9579"/>
    <cellStyle name="Normal 10 5 2 3 2 2" xfId="9580"/>
    <cellStyle name="Normal 10 5 2 2 2 2 2" xfId="9581"/>
    <cellStyle name="Normal 10 5 3 3 2 2" xfId="9582"/>
    <cellStyle name="Normal 10 5 3 2 2 2 2" xfId="9583"/>
    <cellStyle name="Normal 10 5 4 2 2 2" xfId="9584"/>
    <cellStyle name="Normal 10 6 3 2 2" xfId="9585"/>
    <cellStyle name="Normal 10 6 2 2 2 2" xfId="9586"/>
    <cellStyle name="Normal 10 7 3 2 2" xfId="9587"/>
    <cellStyle name="Normal 10 7 2 2 2 2" xfId="9588"/>
    <cellStyle name="Normal 10 8 2 2 2 2" xfId="9589"/>
    <cellStyle name="Normal 10 9 2 2 2" xfId="9590"/>
    <cellStyle name="Normal 11 4 2 2 2" xfId="9591"/>
    <cellStyle name="Normal 11 3 2 2 2" xfId="9592"/>
    <cellStyle name="Normal 12 8 2 2" xfId="9593"/>
    <cellStyle name="Normal 12 2 2 5 2 2" xfId="9594"/>
    <cellStyle name="Normal 12 2 2 2 3 2 2" xfId="9595"/>
    <cellStyle name="Normal 12 2 2 2 2 2 2 2" xfId="9596"/>
    <cellStyle name="Normal 12 2 2 3 3 2 2" xfId="9597"/>
    <cellStyle name="Normal 12 2 2 3 2 2 2 2" xfId="9598"/>
    <cellStyle name="Normal 12 2 2 4 2 2 2" xfId="9599"/>
    <cellStyle name="Normal 12 2 3 3 2 2" xfId="9600"/>
    <cellStyle name="Normal 12 2 3 2 2 2 2" xfId="9601"/>
    <cellStyle name="Normal 12 2 4 3 2 2" xfId="9602"/>
    <cellStyle name="Normal 12 2 4 2 2 2 2" xfId="9603"/>
    <cellStyle name="Normal 12 2 5 2 2 2 2" xfId="9604"/>
    <cellStyle name="Normal 12 2 6 2 2 2" xfId="9605"/>
    <cellStyle name="Normal 12 3 5 2 2" xfId="9606"/>
    <cellStyle name="Normal 12 3 2 3 2 2" xfId="9607"/>
    <cellStyle name="Normal 12 3 2 2 2 2 2" xfId="9608"/>
    <cellStyle name="Normal 12 3 3 3 2 2" xfId="9609"/>
    <cellStyle name="Normal 12 3 3 2 2 2 2" xfId="9610"/>
    <cellStyle name="Normal 12 3 4 2 2 2" xfId="9611"/>
    <cellStyle name="Normal 12 4 5 2 2" xfId="9612"/>
    <cellStyle name="Normal 12 4 2 3 2 2" xfId="9613"/>
    <cellStyle name="Normal 12 4 2 2 2 2 2" xfId="9614"/>
    <cellStyle name="Normal 12 4 3 3 2 2" xfId="9615"/>
    <cellStyle name="Normal 12 4 3 2 2 2 2" xfId="9616"/>
    <cellStyle name="Normal 12 4 4 2 2 2" xfId="9617"/>
    <cellStyle name="Normal 12 5 3 2 2" xfId="9618"/>
    <cellStyle name="Normal 12 5 2 2 2 2" xfId="9619"/>
    <cellStyle name="Normal 12 6 3 2 2" xfId="9620"/>
    <cellStyle name="Normal 12 6 2 2 2 2" xfId="9621"/>
    <cellStyle name="Normal 12 7 2 2 2" xfId="9622"/>
    <cellStyle name="Normal 15 6 2 2" xfId="9623"/>
    <cellStyle name="Normal 15 3 2 2 2" xfId="9624"/>
    <cellStyle name="Normal 16 2 5 2 2" xfId="9625"/>
    <cellStyle name="Normal 16 2 2 3 2 2" xfId="9626"/>
    <cellStyle name="Normal 16 2 2 2 2 2 2" xfId="9627"/>
    <cellStyle name="Normal 16 2 3 3 2 2" xfId="9628"/>
    <cellStyle name="Normal 16 2 3 2 2 2 2" xfId="9629"/>
    <cellStyle name="Normal 16 2 4 2 2 2" xfId="9630"/>
    <cellStyle name="Normal 16 3 3 2 2" xfId="9631"/>
    <cellStyle name="Normal 16 3 2 2 2 2" xfId="9632"/>
    <cellStyle name="Normal 16 4 3 2 2" xfId="9633"/>
    <cellStyle name="Normal 16 4 2 2 2 2" xfId="9634"/>
    <cellStyle name="Normal 16 5 2 2 2 2" xfId="9635"/>
    <cellStyle name="Normal 16 6 2 2 2" xfId="9636"/>
    <cellStyle name="Normal 17 2 5 2 2" xfId="9637"/>
    <cellStyle name="Normal 17 2 2 3 2 2" xfId="9638"/>
    <cellStyle name="Normal 17 2 2 2 2 2 2" xfId="9639"/>
    <cellStyle name="Normal 17 2 3 3 2 2" xfId="9640"/>
    <cellStyle name="Normal 17 2 3 2 2 2 2" xfId="9641"/>
    <cellStyle name="Normal 17 2 4 2 2 2" xfId="9642"/>
    <cellStyle name="Normal 17 3 3 2 2" xfId="9643"/>
    <cellStyle name="Normal 17 3 2 2 2 2" xfId="9644"/>
    <cellStyle name="Normal 17 4 3 2 2" xfId="9645"/>
    <cellStyle name="Normal 17 4 2 2 2 2" xfId="9646"/>
    <cellStyle name="Normal 17 5 2 2 2 2" xfId="9647"/>
    <cellStyle name="Normal 17 6 2 2 2" xfId="9648"/>
    <cellStyle name="Normal 2 10 3 2 2 2" xfId="9649"/>
    <cellStyle name="Normal 2 11 3 2 2 2" xfId="9650"/>
    <cellStyle name="Normal 2 12 3 2 2 2" xfId="9651"/>
    <cellStyle name="Normal 2 13 3 2 2 2" xfId="9652"/>
    <cellStyle name="Normal 2 14 3 2 2 2" xfId="9653"/>
    <cellStyle name="Normal 2 15 3 2 2 2" xfId="9654"/>
    <cellStyle name="Normal 2 16 3 2 2 2" xfId="9655"/>
    <cellStyle name="Normal 2 17 3 2 2 2" xfId="9656"/>
    <cellStyle name="Normal 2 18 3 2 2 2" xfId="9657"/>
    <cellStyle name="Normal 2 19 3 2 2 2" xfId="9658"/>
    <cellStyle name="Normal 2 2 10 2 2 2" xfId="9659"/>
    <cellStyle name="Normal 2 2 11 2 2 2" xfId="9660"/>
    <cellStyle name="Normal 2 2 12 2 2 2" xfId="9661"/>
    <cellStyle name="Normal 2 2 13 2 2 2" xfId="9662"/>
    <cellStyle name="Normal 2 2 14 2 2 2" xfId="9663"/>
    <cellStyle name="Normal 2 2 15 2 2 2" xfId="9664"/>
    <cellStyle name="Normal 2 2 16 2 2 2" xfId="9665"/>
    <cellStyle name="Normal 2 2 17 2 2 2" xfId="9666"/>
    <cellStyle name="Normal 2 2 18 2 2 2" xfId="9667"/>
    <cellStyle name="Normal 2 2 19 2 2 2" xfId="9668"/>
    <cellStyle name="Normal 2 2 2 2 6 2 2" xfId="9669"/>
    <cellStyle name="Normal 2 2 2 2 2 3 2 2" xfId="9670"/>
    <cellStyle name="Normal 2 2 2 2 2 2 2 2 2" xfId="9671"/>
    <cellStyle name="Normal 2 2 2 2 3 2 2 2" xfId="9672"/>
    <cellStyle name="Normal 2 2 2 2 4 2 2 2" xfId="9673"/>
    <cellStyle name="Normal 2 2 2 2 5 2 2 2" xfId="9674"/>
    <cellStyle name="Normal 2 2 20 2 2 2" xfId="9675"/>
    <cellStyle name="Normal 2 2 21 2 2 2" xfId="9676"/>
    <cellStyle name="Normal 2 2 22 2 2 2" xfId="9677"/>
    <cellStyle name="Normal 2 2 3 9 2 2" xfId="9678"/>
    <cellStyle name="Normal 2 2 3 2 2 2 2" xfId="9679"/>
    <cellStyle name="Normal 2 2 3 3 2 2 2" xfId="9680"/>
    <cellStyle name="Normal 2 2 3 4 2 2 2" xfId="9681"/>
    <cellStyle name="Normal 2 2 3 5 2 2 2" xfId="9682"/>
    <cellStyle name="Normal 2 2 3 6 2 2 2" xfId="9683"/>
    <cellStyle name="Normal 2 2 4 5 2 2" xfId="9684"/>
    <cellStyle name="Normal 2 2 4 2 2 2 2" xfId="9685"/>
    <cellStyle name="Normal 2 2 5 4 2 2" xfId="9686"/>
    <cellStyle name="Normal 2 2 5 2 2 2 2" xfId="9687"/>
    <cellStyle name="Normal 2 2 6 2 2 2" xfId="9688"/>
    <cellStyle name="Normal 2 2 7 2 2 2" xfId="9689"/>
    <cellStyle name="Normal 2 2 8 2 2 2" xfId="9690"/>
    <cellStyle name="Normal 2 2 9 2 2 2" xfId="9691"/>
    <cellStyle name="Normal 2 20 2 2 2" xfId="9692"/>
    <cellStyle name="Normal 2 3 2 3 2 2" xfId="9693"/>
    <cellStyle name="Normal 2 3 3 2 2 2" xfId="9694"/>
    <cellStyle name="Normal 2 3 4 2 2 2" xfId="9695"/>
    <cellStyle name="Normal 2 3 5 2 2 2" xfId="9696"/>
    <cellStyle name="Normal 2 3 6 2 2 2" xfId="9697"/>
    <cellStyle name="Normal 2 4 5 2 2 2" xfId="9698"/>
    <cellStyle name="Normal 2 4 2 2 2 2" xfId="9699"/>
    <cellStyle name="Normal 2 5 3 2 2 2" xfId="9700"/>
    <cellStyle name="Normal 2 6 3 2 2 2" xfId="9701"/>
    <cellStyle name="Normal 2 7 3 2 2 2" xfId="9702"/>
    <cellStyle name="Normal 2 8 3 2 2 2" xfId="9703"/>
    <cellStyle name="Normal 2 9 3 2 2 2" xfId="9704"/>
    <cellStyle name="Normal 21 9 2 2" xfId="9705"/>
    <cellStyle name="Normal 21 2 7 2 2" xfId="9706"/>
    <cellStyle name="Normal 21 2 2 2 2 2" xfId="9707"/>
    <cellStyle name="Normal 21 2 3 2 2 2" xfId="9708"/>
    <cellStyle name="Normal 21 2 4 2 2 2" xfId="9709"/>
    <cellStyle name="Normal 21 2 5 2 2 2" xfId="9710"/>
    <cellStyle name="Normal 21 2 6 2 2 2" xfId="9711"/>
    <cellStyle name="Normal 21 3 3 2 2" xfId="9712"/>
    <cellStyle name="Normal 21 3 2 2 2 2" xfId="9713"/>
    <cellStyle name="Normal 21 4 2 2 2" xfId="9714"/>
    <cellStyle name="Normal 21 5 2 2 2" xfId="9715"/>
    <cellStyle name="Normal 21 6 2 2 2" xfId="9716"/>
    <cellStyle name="Normal 21 8 2 2 2" xfId="9717"/>
    <cellStyle name="Normal 22 8 2 2" xfId="9718"/>
    <cellStyle name="Normal 22 2 7 2 2" xfId="9719"/>
    <cellStyle name="Normal 22 2 2 2 2 2" xfId="9720"/>
    <cellStyle name="Normal 22 2 3 2 2 2" xfId="9721"/>
    <cellStyle name="Normal 22 2 4 2 2 2" xfId="9722"/>
    <cellStyle name="Normal 22 2 5 2 2 2" xfId="9723"/>
    <cellStyle name="Normal 22 3 2 2 2" xfId="9724"/>
    <cellStyle name="Normal 22 4 2 2 2" xfId="9725"/>
    <cellStyle name="Normal 22 5 2 2 2" xfId="9726"/>
    <cellStyle name="Normal 22 6 2 2 2" xfId="9727"/>
    <cellStyle name="Normal 23 8 2 2" xfId="9728"/>
    <cellStyle name="Normal 23 2 6 2 2" xfId="9729"/>
    <cellStyle name="Normal 23 2 2 2 2 2" xfId="9730"/>
    <cellStyle name="Normal 23 2 3 2 2 2" xfId="9731"/>
    <cellStyle name="Normal 23 2 4 2 2 2" xfId="9732"/>
    <cellStyle name="Normal 23 2 5 2 2 2" xfId="9733"/>
    <cellStyle name="Normal 23 3 2 2 2" xfId="9734"/>
    <cellStyle name="Normal 23 4 2 2 2" xfId="9735"/>
    <cellStyle name="Normal 23 5 2 2 2" xfId="9736"/>
    <cellStyle name="Normal 23 6 2 2 2" xfId="9737"/>
    <cellStyle name="Normal 24 8 2 2" xfId="9738"/>
    <cellStyle name="Normal 24 2 6 2 2" xfId="9739"/>
    <cellStyle name="Normal 24 2 2 2 2 2" xfId="9740"/>
    <cellStyle name="Normal 24 2 3 2 2 2" xfId="9741"/>
    <cellStyle name="Normal 24 2 4 2 2 2" xfId="9742"/>
    <cellStyle name="Normal 24 2 5 2 2 2" xfId="9743"/>
    <cellStyle name="Normal 24 3 2 2 2" xfId="9744"/>
    <cellStyle name="Normal 24 4 2 2 2" xfId="9745"/>
    <cellStyle name="Normal 24 5 2 2 2" xfId="9746"/>
    <cellStyle name="Normal 24 6 2 2 2" xfId="9747"/>
    <cellStyle name="Normal 26 8 2 2" xfId="9748"/>
    <cellStyle name="Normal 26 2 6 2 2" xfId="9749"/>
    <cellStyle name="Normal 26 2 2 2 2 2" xfId="9750"/>
    <cellStyle name="Normal 26 2 3 2 2 2" xfId="9751"/>
    <cellStyle name="Normal 26 2 4 2 2 2" xfId="9752"/>
    <cellStyle name="Normal 26 2 5 2 2 2" xfId="9753"/>
    <cellStyle name="Normal 26 3 2 2 2" xfId="9754"/>
    <cellStyle name="Normal 26 4 2 2 2" xfId="9755"/>
    <cellStyle name="Normal 26 5 2 2 2" xfId="9756"/>
    <cellStyle name="Normal 26 6 2 2 2" xfId="9757"/>
    <cellStyle name="Normal 3 10 2 2 2" xfId="9758"/>
    <cellStyle name="Normal 3 11 2 2 2" xfId="9759"/>
    <cellStyle name="Normal 3 12 2 2 2" xfId="9760"/>
    <cellStyle name="Normal 3 13 2 2 2" xfId="9761"/>
    <cellStyle name="Normal 3 14 2 2 2" xfId="9762"/>
    <cellStyle name="Normal 3 15 2 2 2" xfId="9763"/>
    <cellStyle name="Normal 3 16 2 2 2" xfId="9764"/>
    <cellStyle name="Normal 3 17 2 2 2" xfId="9765"/>
    <cellStyle name="Normal 3 18 2 2 2" xfId="9766"/>
    <cellStyle name="Normal 3 19 2 2 2" xfId="9767"/>
    <cellStyle name="Normal 3 2 2 2 2 2" xfId="9768"/>
    <cellStyle name="Normal 3 2 3 2 2 2" xfId="9769"/>
    <cellStyle name="Normal 3 2 4 2 2 2" xfId="9770"/>
    <cellStyle name="Normal 3 2 5 2 2 2" xfId="9771"/>
    <cellStyle name="Normal 3 2 6 2 2 2" xfId="9772"/>
    <cellStyle name="Normal 3 20 2 2 2" xfId="9773"/>
    <cellStyle name="Normal 3 21 2 2 2" xfId="9774"/>
    <cellStyle name="Normal 3 22 2 2 2" xfId="9775"/>
    <cellStyle name="Normal 3 23 2 2 2" xfId="9776"/>
    <cellStyle name="Normal 3 24 2 2 2" xfId="9777"/>
    <cellStyle name="Normal 3 3 5 2 2" xfId="9778"/>
    <cellStyle name="Normal 3 3 2 2 2 2" xfId="9779"/>
    <cellStyle name="Normal 3 3 3 2 2 2" xfId="9780"/>
    <cellStyle name="Normal 3 4 3 2 2" xfId="9781"/>
    <cellStyle name="Normal 3 4 2 2 2 2" xfId="9782"/>
    <cellStyle name="Normal 3 5 3 2 2" xfId="9783"/>
    <cellStyle name="Normal 3 5 2 2 2 2" xfId="9784"/>
    <cellStyle name="Normal 3 6 2 2 2" xfId="9785"/>
    <cellStyle name="Normal 3 7 2 2 2" xfId="9786"/>
    <cellStyle name="Normal 3 8 2 2 2" xfId="9787"/>
    <cellStyle name="Normal 3 9 2 2 2" xfId="9788"/>
    <cellStyle name="Normal 4 2 10 2 2 2" xfId="9789"/>
    <cellStyle name="Normal 4 2 11 2 2 2" xfId="9790"/>
    <cellStyle name="Normal 4 2 12 2 2 2" xfId="9791"/>
    <cellStyle name="Normal 4 2 13 2 2 2" xfId="9792"/>
    <cellStyle name="Normal 4 2 14 2 2 2" xfId="9793"/>
    <cellStyle name="Normal 4 2 15 2 2 2" xfId="9794"/>
    <cellStyle name="Normal 4 2 16 2 2 2" xfId="9795"/>
    <cellStyle name="Normal 4 2 17 2 2 2" xfId="9796"/>
    <cellStyle name="Normal 4 2 18 2 2 2" xfId="9797"/>
    <cellStyle name="Normal 4 2 19 2 2 2" xfId="9798"/>
    <cellStyle name="Normal 4 2 2 6 2 2" xfId="9799"/>
    <cellStyle name="Normal 4 2 2 2 2 2 2" xfId="9800"/>
    <cellStyle name="Normal 4 2 2 3 2 2 2" xfId="9801"/>
    <cellStyle name="Normal 4 2 2 4 2 2 2" xfId="9802"/>
    <cellStyle name="Normal 4 2 2 5 2 2 2" xfId="9803"/>
    <cellStyle name="Normal 4 2 20 2 2 2" xfId="9804"/>
    <cellStyle name="Normal 4 2 21 2 2 2" xfId="9805"/>
    <cellStyle name="Normal 4 2 22 2 2 2" xfId="9806"/>
    <cellStyle name="Normal 4 2 23 2 2 2" xfId="9807"/>
    <cellStyle name="Normal 4 2 24 2 2 2" xfId="9808"/>
    <cellStyle name="Normal 4 2 3 3 2 2" xfId="9809"/>
    <cellStyle name="Normal 4 2 3 2 2 2 2" xfId="9810"/>
    <cellStyle name="Normal 4 2 4 3 2 2" xfId="9811"/>
    <cellStyle name="Normal 4 2 4 2 2 2 2" xfId="9812"/>
    <cellStyle name="Normal 4 2 5 3 2 2" xfId="9813"/>
    <cellStyle name="Normal 4 2 5 2 2 2 2" xfId="9814"/>
    <cellStyle name="Normal 4 2 6 2 2 2" xfId="9815"/>
    <cellStyle name="Normal 4 2 7 2 2 2" xfId="9816"/>
    <cellStyle name="Normal 4 2 8 2 2 2" xfId="9817"/>
    <cellStyle name="Normal 4 2 9 2 2 2" xfId="9818"/>
    <cellStyle name="Normal 4 3 7 2 2" xfId="9819"/>
    <cellStyle name="Normal 4 3 2 6 2 2" xfId="9820"/>
    <cellStyle name="Normal 4 3 2 2 5 2 2" xfId="9821"/>
    <cellStyle name="Normal 4 3 2 2 2 3 2 2" xfId="9822"/>
    <cellStyle name="Normal 4 3 2 2 2 2 2 2 2" xfId="9823"/>
    <cellStyle name="Normal 4 3 2 2 3 3 2 2" xfId="9824"/>
    <cellStyle name="Normal 4 3 2 2 3 2 2 2 2" xfId="9825"/>
    <cellStyle name="Normal 4 3 2 2 4 2 2 2" xfId="9826"/>
    <cellStyle name="Normal 4 3 2 3 3 2 2" xfId="9827"/>
    <cellStyle name="Normal 4 3 2 3 2 2 2 2" xfId="9828"/>
    <cellStyle name="Normal 4 3 2 4 3 2 2" xfId="9829"/>
    <cellStyle name="Normal 4 3 2 4 2 2 2 2" xfId="9830"/>
    <cellStyle name="Normal 4 3 2 5 2 2 2" xfId="9831"/>
    <cellStyle name="Normal 4 3 3 5 2 2" xfId="9832"/>
    <cellStyle name="Normal 4 3 3 2 3 2 2" xfId="9833"/>
    <cellStyle name="Normal 4 3 3 2 2 2 2 2" xfId="9834"/>
    <cellStyle name="Normal 4 3 3 3 3 2 2" xfId="9835"/>
    <cellStyle name="Normal 4 3 3 3 2 2 2 2" xfId="9836"/>
    <cellStyle name="Normal 4 3 3 4 2 2 2" xfId="9837"/>
    <cellStyle name="Normal 4 3 4 3 2 2" xfId="9838"/>
    <cellStyle name="Normal 4 3 4 2 2 2 2" xfId="9839"/>
    <cellStyle name="Normal 4 3 5 3 2 2" xfId="9840"/>
    <cellStyle name="Normal 4 3 5 2 2 2 2" xfId="9841"/>
    <cellStyle name="Normal 4 3 6 2 2 2" xfId="9842"/>
    <cellStyle name="Normal 4 4 4 2 2" xfId="9843"/>
    <cellStyle name="Normal 4 4 2 2 2 2" xfId="9844"/>
    <cellStyle name="Normal 4 5 2 2 2" xfId="9845"/>
    <cellStyle name="Normal 4 6 2 2 2" xfId="9846"/>
    <cellStyle name="Normal 4 7 2 2 2" xfId="9847"/>
    <cellStyle name="Normal 4 8 2 2 2" xfId="9848"/>
    <cellStyle name="Normal 41 2 2 2 2" xfId="9849"/>
    <cellStyle name="Normal 46 2 2 2" xfId="9850"/>
    <cellStyle name="Normal 5 28 2 2 2" xfId="9851"/>
    <cellStyle name="Normal 5 2 7 2 2" xfId="9852"/>
    <cellStyle name="Normal 5 2 2 2 2 2 2 2" xfId="9853"/>
    <cellStyle name="Normal 5 2 2 3 2 2 2" xfId="9854"/>
    <cellStyle name="Normal 5 2 3 2 2 2 2 2" xfId="9855"/>
    <cellStyle name="Normal 5 2 3 3 2 2 2" xfId="9856"/>
    <cellStyle name="Normal 5 2 4 2 2 2 2" xfId="9857"/>
    <cellStyle name="Normal 5 2 6 2 2 2" xfId="9858"/>
    <cellStyle name="Normal 5 24 2 2 2" xfId="9859"/>
    <cellStyle name="Normal 5 3 3 2 2" xfId="9860"/>
    <cellStyle name="Normal 5 4 3 2 2" xfId="9861"/>
    <cellStyle name="Normal 5 5 3 2 2" xfId="9862"/>
    <cellStyle name="Normal 5 6 3 2 2" xfId="9863"/>
    <cellStyle name="Normal 5 7 3 2 2" xfId="9864"/>
    <cellStyle name="Normal 7 25 2 2 2" xfId="9865"/>
    <cellStyle name="Normal 7 10 2 2 2" xfId="9866"/>
    <cellStyle name="Normal 7 11 2 2 2" xfId="9867"/>
    <cellStyle name="Normal 7 12 2 2 2" xfId="9868"/>
    <cellStyle name="Normal 7 13 2 2 2" xfId="9869"/>
    <cellStyle name="Normal 7 14 2 2 2" xfId="9870"/>
    <cellStyle name="Normal 7 15 2 2 2" xfId="9871"/>
    <cellStyle name="Normal 7 16 2 2 2" xfId="9872"/>
    <cellStyle name="Normal 7 17 2 2 2" xfId="9873"/>
    <cellStyle name="Normal 7 18 2 2 2" xfId="9874"/>
    <cellStyle name="Normal 7 19 2 2 2" xfId="9875"/>
    <cellStyle name="Normal 7 2 6 2 2" xfId="9876"/>
    <cellStyle name="Normal 7 2 2 2 2 2" xfId="9877"/>
    <cellStyle name="Normal 7 2 3 2 2 2" xfId="9878"/>
    <cellStyle name="Normal 7 2 4 2 2 2" xfId="9879"/>
    <cellStyle name="Normal 7 2 5 2 2 2" xfId="9880"/>
    <cellStyle name="Normal 7 20 2 2 2" xfId="9881"/>
    <cellStyle name="Normal 7 22 2 2 2" xfId="9882"/>
    <cellStyle name="Normal 7 3 6 2 2" xfId="9883"/>
    <cellStyle name="Normal 7 3 2 2 2 2" xfId="9884"/>
    <cellStyle name="Normal 7 3 3 2 2 2" xfId="9885"/>
    <cellStyle name="Normal 7 3 4 2 2 2" xfId="9886"/>
    <cellStyle name="Normal 7 3 5 2 2 2" xfId="9887"/>
    <cellStyle name="Normal 7 4 2 2 2" xfId="9888"/>
    <cellStyle name="Normal 7 5 2 2 2" xfId="9889"/>
    <cellStyle name="Normal 7 6 2 2 2" xfId="9890"/>
    <cellStyle name="Normal 7 7 2 2 2" xfId="9891"/>
    <cellStyle name="Normal 7 8 2 2 2" xfId="9892"/>
    <cellStyle name="Normal 7 9 2 2 2" xfId="9893"/>
    <cellStyle name="Normal 8 25 2 2 2" xfId="9894"/>
    <cellStyle name="Normal 8 10 2 2 2" xfId="9895"/>
    <cellStyle name="Normal 8 11 2 2 2" xfId="9896"/>
    <cellStyle name="Normal 8 12 2 2 2" xfId="9897"/>
    <cellStyle name="Normal 8 13 2 2 2" xfId="9898"/>
    <cellStyle name="Normal 8 14 2 2 2" xfId="9899"/>
    <cellStyle name="Normal 8 15 2 2 2" xfId="9900"/>
    <cellStyle name="Normal 8 16 2 2 2" xfId="9901"/>
    <cellStyle name="Normal 8 17 2 2 2" xfId="9902"/>
    <cellStyle name="Normal 8 18 2 2 2" xfId="9903"/>
    <cellStyle name="Normal 8 19 2 2 2" xfId="9904"/>
    <cellStyle name="Normal 8 2 6 2 2 2" xfId="9905"/>
    <cellStyle name="Normal 8 2 2 2 2 2 2" xfId="9906"/>
    <cellStyle name="Normal 8 2 3 2 2 2" xfId="9907"/>
    <cellStyle name="Normal 8 2 4 2 2 2" xfId="9908"/>
    <cellStyle name="Normal 8 2 5 2 2 2" xfId="9909"/>
    <cellStyle name="Normal 8 20 2 2 2" xfId="9910"/>
    <cellStyle name="Normal 8 22 2 2 2" xfId="9911"/>
    <cellStyle name="Normal 8 3 6 2 2 2" xfId="9912"/>
    <cellStyle name="Normal 8 3 2 2 2 2" xfId="9913"/>
    <cellStyle name="Normal 8 3 3 2 2 2" xfId="9914"/>
    <cellStyle name="Normal 8 3 4 2 2 2" xfId="9915"/>
    <cellStyle name="Normal 8 3 5 2 2 2" xfId="9916"/>
    <cellStyle name="Normal 8 4 2 2 2" xfId="9917"/>
    <cellStyle name="Normal 8 5 2 2 2" xfId="9918"/>
    <cellStyle name="Normal 8 6 2 2 2" xfId="9919"/>
    <cellStyle name="Normal 8 7 2 2 2" xfId="9920"/>
    <cellStyle name="Normal 8 8 2 2 2" xfId="9921"/>
    <cellStyle name="Normal 8 9 2 2 2" xfId="9922"/>
    <cellStyle name="Normal 9 25 2 2 2" xfId="9923"/>
    <cellStyle name="Normal 9 10 2 2 2" xfId="9924"/>
    <cellStyle name="Normal 9 11 2 2 2" xfId="9925"/>
    <cellStyle name="Normal 9 12 2 2 2" xfId="9926"/>
    <cellStyle name="Normal 9 13 2 2 2" xfId="9927"/>
    <cellStyle name="Normal 9 14 2 2 2" xfId="9928"/>
    <cellStyle name="Normal 9 15 2 2 2" xfId="9929"/>
    <cellStyle name="Normal 9 16 2 2 2" xfId="9930"/>
    <cellStyle name="Normal 9 17 2 2 2" xfId="9931"/>
    <cellStyle name="Normal 9 18 2 2 2" xfId="9932"/>
    <cellStyle name="Normal 9 19 2 2 2" xfId="9933"/>
    <cellStyle name="Normal 9 2 6 2 2" xfId="9934"/>
    <cellStyle name="Normal 9 2 2 2 2 2" xfId="9935"/>
    <cellStyle name="Normal 9 2 3 2 2 2" xfId="9936"/>
    <cellStyle name="Normal 9 2 4 2 2 2" xfId="9937"/>
    <cellStyle name="Normal 9 2 5 2 2 2" xfId="9938"/>
    <cellStyle name="Normal 9 20 2 2 2" xfId="9939"/>
    <cellStyle name="Normal 9 22 2 2 2" xfId="9940"/>
    <cellStyle name="Normal 9 3 6 2 2" xfId="9941"/>
    <cellStyle name="Normal 9 3 2 2 2 2" xfId="9942"/>
    <cellStyle name="Normal 9 3 3 2 2 2" xfId="9943"/>
    <cellStyle name="Normal 9 3 4 2 2 2" xfId="9944"/>
    <cellStyle name="Normal 9 3 5 2 2 2" xfId="9945"/>
    <cellStyle name="Normal 9 4 2 2 2" xfId="9946"/>
    <cellStyle name="Normal 9 5 2 2 2" xfId="9947"/>
    <cellStyle name="Normal 9 6 2 2 2" xfId="9948"/>
    <cellStyle name="Normal 9 7 2 2 2" xfId="9949"/>
    <cellStyle name="Normal 9 8 2 2 2" xfId="9950"/>
    <cellStyle name="Normal 9 9 2 2 2" xfId="9951"/>
    <cellStyle name="Note 2 2 2 2" xfId="9952"/>
    <cellStyle name="Note 3 2 2 2" xfId="9953"/>
    <cellStyle name="Note 4 2 2 2" xfId="9954"/>
    <cellStyle name="Note 7 2 2 2" xfId="9955"/>
    <cellStyle name="Percent 120 2 2 2" xfId="9956"/>
    <cellStyle name="Percent 121 2 2 2" xfId="9957"/>
    <cellStyle name="Percent 122 2 2 2" xfId="9958"/>
    <cellStyle name="Percent 123 2 2 2" xfId="9959"/>
    <cellStyle name="Percent 124 2 2 2" xfId="9960"/>
    <cellStyle name="Percent 125 2 2 2" xfId="9961"/>
    <cellStyle name="Percent 126 2 2 2" xfId="9962"/>
    <cellStyle name="Percent 127 2 2 2" xfId="9963"/>
    <cellStyle name="Percent 128 2 2 2" xfId="9964"/>
    <cellStyle name="Percent 129 2 2 2" xfId="9965"/>
    <cellStyle name="Percent 130 2 2 2" xfId="9966"/>
    <cellStyle name="Percent 159 2 2 2" xfId="9967"/>
    <cellStyle name="Percent 2 22 2 2 2" xfId="9968"/>
    <cellStyle name="Percent 25 2 3 2 2" xfId="9969"/>
    <cellStyle name="Percent 25 2 2 2 2 2" xfId="9970"/>
    <cellStyle name="Percent 25 3 3 2 2" xfId="9971"/>
    <cellStyle name="Percent 25 3 2 2 2 2" xfId="9972"/>
    <cellStyle name="Percent 25 4 2 2 2 2" xfId="9973"/>
    <cellStyle name="Percent 25 5 2 2 2" xfId="9974"/>
    <cellStyle name="Percent 26 2 3 2 2" xfId="9975"/>
    <cellStyle name="Percent 26 2 2 2 2 2" xfId="9976"/>
    <cellStyle name="Percent 26 3 3 2 2" xfId="9977"/>
    <cellStyle name="Percent 26 3 2 2 2 2" xfId="9978"/>
    <cellStyle name="Percent 26 4 2 2 2 2" xfId="9979"/>
    <cellStyle name="Percent 26 5 2 2 2" xfId="9980"/>
    <cellStyle name="Percent 27 2 3 2 2" xfId="9981"/>
    <cellStyle name="Percent 27 2 2 2 2 2" xfId="9982"/>
    <cellStyle name="Percent 27 3 3 2 2" xfId="9983"/>
    <cellStyle name="Percent 27 3 2 2 2 2" xfId="9984"/>
    <cellStyle name="Percent 27 4 2 2 2 2" xfId="9985"/>
    <cellStyle name="Percent 27 5 2 2 2" xfId="9986"/>
    <cellStyle name="Percent 28 2 3 2 2" xfId="9987"/>
    <cellStyle name="Percent 28 2 2 2 2 2" xfId="9988"/>
    <cellStyle name="Percent 28 3 3 2 2" xfId="9989"/>
    <cellStyle name="Percent 28 3 2 2 2 2" xfId="9990"/>
    <cellStyle name="Percent 28 4 2 2 2 2" xfId="9991"/>
    <cellStyle name="Percent 28 5 2 2 2" xfId="9992"/>
    <cellStyle name="Percent 29 2 3 2 2" xfId="9993"/>
    <cellStyle name="Percent 29 2 2 2 2 2" xfId="9994"/>
    <cellStyle name="Percent 29 3 3 2 2" xfId="9995"/>
    <cellStyle name="Percent 29 3 2 2 2 2" xfId="9996"/>
    <cellStyle name="Percent 29 4 2 2 2 2" xfId="9997"/>
    <cellStyle name="Percent 29 5 2 2 2" xfId="9998"/>
    <cellStyle name="Percent 3 10 2 2 2" xfId="9999"/>
    <cellStyle name="Percent 3 11 2 2 2" xfId="10000"/>
    <cellStyle name="Percent 3 12 2 2 2" xfId="10001"/>
    <cellStyle name="Percent 3 13 2 2 2" xfId="10002"/>
    <cellStyle name="Percent 3 14 2 2 2" xfId="10003"/>
    <cellStyle name="Percent 3 15 2 2 2" xfId="10004"/>
    <cellStyle name="Percent 3 16 2 2 2" xfId="10005"/>
    <cellStyle name="Percent 3 17 2 2 2" xfId="10006"/>
    <cellStyle name="Percent 3 18 2 2 2" xfId="10007"/>
    <cellStyle name="Percent 3 19 2 2 2" xfId="10008"/>
    <cellStyle name="Percent 3 2 23 2 2" xfId="10009"/>
    <cellStyle name="Percent 3 2 10 2 2 2" xfId="10010"/>
    <cellStyle name="Percent 3 2 11 2 2 2" xfId="10011"/>
    <cellStyle name="Percent 3 2 12 2 2 2" xfId="10012"/>
    <cellStyle name="Percent 3 2 13 2 2 2" xfId="10013"/>
    <cellStyle name="Percent 3 2 14 2 2 2" xfId="10014"/>
    <cellStyle name="Percent 3 2 15 2 2 2" xfId="10015"/>
    <cellStyle name="Percent 3 2 16 2 2 2" xfId="10016"/>
    <cellStyle name="Percent 3 2 17 2 2 2" xfId="10017"/>
    <cellStyle name="Percent 3 2 18 2 2 2" xfId="10018"/>
    <cellStyle name="Percent 3 2 19 2 2 2" xfId="10019"/>
    <cellStyle name="Percent 3 2 2 2 2 2 2" xfId="10020"/>
    <cellStyle name="Percent 3 2 2 3 2 2 2" xfId="10021"/>
    <cellStyle name="Percent 3 2 2 4 2 2 2" xfId="10022"/>
    <cellStyle name="Percent 3 2 2 5 2 2 2" xfId="10023"/>
    <cellStyle name="Percent 3 2 20 2 2 2" xfId="10024"/>
    <cellStyle name="Percent 3 2 21 2 2 2 2" xfId="10025"/>
    <cellStyle name="Percent 3 2 3 6 2 2" xfId="10026"/>
    <cellStyle name="Percent 3 2 3 2 2 2 2" xfId="10027"/>
    <cellStyle name="Percent 3 2 3 3 2 2 2" xfId="10028"/>
    <cellStyle name="Percent 3 2 3 4 2 2 2" xfId="10029"/>
    <cellStyle name="Percent 3 2 3 5 2 2 2" xfId="10030"/>
    <cellStyle name="Percent 3 2 4 3 2 2" xfId="10031"/>
    <cellStyle name="Percent 3 2 4 2 2 2 2" xfId="10032"/>
    <cellStyle name="Percent 3 2 5 3 2 2" xfId="10033"/>
    <cellStyle name="Percent 3 2 5 2 2 2 2" xfId="10034"/>
    <cellStyle name="Percent 3 2 6 3 2 2" xfId="10035"/>
    <cellStyle name="Percent 3 2 6 2 2 2 2" xfId="10036"/>
    <cellStyle name="Percent 3 2 7 2 2 2" xfId="10037"/>
    <cellStyle name="Percent 3 2 8 2 2 2" xfId="10038"/>
    <cellStyle name="Percent 3 2 9 2 2 2" xfId="10039"/>
    <cellStyle name="Percent 3 20 2 2 2" xfId="10040"/>
    <cellStyle name="Percent 3 21 2 2 2" xfId="10041"/>
    <cellStyle name="Percent 3 3 2 2 2 2" xfId="10042"/>
    <cellStyle name="Percent 3 3 3 2 2 2" xfId="10043"/>
    <cellStyle name="Percent 3 3 4 2 2 2" xfId="10044"/>
    <cellStyle name="Percent 3 3 5 2 2 2" xfId="10045"/>
    <cellStyle name="Percent 3 4 6 2 2" xfId="10046"/>
    <cellStyle name="Percent 3 4 2 2 2 2" xfId="10047"/>
    <cellStyle name="Percent 3 4 3 2 2 2" xfId="10048"/>
    <cellStyle name="Percent 3 4 4 2 2 2" xfId="10049"/>
    <cellStyle name="Percent 3 4 5 2 2 2" xfId="10050"/>
    <cellStyle name="Percent 3 5 3 2 2" xfId="10051"/>
    <cellStyle name="Percent 3 5 2 2 2 2" xfId="10052"/>
    <cellStyle name="Percent 3 6 3 2 2" xfId="10053"/>
    <cellStyle name="Percent 3 6 2 2 2 2" xfId="10054"/>
    <cellStyle name="Percent 3 7 3 2 2" xfId="10055"/>
    <cellStyle name="Percent 3 7 2 2 2 2" xfId="10056"/>
    <cellStyle name="Percent 3 8 2 2 2" xfId="10057"/>
    <cellStyle name="Percent 3 9 2 2 2" xfId="10058"/>
    <cellStyle name="Percent 30 2 3 2 2" xfId="10059"/>
    <cellStyle name="Percent 30 2 2 2 2 2" xfId="10060"/>
    <cellStyle name="Percent 30 3 3 2 2" xfId="10061"/>
    <cellStyle name="Percent 30 3 2 2 2 2" xfId="10062"/>
    <cellStyle name="Percent 30 4 2 2 2 2" xfId="10063"/>
    <cellStyle name="Percent 30 5 2 2 2" xfId="10064"/>
    <cellStyle name="Percent 31 2 3 2 2" xfId="10065"/>
    <cellStyle name="Percent 31 2 2 2 2 2" xfId="10066"/>
    <cellStyle name="Percent 31 3 3 2 2" xfId="10067"/>
    <cellStyle name="Percent 31 3 2 2 2 2" xfId="10068"/>
    <cellStyle name="Percent 31 4 2 2 2 2" xfId="10069"/>
    <cellStyle name="Percent 31 5 2 2 2" xfId="10070"/>
    <cellStyle name="Percent 32 2 3 2 2" xfId="10071"/>
    <cellStyle name="Percent 32 2 2 2 2 2" xfId="10072"/>
    <cellStyle name="Percent 32 3 3 2 2" xfId="10073"/>
    <cellStyle name="Percent 32 3 2 2 2 2" xfId="10074"/>
    <cellStyle name="Percent 32 4 2 2 2 2" xfId="10075"/>
    <cellStyle name="Percent 32 5 2 2 2" xfId="10076"/>
    <cellStyle name="Percent 33 2 3 2 2" xfId="10077"/>
    <cellStyle name="Percent 33 2 2 2 2 2" xfId="10078"/>
    <cellStyle name="Percent 33 3 3 2 2" xfId="10079"/>
    <cellStyle name="Percent 33 3 2 2 2 2" xfId="10080"/>
    <cellStyle name="Percent 33 4 2 2 2 2" xfId="10081"/>
    <cellStyle name="Percent 33 5 2 2 2" xfId="10082"/>
    <cellStyle name="Percent 34 2 3 2 2" xfId="10083"/>
    <cellStyle name="Percent 34 2 2 2 2 2" xfId="10084"/>
    <cellStyle name="Percent 34 3 3 2 2" xfId="10085"/>
    <cellStyle name="Percent 34 3 2 2 2 2" xfId="10086"/>
    <cellStyle name="Percent 34 4 2 2 2 2" xfId="10087"/>
    <cellStyle name="Percent 34 5 2 2 2" xfId="10088"/>
    <cellStyle name="Percent 35 2 3 2 2" xfId="10089"/>
    <cellStyle name="Percent 35 2 2 2 2 2" xfId="10090"/>
    <cellStyle name="Percent 35 3 3 2 2" xfId="10091"/>
    <cellStyle name="Percent 35 3 2 2 2 2" xfId="10092"/>
    <cellStyle name="Percent 35 4 2 2 2 2" xfId="10093"/>
    <cellStyle name="Percent 35 5 2 2 2" xfId="10094"/>
    <cellStyle name="Currency 5 4 2 2 2" xfId="10095"/>
    <cellStyle name="Comma 5 7 2 2 2" xfId="10096"/>
    <cellStyle name="Percent 5 4 2 2 2" xfId="10097"/>
    <cellStyle name="Comma 6 5 2 2 2" xfId="10098"/>
    <cellStyle name="Currency 5 2 4 2 2 2" xfId="10099"/>
    <cellStyle name="Comma 5 2 4 2 2 2" xfId="10100"/>
    <cellStyle name="Percent 5 2 4 2 2 2" xfId="10101"/>
    <cellStyle name="Comma 6 2 3 2 2 2" xfId="10102"/>
    <cellStyle name="Currency 5 3 2 2 2 2" xfId="10103"/>
    <cellStyle name="Comma 5 3 2 2 2 2" xfId="10104"/>
    <cellStyle name="Percent 5 3 2 2 2 2" xfId="10105"/>
    <cellStyle name="Comma 6 3 4 2 2 2" xfId="10106"/>
    <cellStyle name="Normal 11 2 2 2 2 2" xfId="10107"/>
    <cellStyle name="Currency 5 2 2 2 2 2 2" xfId="10108"/>
    <cellStyle name="Comma 5 2 2 2 2 2 2" xfId="10109"/>
    <cellStyle name="Percent 5 2 2 2 2 2 2" xfId="10110"/>
    <cellStyle name="Comma 6 2 2 2 2 2 2" xfId="10111"/>
    <cellStyle name="Percent 182" xfId="10112"/>
    <cellStyle name="Currency 181" xfId="10113"/>
    <cellStyle name="Comma 208" xfId="10114"/>
    <cellStyle name="Normal 55" xfId="10115"/>
    <cellStyle name="Comma 209" xfId="10116"/>
    <cellStyle name="Currency 182" xfId="10117"/>
    <cellStyle name="Percent 183" xfId="10118"/>
    <cellStyle name="Normal 2 26" xfId="10119"/>
    <cellStyle name="Currency 2 28 2" xfId="10120"/>
    <cellStyle name="Comma 2 24 2" xfId="10121"/>
    <cellStyle name="Comma 4 7 4" xfId="10122"/>
    <cellStyle name="Comma0 2" xfId="10123"/>
    <cellStyle name="Currency 3 23 2" xfId="10124"/>
    <cellStyle name="Currency 4 7" xfId="10125"/>
    <cellStyle name="Currency 4 2 3" xfId="10126"/>
    <cellStyle name="Currency 7 6" xfId="10127"/>
    <cellStyle name="Currency0 2" xfId="10128"/>
    <cellStyle name="Date 2" xfId="10129"/>
    <cellStyle name="Fixed 2" xfId="10130"/>
    <cellStyle name="Normal 3 30 2" xfId="10131"/>
    <cellStyle name="Normal 4 16 2" xfId="10132"/>
    <cellStyle name="Normal 7 26" xfId="10133"/>
    <cellStyle name="Percent 3 22 2" xfId="10134"/>
    <cellStyle name="Percent 4 9 2" xfId="10135"/>
    <cellStyle name="Percent 5 9 4" xfId="10136"/>
    <cellStyle name="Percent 5 2 9" xfId="10137"/>
    <cellStyle name="Percent 5 2 2 7" xfId="10138"/>
    <cellStyle name="Percent 8 3" xfId="10139"/>
    <cellStyle name="Normal 2 2 25 2" xfId="10140"/>
    <cellStyle name="Normal 10 10" xfId="10141"/>
    <cellStyle name="Comma 4 2 3" xfId="10142"/>
    <cellStyle name="Currency 4 3 5" xfId="10143"/>
    <cellStyle name="Currency 4 2 2" xfId="10144"/>
    <cellStyle name="Currency 7 2 4" xfId="10145"/>
    <cellStyle name="Normal 7 2 9" xfId="10146"/>
    <cellStyle name="Percent 5 3 7" xfId="10147"/>
    <cellStyle name="Percent 5 2 3 2" xfId="10148"/>
    <cellStyle name="Percent 5 2 2 2 5" xfId="10149"/>
    <cellStyle name="Percent 8 2 4" xfId="10150"/>
    <cellStyle name="Normal 9 2 9" xfId="10151"/>
    <cellStyle name="Comma 2 3 6" xfId="10152"/>
    <cellStyle name="Currency 2 3 5" xfId="10153"/>
    <cellStyle name="Currency 3 3 11" xfId="10154"/>
    <cellStyle name="Normal 2 3 10" xfId="10155"/>
    <cellStyle name="Percent 2 3 5" xfId="10156"/>
    <cellStyle name="Percent 3 3 6" xfId="10157"/>
    <cellStyle name="Normal 4 2 28" xfId="10158"/>
    <cellStyle name="Currency 3 2 8" xfId="10159"/>
    <cellStyle name="Currency 4 4 2" xfId="10160"/>
    <cellStyle name="Normal 12 11" xfId="10161"/>
    <cellStyle name="Comma 6 10" xfId="10162"/>
    <cellStyle name="Currency 8 6" xfId="10163"/>
    <cellStyle name="Percent 10 3" xfId="10164"/>
    <cellStyle name="Comma 6 2 8" xfId="10165"/>
    <cellStyle name="Normal 57" xfId="10166"/>
    <cellStyle name="Normal 56" xfId="10167"/>
    <cellStyle name="Heading 3 10" xfId="10168"/>
    <cellStyle name="Percent 184" xfId="10169"/>
    <cellStyle name="Currency 183" xfId="10170"/>
    <cellStyle name="Comma 210" xfId="10171"/>
    <cellStyle name="Comma [0] 8" xfId="10172"/>
    <cellStyle name="Currency [0] 8" xfId="10173"/>
    <cellStyle name="Currency 5 9" xfId="10174"/>
    <cellStyle name="Normal 8 29" xfId="10175"/>
    <cellStyle name="Comma 5 12 3" xfId="10176"/>
    <cellStyle name="Percent 5 10 3" xfId="10177"/>
    <cellStyle name="Comma 6 11" xfId="10178"/>
    <cellStyle name="Normal 11 8" xfId="10179"/>
    <cellStyle name="Currency 5 2 9" xfId="10180"/>
    <cellStyle name="Normal 8 2 10" xfId="10181"/>
    <cellStyle name="Comma 5 2 9" xfId="10182"/>
    <cellStyle name="Percent 5 2 10" xfId="10183"/>
    <cellStyle name="Comma 6 2 9" xfId="10184"/>
    <cellStyle name="Currency 5 3 7" xfId="10185"/>
    <cellStyle name="Normal 8 3 10" xfId="10186"/>
    <cellStyle name="Comma 5 3 7" xfId="10187"/>
    <cellStyle name="Percent 5 3 8" xfId="10188"/>
    <cellStyle name="Comma 6 3 9" xfId="10189"/>
    <cellStyle name="Normal 11 2 7" xfId="10190"/>
    <cellStyle name="Currency 5 2 2 7" xfId="10191"/>
    <cellStyle name="Normal 8 2 2 6" xfId="10192"/>
    <cellStyle name="Comma 5 2 2 7" xfId="10193"/>
    <cellStyle name="Percent 5 2 2 8" xfId="10194"/>
    <cellStyle name="Comma 6 2 2 6" xfId="10195"/>
    <cellStyle name="Normal 50 5" xfId="10196"/>
    <cellStyle name="Comma 186 5" xfId="10197"/>
    <cellStyle name="Percent 162 5" xfId="10198"/>
    <cellStyle name="Normal 2 24 5" xfId="10199"/>
    <cellStyle name="20% - Accent1 2 5" xfId="10200"/>
    <cellStyle name="20% - Accent1 3 5" xfId="10201"/>
    <cellStyle name="20% - Accent1 4 5" xfId="10202"/>
    <cellStyle name="20% - Accent1 5 5" xfId="10203"/>
    <cellStyle name="20% - Accent2 2 5" xfId="10204"/>
    <cellStyle name="20% - Accent2 3 5" xfId="10205"/>
    <cellStyle name="20% - Accent2 4 5" xfId="10206"/>
    <cellStyle name="20% - Accent2 5 5" xfId="10207"/>
    <cellStyle name="20% - Accent3 2 5" xfId="10208"/>
    <cellStyle name="20% - Accent3 3 5" xfId="10209"/>
    <cellStyle name="20% - Accent3 4 5" xfId="10210"/>
    <cellStyle name="20% - Accent3 5 5" xfId="10211"/>
    <cellStyle name="20% - Accent4 2 5" xfId="10212"/>
    <cellStyle name="20% - Accent4 3 5" xfId="10213"/>
    <cellStyle name="20% - Accent4 4 5" xfId="10214"/>
    <cellStyle name="20% - Accent4 5 5" xfId="10215"/>
    <cellStyle name="20% - Accent5 2 5" xfId="10216"/>
    <cellStyle name="20% - Accent5 3 5" xfId="10217"/>
    <cellStyle name="20% - Accent5 4 5" xfId="10218"/>
    <cellStyle name="20% - Accent6 2 5" xfId="10219"/>
    <cellStyle name="20% - Accent6 3 5" xfId="10220"/>
    <cellStyle name="20% - Accent6 4 5" xfId="10221"/>
    <cellStyle name="40% - Accent1 2 5" xfId="10222"/>
    <cellStyle name="40% - Accent1 3 5" xfId="10223"/>
    <cellStyle name="40% - Accent1 4 5" xfId="10224"/>
    <cellStyle name="40% - Accent1 5 5" xfId="10225"/>
    <cellStyle name="40% - Accent2 2 5" xfId="10226"/>
    <cellStyle name="40% - Accent2 3 5" xfId="10227"/>
    <cellStyle name="40% - Accent2 4 5" xfId="10228"/>
    <cellStyle name="40% - Accent3 2 5" xfId="10229"/>
    <cellStyle name="40% - Accent3 3 5" xfId="10230"/>
    <cellStyle name="40% - Accent3 4 5" xfId="10231"/>
    <cellStyle name="40% - Accent3 5 5" xfId="10232"/>
    <cellStyle name="40% - Accent4 2 5" xfId="10233"/>
    <cellStyle name="40% - Accent4 3 5" xfId="10234"/>
    <cellStyle name="40% - Accent4 4 5" xfId="10235"/>
    <cellStyle name="40% - Accent4 5 5" xfId="10236"/>
    <cellStyle name="40% - Accent5 2 5" xfId="10237"/>
    <cellStyle name="40% - Accent5 3 5" xfId="10238"/>
    <cellStyle name="40% - Accent5 4 5" xfId="10239"/>
    <cellStyle name="40% - Accent6 2 5" xfId="10240"/>
    <cellStyle name="40% - Accent6 3 5" xfId="10241"/>
    <cellStyle name="40% - Accent6 4 5" xfId="10242"/>
    <cellStyle name="40% - Accent6 5 5" xfId="10243"/>
    <cellStyle name="Comma 143 5" xfId="10244"/>
    <cellStyle name="Comma 144 5" xfId="10245"/>
    <cellStyle name="Comma 145 5" xfId="10246"/>
    <cellStyle name="Comma 146 5" xfId="10247"/>
    <cellStyle name="Comma 147 5" xfId="10248"/>
    <cellStyle name="Comma 148 5" xfId="10249"/>
    <cellStyle name="Comma 149 5" xfId="10250"/>
    <cellStyle name="Comma 150 5" xfId="10251"/>
    <cellStyle name="Comma 151 5" xfId="10252"/>
    <cellStyle name="Comma 152 5" xfId="10253"/>
    <cellStyle name="Comma 153 5" xfId="10254"/>
    <cellStyle name="Comma 182 5" xfId="10255"/>
    <cellStyle name="Comma 2 23 5" xfId="10256"/>
    <cellStyle name="Comma 2 2 10 5" xfId="10257"/>
    <cellStyle name="Comma 2 2 11 5" xfId="10258"/>
    <cellStyle name="Comma 2 2 12 5" xfId="10259"/>
    <cellStyle name="Comma 2 2 13 5" xfId="10260"/>
    <cellStyle name="Comma 2 2 14 5" xfId="10261"/>
    <cellStyle name="Comma 2 2 15 5" xfId="10262"/>
    <cellStyle name="Comma 2 2 16 5" xfId="10263"/>
    <cellStyle name="Comma 2 2 17 5" xfId="10264"/>
    <cellStyle name="Comma 2 2 2 2 9" xfId="10265"/>
    <cellStyle name="Comma 2 2 2 2 2 5" xfId="10266"/>
    <cellStyle name="Comma 2 2 2 2 3 5" xfId="10267"/>
    <cellStyle name="Comma 2 2 2 2 4 5" xfId="10268"/>
    <cellStyle name="Comma 2 2 2 2 5 5" xfId="10269"/>
    <cellStyle name="Comma 2 2 2 3 5" xfId="10270"/>
    <cellStyle name="Comma 2 2 2 4 5" xfId="10271"/>
    <cellStyle name="Comma 2 2 2 5 5" xfId="10272"/>
    <cellStyle name="Comma 2 2 2 6 5" xfId="10273"/>
    <cellStyle name="Comma 2 2 3 9" xfId="10274"/>
    <cellStyle name="Comma 2 2 3 2 2 5" xfId="10275"/>
    <cellStyle name="Comma 2 2 3 2 3 5" xfId="10276"/>
    <cellStyle name="Comma 2 2 3 2 4 5" xfId="10277"/>
    <cellStyle name="Comma 2 2 3 2 5 5" xfId="10278"/>
    <cellStyle name="Comma 2 2 3 3 5" xfId="10279"/>
    <cellStyle name="Comma 2 2 4 2 5" xfId="10280"/>
    <cellStyle name="Comma 2 2 5 5" xfId="10281"/>
    <cellStyle name="Comma 2 2 6 5" xfId="10282"/>
    <cellStyle name="Comma 2 2 7 5" xfId="10283"/>
    <cellStyle name="Comma 2 2 8 5" xfId="10284"/>
    <cellStyle name="Comma 2 2 9 5" xfId="10285"/>
    <cellStyle name="Comma 3 10 5" xfId="10286"/>
    <cellStyle name="Comma 3 11 5" xfId="10287"/>
    <cellStyle name="Comma 3 12 5" xfId="10288"/>
    <cellStyle name="Comma 3 13 5" xfId="10289"/>
    <cellStyle name="Comma 3 14 5" xfId="10290"/>
    <cellStyle name="Comma 3 15 5" xfId="10291"/>
    <cellStyle name="Comma 3 16 5" xfId="10292"/>
    <cellStyle name="Comma 3 17 5" xfId="10293"/>
    <cellStyle name="Comma 3 18 5" xfId="10294"/>
    <cellStyle name="Comma 3 19 5" xfId="10295"/>
    <cellStyle name="Comma 3 2 2 5" xfId="10296"/>
    <cellStyle name="Comma 3 2 3 5" xfId="10297"/>
    <cellStyle name="Comma 3 2 4 5" xfId="10298"/>
    <cellStyle name="Comma 3 2 5 5" xfId="10299"/>
    <cellStyle name="Comma 3 20 5" xfId="10300"/>
    <cellStyle name="Comma 3 21 5" xfId="10301"/>
    <cellStyle name="Comma 3 3 9" xfId="10302"/>
    <cellStyle name="Comma 3 3 2 5" xfId="10303"/>
    <cellStyle name="Comma 3 3 3 5" xfId="10304"/>
    <cellStyle name="Comma 3 3 4 5" xfId="10305"/>
    <cellStyle name="Comma 3 3 5 5" xfId="10306"/>
    <cellStyle name="Comma 3 4 6" xfId="10307"/>
    <cellStyle name="Comma 3 4 2 5" xfId="10308"/>
    <cellStyle name="Comma 3 5 6" xfId="10309"/>
    <cellStyle name="Comma 3 5 2 5" xfId="10310"/>
    <cellStyle name="Comma 3 6 6" xfId="10311"/>
    <cellStyle name="Comma 3 6 2 5" xfId="10312"/>
    <cellStyle name="Comma 3 7 5" xfId="10313"/>
    <cellStyle name="Comma 3 8 5" xfId="10314"/>
    <cellStyle name="Comma 3 9 5" xfId="10315"/>
    <cellStyle name="Currency 120 5" xfId="10316"/>
    <cellStyle name="Currency 121 5" xfId="10317"/>
    <cellStyle name="Currency 122 5" xfId="10318"/>
    <cellStyle name="Currency 123 5" xfId="10319"/>
    <cellStyle name="Currency 124 5" xfId="10320"/>
    <cellStyle name="Currency 125 5" xfId="10321"/>
    <cellStyle name="Currency 126 5" xfId="10322"/>
    <cellStyle name="Currency 127 5" xfId="10323"/>
    <cellStyle name="Currency 128 5" xfId="10324"/>
    <cellStyle name="Currency 129 5" xfId="10325"/>
    <cellStyle name="Currency 130 5" xfId="10326"/>
    <cellStyle name="Currency 159 5" xfId="10327"/>
    <cellStyle name="Currency 2 27 5" xfId="10328"/>
    <cellStyle name="Currency 2 2 20 5" xfId="10329"/>
    <cellStyle name="Currency 2 2 10 5" xfId="10330"/>
    <cellStyle name="Currency 2 2 11 5" xfId="10331"/>
    <cellStyle name="Currency 2 2 12 5" xfId="10332"/>
    <cellStyle name="Currency 2 2 13 5" xfId="10333"/>
    <cellStyle name="Currency 2 2 14 5" xfId="10334"/>
    <cellStyle name="Currency 2 2 15 5" xfId="10335"/>
    <cellStyle name="Currency 2 2 16 5" xfId="10336"/>
    <cellStyle name="Currency 2 2 17 5" xfId="10337"/>
    <cellStyle name="Currency 2 2 18 5" xfId="10338"/>
    <cellStyle name="Currency 2 2 2 2 5" xfId="10339"/>
    <cellStyle name="Currency 2 2 2 3 5" xfId="10340"/>
    <cellStyle name="Currency 2 2 2 4 5" xfId="10341"/>
    <cellStyle name="Currency 2 2 2 5 5" xfId="10342"/>
    <cellStyle name="Currency 2 2 3 9" xfId="10343"/>
    <cellStyle name="Currency 2 2 3 2 5" xfId="10344"/>
    <cellStyle name="Currency 2 2 3 3 5" xfId="10345"/>
    <cellStyle name="Currency 2 2 3 4 5" xfId="10346"/>
    <cellStyle name="Currency 2 2 3 5 5" xfId="10347"/>
    <cellStyle name="Currency 2 2 4 5" xfId="10348"/>
    <cellStyle name="Currency 2 2 5 5" xfId="10349"/>
    <cellStyle name="Currency 2 2 6 5" xfId="10350"/>
    <cellStyle name="Currency 2 2 7 5" xfId="10351"/>
    <cellStyle name="Currency 2 2 8 5" xfId="10352"/>
    <cellStyle name="Currency 2 2 9 5" xfId="10353"/>
    <cellStyle name="Currency 3 10 5" xfId="10354"/>
    <cellStyle name="Currency 3 11 5" xfId="10355"/>
    <cellStyle name="Currency 3 12 5" xfId="10356"/>
    <cellStyle name="Currency 3 13 5" xfId="10357"/>
    <cellStyle name="Currency 3 14 5" xfId="10358"/>
    <cellStyle name="Currency 3 15 5" xfId="10359"/>
    <cellStyle name="Currency 3 16 5" xfId="10360"/>
    <cellStyle name="Currency 3 17 5" xfId="10361"/>
    <cellStyle name="Currency 3 18 5" xfId="10362"/>
    <cellStyle name="Currency 3 19 5" xfId="10363"/>
    <cellStyle name="Currency 3 2 2 5" xfId="10364"/>
    <cellStyle name="Currency 3 2 3 5" xfId="10365"/>
    <cellStyle name="Currency 3 2 4 5" xfId="10366"/>
    <cellStyle name="Currency 3 2 5 5" xfId="10367"/>
    <cellStyle name="Currency 3 20 5" xfId="10368"/>
    <cellStyle name="Currency 3 21 5" xfId="10369"/>
    <cellStyle name="Currency 3 3 12" xfId="10370"/>
    <cellStyle name="Currency 3 3 2 5" xfId="10371"/>
    <cellStyle name="Currency 3 3 3 5" xfId="10372"/>
    <cellStyle name="Currency 3 3 4 5" xfId="10373"/>
    <cellStyle name="Currency 3 3 5 5" xfId="10374"/>
    <cellStyle name="Currency 3 3 6 5" xfId="10375"/>
    <cellStyle name="Currency 3 4 6" xfId="10376"/>
    <cellStyle name="Currency 3 4 2 5" xfId="10377"/>
    <cellStyle name="Currency 3 5 6" xfId="10378"/>
    <cellStyle name="Currency 3 5 2 5" xfId="10379"/>
    <cellStyle name="Currency 3 6 6" xfId="10380"/>
    <cellStyle name="Currency 3 6 2 5" xfId="10381"/>
    <cellStyle name="Currency 3 7 5" xfId="10382"/>
    <cellStyle name="Currency 3 8 5" xfId="10383"/>
    <cellStyle name="Currency 3 9 5" xfId="10384"/>
    <cellStyle name="Normal 10 3 9" xfId="10385"/>
    <cellStyle name="Normal 10 3 2 8" xfId="10386"/>
    <cellStyle name="Normal 10 3 2 2 6" xfId="10387"/>
    <cellStyle name="Normal 10 3 2 2 2 5" xfId="10388"/>
    <cellStyle name="Normal 10 3 2 3 6" xfId="10389"/>
    <cellStyle name="Normal 10 3 2 3 2 5" xfId="10390"/>
    <cellStyle name="Normal 10 3 2 4 5" xfId="10391"/>
    <cellStyle name="Normal 10 3 3 6" xfId="10392"/>
    <cellStyle name="Normal 10 3 3 2 5" xfId="10393"/>
    <cellStyle name="Normal 10 3 4 6" xfId="10394"/>
    <cellStyle name="Normal 10 3 4 2 5" xfId="10395"/>
    <cellStyle name="Normal 10 3 5 5" xfId="10396"/>
    <cellStyle name="Normal 10 4 8" xfId="10397"/>
    <cellStyle name="Normal 10 4 2 6" xfId="10398"/>
    <cellStyle name="Normal 10 4 2 2 5" xfId="10399"/>
    <cellStyle name="Normal 10 4 3 6" xfId="10400"/>
    <cellStyle name="Normal 10 4 3 2 5" xfId="10401"/>
    <cellStyle name="Normal 10 4 4 5" xfId="10402"/>
    <cellStyle name="Normal 10 5 8" xfId="10403"/>
    <cellStyle name="Normal 10 5 2 6" xfId="10404"/>
    <cellStyle name="Normal 10 5 2 2 5" xfId="10405"/>
    <cellStyle name="Normal 10 5 3 6" xfId="10406"/>
    <cellStyle name="Normal 10 5 3 2 5" xfId="10407"/>
    <cellStyle name="Normal 10 5 4 5" xfId="10408"/>
    <cellStyle name="Normal 10 6 6" xfId="10409"/>
    <cellStyle name="Normal 10 6 2 5" xfId="10410"/>
    <cellStyle name="Normal 10 7 6" xfId="10411"/>
    <cellStyle name="Normal 10 7 2 5" xfId="10412"/>
    <cellStyle name="Normal 10 8 2 5" xfId="10413"/>
    <cellStyle name="Normal 10 9 5" xfId="10414"/>
    <cellStyle name="Normal 11 4 5" xfId="10415"/>
    <cellStyle name="Normal 11 3 5" xfId="10416"/>
    <cellStyle name="Normal 12 12" xfId="10417"/>
    <cellStyle name="Normal 12 2 2 8" xfId="10418"/>
    <cellStyle name="Normal 12 2 2 2 6" xfId="10419"/>
    <cellStyle name="Normal 12 2 2 2 2 5" xfId="10420"/>
    <cellStyle name="Normal 12 2 2 3 6" xfId="10421"/>
    <cellStyle name="Normal 12 2 2 3 2 5" xfId="10422"/>
    <cellStyle name="Normal 12 2 2 4 5" xfId="10423"/>
    <cellStyle name="Normal 12 2 3 6" xfId="10424"/>
    <cellStyle name="Normal 12 2 3 2 5" xfId="10425"/>
    <cellStyle name="Normal 12 2 4 6" xfId="10426"/>
    <cellStyle name="Normal 12 2 4 2 5" xfId="10427"/>
    <cellStyle name="Normal 12 2 5 2 5" xfId="10428"/>
    <cellStyle name="Normal 12 2 6 5" xfId="10429"/>
    <cellStyle name="Normal 12 3 8" xfId="10430"/>
    <cellStyle name="Normal 12 3 2 6" xfId="10431"/>
    <cellStyle name="Normal 12 3 2 2 5" xfId="10432"/>
    <cellStyle name="Normal 12 3 3 6" xfId="10433"/>
    <cellStyle name="Normal 12 3 3 2 5" xfId="10434"/>
    <cellStyle name="Normal 12 3 4 5" xfId="10435"/>
    <cellStyle name="Normal 12 4 8" xfId="10436"/>
    <cellStyle name="Normal 12 4 2 6" xfId="10437"/>
    <cellStyle name="Normal 12 4 2 2 5" xfId="10438"/>
    <cellStyle name="Normal 12 4 3 6" xfId="10439"/>
    <cellStyle name="Normal 12 4 3 2 5" xfId="10440"/>
    <cellStyle name="Normal 12 4 4 5" xfId="10441"/>
    <cellStyle name="Normal 12 5 6" xfId="10442"/>
    <cellStyle name="Normal 12 5 2 5" xfId="10443"/>
    <cellStyle name="Normal 12 6 6" xfId="10444"/>
    <cellStyle name="Normal 12 6 2 5" xfId="10445"/>
    <cellStyle name="Normal 12 7 5" xfId="10446"/>
    <cellStyle name="Normal 15 9" xfId="10447"/>
    <cellStyle name="Normal 15 3 5" xfId="10448"/>
    <cellStyle name="Normal 16 2 8" xfId="10449"/>
    <cellStyle name="Normal 16 2 2 6" xfId="10450"/>
    <cellStyle name="Normal 16 2 2 2 5" xfId="10451"/>
    <cellStyle name="Normal 16 2 3 6" xfId="10452"/>
    <cellStyle name="Normal 16 2 3 2 5" xfId="10453"/>
    <cellStyle name="Normal 16 2 4 5" xfId="10454"/>
    <cellStyle name="Normal 16 3 6" xfId="10455"/>
    <cellStyle name="Normal 16 3 2 5" xfId="10456"/>
    <cellStyle name="Normal 16 4 6" xfId="10457"/>
    <cellStyle name="Normal 16 4 2 5" xfId="10458"/>
    <cellStyle name="Normal 16 5 2 5" xfId="10459"/>
    <cellStyle name="Normal 16 6 5" xfId="10460"/>
    <cellStyle name="Normal 17 2 8" xfId="10461"/>
    <cellStyle name="Normal 17 2 2 6" xfId="10462"/>
    <cellStyle name="Normal 17 2 2 2 5" xfId="10463"/>
    <cellStyle name="Normal 17 2 3 6" xfId="10464"/>
    <cellStyle name="Normal 17 2 3 2 5" xfId="10465"/>
    <cellStyle name="Normal 17 2 4 5" xfId="10466"/>
    <cellStyle name="Normal 17 3 6" xfId="10467"/>
    <cellStyle name="Normal 17 3 2 5" xfId="10468"/>
    <cellStyle name="Normal 17 4 6" xfId="10469"/>
    <cellStyle name="Normal 17 4 2 5" xfId="10470"/>
    <cellStyle name="Normal 17 5 2 5" xfId="10471"/>
    <cellStyle name="Normal 17 6 5" xfId="10472"/>
    <cellStyle name="Normal 2 10 3 5" xfId="10473"/>
    <cellStyle name="Normal 2 11 3 5" xfId="10474"/>
    <cellStyle name="Normal 2 12 3 5" xfId="10475"/>
    <cellStyle name="Normal 2 13 3 5" xfId="10476"/>
    <cellStyle name="Normal 2 14 3 5" xfId="10477"/>
    <cellStyle name="Normal 2 15 3 5" xfId="10478"/>
    <cellStyle name="Normal 2 16 3 5" xfId="10479"/>
    <cellStyle name="Normal 2 17 3 5" xfId="10480"/>
    <cellStyle name="Normal 2 18 3 5" xfId="10481"/>
    <cellStyle name="Normal 2 19 3 5" xfId="10482"/>
    <cellStyle name="Normal 2 2 10 5" xfId="10483"/>
    <cellStyle name="Normal 2 2 11 5" xfId="10484"/>
    <cellStyle name="Normal 2 2 12 5" xfId="10485"/>
    <cellStyle name="Normal 2 2 13 5" xfId="10486"/>
    <cellStyle name="Normal 2 2 14 5" xfId="10487"/>
    <cellStyle name="Normal 2 2 15 5" xfId="10488"/>
    <cellStyle name="Normal 2 2 16 5" xfId="10489"/>
    <cellStyle name="Normal 2 2 17 5" xfId="10490"/>
    <cellStyle name="Normal 2 2 18 5" xfId="10491"/>
    <cellStyle name="Normal 2 2 19 5" xfId="10492"/>
    <cellStyle name="Normal 2 2 2 2 9" xfId="10493"/>
    <cellStyle name="Normal 2 2 2 2 2 6" xfId="10494"/>
    <cellStyle name="Normal 2 2 2 2 2 2 5" xfId="10495"/>
    <cellStyle name="Normal 2 2 2 2 3 5" xfId="10496"/>
    <cellStyle name="Normal 2 2 2 2 4 5" xfId="10497"/>
    <cellStyle name="Normal 2 2 2 2 5 5" xfId="10498"/>
    <cellStyle name="Normal 2 2 20 5" xfId="10499"/>
    <cellStyle name="Normal 2 2 21 5" xfId="10500"/>
    <cellStyle name="Normal 2 2 22 5" xfId="10501"/>
    <cellStyle name="Normal 2 2 3 12" xfId="10502"/>
    <cellStyle name="Normal 2 2 3 2 5" xfId="10503"/>
    <cellStyle name="Normal 2 2 3 3 5" xfId="10504"/>
    <cellStyle name="Normal 2 2 3 4 5" xfId="10505"/>
    <cellStyle name="Normal 2 2 3 5 5" xfId="10506"/>
    <cellStyle name="Normal 2 2 3 6 5" xfId="10507"/>
    <cellStyle name="Normal 2 2 4 8" xfId="10508"/>
    <cellStyle name="Normal 2 2 4 2 5" xfId="10509"/>
    <cellStyle name="Normal 2 2 5 7" xfId="10510"/>
    <cellStyle name="Normal 2 2 5 2 5" xfId="10511"/>
    <cellStyle name="Normal 2 2 6 5" xfId="10512"/>
    <cellStyle name="Normal 2 2 7 5" xfId="10513"/>
    <cellStyle name="Normal 2 2 8 5" xfId="10514"/>
    <cellStyle name="Normal 2 2 9 5" xfId="10515"/>
    <cellStyle name="Normal 2 20 5" xfId="10516"/>
    <cellStyle name="Normal 2 3 2 6" xfId="10517"/>
    <cellStyle name="Normal 2 3 3 5" xfId="10518"/>
    <cellStyle name="Normal 2 3 4 5" xfId="10519"/>
    <cellStyle name="Normal 2 3 5 5" xfId="10520"/>
    <cellStyle name="Normal 2 3 6 5" xfId="10521"/>
    <cellStyle name="Normal 2 4 5 5" xfId="10522"/>
    <cellStyle name="Normal 2 4 2 5" xfId="10523"/>
    <cellStyle name="Normal 2 5 3 5" xfId="10524"/>
    <cellStyle name="Normal 2 6 3 5" xfId="10525"/>
    <cellStyle name="Normal 2 7 3 5" xfId="10526"/>
    <cellStyle name="Normal 2 8 3 5" xfId="10527"/>
    <cellStyle name="Normal 2 9 3 5" xfId="10528"/>
    <cellStyle name="Normal 21 12" xfId="10529"/>
    <cellStyle name="Normal 21 2 10" xfId="10530"/>
    <cellStyle name="Normal 21 2 2 5" xfId="10531"/>
    <cellStyle name="Normal 21 2 3 5" xfId="10532"/>
    <cellStyle name="Normal 21 2 4 5" xfId="10533"/>
    <cellStyle name="Normal 21 2 5 5" xfId="10534"/>
    <cellStyle name="Normal 21 2 6 5" xfId="10535"/>
    <cellStyle name="Normal 21 3 6" xfId="10536"/>
    <cellStyle name="Normal 21 3 2 5" xfId="10537"/>
    <cellStyle name="Normal 21 4 5" xfId="10538"/>
    <cellStyle name="Normal 21 5 5" xfId="10539"/>
    <cellStyle name="Normal 21 6 5" xfId="10540"/>
    <cellStyle name="Normal 21 8 5" xfId="10541"/>
    <cellStyle name="Normal 22 11" xfId="10542"/>
    <cellStyle name="Normal 22 2 10" xfId="10543"/>
    <cellStyle name="Normal 22 2 2 5" xfId="10544"/>
    <cellStyle name="Normal 22 2 3 5" xfId="10545"/>
    <cellStyle name="Normal 22 2 4 5" xfId="10546"/>
    <cellStyle name="Normal 22 2 5 5" xfId="10547"/>
    <cellStyle name="Normal 22 3 5" xfId="10548"/>
    <cellStyle name="Normal 22 4 5" xfId="10549"/>
    <cellStyle name="Normal 22 5 5" xfId="10550"/>
    <cellStyle name="Normal 22 6 5" xfId="10551"/>
    <cellStyle name="Normal 23 11" xfId="10552"/>
    <cellStyle name="Normal 23 2 9" xfId="10553"/>
    <cellStyle name="Normal 23 2 2 5" xfId="10554"/>
    <cellStyle name="Normal 23 2 3 5" xfId="10555"/>
    <cellStyle name="Normal 23 2 4 5" xfId="10556"/>
    <cellStyle name="Normal 23 2 5 5" xfId="10557"/>
    <cellStyle name="Normal 23 3 5" xfId="10558"/>
    <cellStyle name="Normal 23 4 5" xfId="10559"/>
    <cellStyle name="Normal 23 5 5" xfId="10560"/>
    <cellStyle name="Normal 23 6 5" xfId="10561"/>
    <cellStyle name="Normal 24 11" xfId="10562"/>
    <cellStyle name="Normal 24 2 9" xfId="10563"/>
    <cellStyle name="Normal 24 2 2 5" xfId="10564"/>
    <cellStyle name="Normal 24 2 3 5" xfId="10565"/>
    <cellStyle name="Normal 24 2 4 5" xfId="10566"/>
    <cellStyle name="Normal 24 2 5 5" xfId="10567"/>
    <cellStyle name="Normal 24 3 5" xfId="10568"/>
    <cellStyle name="Normal 24 4 5" xfId="10569"/>
    <cellStyle name="Normal 24 5 5" xfId="10570"/>
    <cellStyle name="Normal 24 6 5" xfId="10571"/>
    <cellStyle name="Normal 26 11" xfId="10572"/>
    <cellStyle name="Normal 26 2 9" xfId="10573"/>
    <cellStyle name="Normal 26 2 2 5" xfId="10574"/>
    <cellStyle name="Normal 26 2 3 5" xfId="10575"/>
    <cellStyle name="Normal 26 2 4 5" xfId="10576"/>
    <cellStyle name="Normal 26 2 5 5" xfId="10577"/>
    <cellStyle name="Normal 26 3 5" xfId="10578"/>
    <cellStyle name="Normal 26 4 5" xfId="10579"/>
    <cellStyle name="Normal 26 5 5" xfId="10580"/>
    <cellStyle name="Normal 26 6 5" xfId="10581"/>
    <cellStyle name="Normal 3 10 5" xfId="10582"/>
    <cellStyle name="Normal 3 11 5" xfId="10583"/>
    <cellStyle name="Normal 3 12 5" xfId="10584"/>
    <cellStyle name="Normal 3 13 5" xfId="10585"/>
    <cellStyle name="Normal 3 14 5" xfId="10586"/>
    <cellStyle name="Normal 3 15 5" xfId="10587"/>
    <cellStyle name="Normal 3 16 5" xfId="10588"/>
    <cellStyle name="Normal 3 17 5" xfId="10589"/>
    <cellStyle name="Normal 3 18 5" xfId="10590"/>
    <cellStyle name="Normal 3 19 5" xfId="10591"/>
    <cellStyle name="Normal 3 2 2 5" xfId="10592"/>
    <cellStyle name="Normal 3 2 3 5" xfId="10593"/>
    <cellStyle name="Normal 3 2 4 5" xfId="10594"/>
    <cellStyle name="Normal 3 2 5 5" xfId="10595"/>
    <cellStyle name="Normal 3 2 6 5" xfId="10596"/>
    <cellStyle name="Normal 3 20 5" xfId="10597"/>
    <cellStyle name="Normal 3 21 5" xfId="10598"/>
    <cellStyle name="Normal 3 22 5" xfId="10599"/>
    <cellStyle name="Normal 3 23 5" xfId="10600"/>
    <cellStyle name="Normal 3 24 5" xfId="10601"/>
    <cellStyle name="Normal 3 3 8" xfId="10602"/>
    <cellStyle name="Normal 3 3 2 5" xfId="10603"/>
    <cellStyle name="Normal 3 3 3 5" xfId="10604"/>
    <cellStyle name="Normal 3 4 6" xfId="10605"/>
    <cellStyle name="Normal 3 4 2 5" xfId="10606"/>
    <cellStyle name="Normal 3 5 6" xfId="10607"/>
    <cellStyle name="Normal 3 5 2 5" xfId="10608"/>
    <cellStyle name="Normal 3 6 5" xfId="10609"/>
    <cellStyle name="Normal 3 7 5" xfId="10610"/>
    <cellStyle name="Normal 3 8 5" xfId="10611"/>
    <cellStyle name="Normal 3 9 5" xfId="10612"/>
    <cellStyle name="Normal 4 2 10 5" xfId="10613"/>
    <cellStyle name="Normal 4 2 11 5" xfId="10614"/>
    <cellStyle name="Normal 4 2 12 5" xfId="10615"/>
    <cellStyle name="Normal 4 2 13 5" xfId="10616"/>
    <cellStyle name="Normal 4 2 14 5" xfId="10617"/>
    <cellStyle name="Normal 4 2 15 5" xfId="10618"/>
    <cellStyle name="Normal 4 2 16 5" xfId="10619"/>
    <cellStyle name="Normal 4 2 17 5" xfId="10620"/>
    <cellStyle name="Normal 4 2 18 5" xfId="10621"/>
    <cellStyle name="Normal 4 2 19 5" xfId="10622"/>
    <cellStyle name="Normal 4 2 2 9" xfId="10623"/>
    <cellStyle name="Normal 4 2 2 2 5" xfId="10624"/>
    <cellStyle name="Normal 4 2 2 3 5" xfId="10625"/>
    <cellStyle name="Normal 4 2 2 4 5" xfId="10626"/>
    <cellStyle name="Normal 4 2 2 5 5" xfId="10627"/>
    <cellStyle name="Normal 4 2 20 5" xfId="10628"/>
    <cellStyle name="Normal 4 2 21 5" xfId="10629"/>
    <cellStyle name="Normal 4 2 22 5" xfId="10630"/>
    <cellStyle name="Normal 4 2 23 5" xfId="10631"/>
    <cellStyle name="Normal 4 2 24 5" xfId="10632"/>
    <cellStyle name="Normal 4 2 3 6" xfId="10633"/>
    <cellStyle name="Normal 4 2 3 2 5" xfId="10634"/>
    <cellStyle name="Normal 4 2 4 6" xfId="10635"/>
    <cellStyle name="Normal 4 2 4 2 5" xfId="10636"/>
    <cellStyle name="Normal 4 2 5 6" xfId="10637"/>
    <cellStyle name="Normal 4 2 5 2 5" xfId="10638"/>
    <cellStyle name="Normal 4 2 6 5" xfId="10639"/>
    <cellStyle name="Normal 4 2 7 5" xfId="10640"/>
    <cellStyle name="Normal 4 2 8 5" xfId="10641"/>
    <cellStyle name="Normal 4 2 9 5" xfId="10642"/>
    <cellStyle name="Normal 4 3 10" xfId="10643"/>
    <cellStyle name="Normal 4 3 2 9" xfId="10644"/>
    <cellStyle name="Normal 4 3 2 2 8" xfId="10645"/>
    <cellStyle name="Normal 4 3 2 2 2 6" xfId="10646"/>
    <cellStyle name="Normal 4 3 2 2 2 2 5" xfId="10647"/>
    <cellStyle name="Normal 4 3 2 2 3 6" xfId="10648"/>
    <cellStyle name="Normal 4 3 2 2 3 2 5" xfId="10649"/>
    <cellStyle name="Normal 4 3 2 2 4 5" xfId="10650"/>
    <cellStyle name="Normal 4 3 2 3 6" xfId="10651"/>
    <cellStyle name="Normal 4 3 2 3 2 5" xfId="10652"/>
    <cellStyle name="Normal 4 3 2 4 6" xfId="10653"/>
    <cellStyle name="Normal 4 3 2 4 2 5" xfId="10654"/>
    <cellStyle name="Normal 4 3 2 5 5" xfId="10655"/>
    <cellStyle name="Normal 4 3 3 8" xfId="10656"/>
    <cellStyle name="Normal 4 3 3 2 6" xfId="10657"/>
    <cellStyle name="Normal 4 3 3 2 2 5" xfId="10658"/>
    <cellStyle name="Normal 4 3 3 3 6" xfId="10659"/>
    <cellStyle name="Normal 4 3 3 3 2 5" xfId="10660"/>
    <cellStyle name="Normal 4 3 3 4 5" xfId="10661"/>
    <cellStyle name="Normal 4 3 4 6" xfId="10662"/>
    <cellStyle name="Normal 4 3 4 2 5" xfId="10663"/>
    <cellStyle name="Normal 4 3 5 6" xfId="10664"/>
    <cellStyle name="Normal 4 3 5 2 5" xfId="10665"/>
    <cellStyle name="Normal 4 3 6 5" xfId="10666"/>
    <cellStyle name="Normal 4 4 7" xfId="10667"/>
    <cellStyle name="Normal 4 4 2 5" xfId="10668"/>
    <cellStyle name="Normal 4 5 5" xfId="10669"/>
    <cellStyle name="Normal 4 6 5" xfId="10670"/>
    <cellStyle name="Normal 4 7 5" xfId="10671"/>
    <cellStyle name="Normal 4 8 5" xfId="10672"/>
    <cellStyle name="Normal 41 2 5" xfId="10673"/>
    <cellStyle name="Normal 46 5" xfId="10674"/>
    <cellStyle name="Normal 5 28 5" xfId="10675"/>
    <cellStyle name="Normal 5 2 10" xfId="10676"/>
    <cellStyle name="Normal 5 2 2 2 2 5" xfId="10677"/>
    <cellStyle name="Normal 5 2 2 3 5" xfId="10678"/>
    <cellStyle name="Normal 5 2 3 2 2 5" xfId="10679"/>
    <cellStyle name="Normal 5 2 3 3 5" xfId="10680"/>
    <cellStyle name="Normal 5 2 4 2 5" xfId="10681"/>
    <cellStyle name="Normal 5 2 6 5" xfId="10682"/>
    <cellStyle name="Normal 5 24 5" xfId="10683"/>
    <cellStyle name="Normal 5 3 6" xfId="10684"/>
    <cellStyle name="Normal 5 4 6" xfId="10685"/>
    <cellStyle name="Normal 5 5 6" xfId="10686"/>
    <cellStyle name="Normal 5 6 6" xfId="10687"/>
    <cellStyle name="Normal 5 7 6" xfId="10688"/>
    <cellStyle name="Normal 7 25 5" xfId="10689"/>
    <cellStyle name="Normal 7 10 5" xfId="10690"/>
    <cellStyle name="Normal 7 11 5" xfId="10691"/>
    <cellStyle name="Normal 7 12 5" xfId="10692"/>
    <cellStyle name="Normal 7 13 5" xfId="10693"/>
    <cellStyle name="Normal 7 14 5" xfId="10694"/>
    <cellStyle name="Normal 7 15 5" xfId="10695"/>
    <cellStyle name="Normal 7 16 5" xfId="10696"/>
    <cellStyle name="Normal 7 17 5" xfId="10697"/>
    <cellStyle name="Normal 7 18 5" xfId="10698"/>
    <cellStyle name="Normal 7 19 5" xfId="10699"/>
    <cellStyle name="Normal 7 2 10" xfId="10700"/>
    <cellStyle name="Normal 7 2 2 5" xfId="10701"/>
    <cellStyle name="Normal 7 2 3 5" xfId="10702"/>
    <cellStyle name="Normal 7 2 4 5" xfId="10703"/>
    <cellStyle name="Normal 7 2 5 5" xfId="10704"/>
    <cellStyle name="Normal 7 20 5" xfId="10705"/>
    <cellStyle name="Normal 7 22 5" xfId="10706"/>
    <cellStyle name="Normal 7 3 9" xfId="10707"/>
    <cellStyle name="Normal 7 3 2 5" xfId="10708"/>
    <cellStyle name="Normal 7 3 3 5" xfId="10709"/>
    <cellStyle name="Normal 7 3 4 5" xfId="10710"/>
    <cellStyle name="Normal 7 3 5 5" xfId="10711"/>
    <cellStyle name="Normal 7 4 5" xfId="10712"/>
    <cellStyle name="Normal 7 5 5" xfId="10713"/>
    <cellStyle name="Normal 7 6 5" xfId="10714"/>
    <cellStyle name="Normal 7 7 5" xfId="10715"/>
    <cellStyle name="Normal 7 8 5" xfId="10716"/>
    <cellStyle name="Normal 7 9 5" xfId="10717"/>
    <cellStyle name="Normal 8 25 5" xfId="10718"/>
    <cellStyle name="Normal 8 10 5" xfId="10719"/>
    <cellStyle name="Normal 8 11 5" xfId="10720"/>
    <cellStyle name="Normal 8 12 5" xfId="10721"/>
    <cellStyle name="Normal 8 13 5" xfId="10722"/>
    <cellStyle name="Normal 8 14 5" xfId="10723"/>
    <cellStyle name="Normal 8 15 5" xfId="10724"/>
    <cellStyle name="Normal 8 16 5" xfId="10725"/>
    <cellStyle name="Normal 8 17 5" xfId="10726"/>
    <cellStyle name="Normal 8 18 5" xfId="10727"/>
    <cellStyle name="Normal 8 19 5" xfId="10728"/>
    <cellStyle name="Normal 8 2 6 5" xfId="10729"/>
    <cellStyle name="Normal 8 2 2 2 5" xfId="10730"/>
    <cellStyle name="Normal 8 2 3 5" xfId="10731"/>
    <cellStyle name="Normal 8 2 4 5" xfId="10732"/>
    <cellStyle name="Normal 8 2 5 5" xfId="10733"/>
    <cellStyle name="Normal 8 20 5" xfId="10734"/>
    <cellStyle name="Normal 8 22 5" xfId="10735"/>
    <cellStyle name="Normal 8 3 6 5" xfId="10736"/>
    <cellStyle name="Normal 8 3 2 5" xfId="10737"/>
    <cellStyle name="Normal 8 3 3 5" xfId="10738"/>
    <cellStyle name="Normal 8 3 4 5" xfId="10739"/>
    <cellStyle name="Normal 8 3 5 5" xfId="10740"/>
    <cellStyle name="Normal 8 4 5" xfId="10741"/>
    <cellStyle name="Normal 8 5 5" xfId="10742"/>
    <cellStyle name="Normal 8 6 5" xfId="10743"/>
    <cellStyle name="Normal 8 7 5" xfId="10744"/>
    <cellStyle name="Normal 8 8 5" xfId="10745"/>
    <cellStyle name="Normal 8 9 5" xfId="10746"/>
    <cellStyle name="Normal 9 25 5" xfId="10747"/>
    <cellStyle name="Normal 9 10 5" xfId="10748"/>
    <cellStyle name="Normal 9 11 5" xfId="10749"/>
    <cellStyle name="Normal 9 12 5" xfId="10750"/>
    <cellStyle name="Normal 9 13 5" xfId="10751"/>
    <cellStyle name="Normal 9 14 5" xfId="10752"/>
    <cellStyle name="Normal 9 15 5" xfId="10753"/>
    <cellStyle name="Normal 9 16 5" xfId="10754"/>
    <cellStyle name="Normal 9 17 5" xfId="10755"/>
    <cellStyle name="Normal 9 18 5" xfId="10756"/>
    <cellStyle name="Normal 9 19 5" xfId="10757"/>
    <cellStyle name="Normal 9 2 10" xfId="10758"/>
    <cellStyle name="Normal 9 2 2 5" xfId="10759"/>
    <cellStyle name="Normal 9 2 3 5" xfId="10760"/>
    <cellStyle name="Normal 9 2 4 5" xfId="10761"/>
    <cellStyle name="Normal 9 2 5 5" xfId="10762"/>
    <cellStyle name="Normal 9 20 5" xfId="10763"/>
    <cellStyle name="Normal 9 22 5" xfId="10764"/>
    <cellStyle name="Normal 9 3 9" xfId="10765"/>
    <cellStyle name="Normal 9 3 2 5" xfId="10766"/>
    <cellStyle name="Normal 9 3 3 5" xfId="10767"/>
    <cellStyle name="Normal 9 3 4 5" xfId="10768"/>
    <cellStyle name="Normal 9 3 5 5" xfId="10769"/>
    <cellStyle name="Normal 9 4 5" xfId="10770"/>
    <cellStyle name="Normal 9 5 5" xfId="10771"/>
    <cellStyle name="Normal 9 6 5" xfId="10772"/>
    <cellStyle name="Normal 9 7 5" xfId="10773"/>
    <cellStyle name="Normal 9 8 5" xfId="10774"/>
    <cellStyle name="Normal 9 9 5" xfId="10775"/>
    <cellStyle name="Note 2 5 3" xfId="10776"/>
    <cellStyle name="Note 3 5" xfId="10777"/>
    <cellStyle name="Note 4 5" xfId="10778"/>
    <cellStyle name="Note 7 5" xfId="10779"/>
    <cellStyle name="Percent 120 5" xfId="10780"/>
    <cellStyle name="Percent 121 5" xfId="10781"/>
    <cellStyle name="Percent 122 5" xfId="10782"/>
    <cellStyle name="Percent 123 5" xfId="10783"/>
    <cellStyle name="Percent 124 5" xfId="10784"/>
    <cellStyle name="Percent 125 5" xfId="10785"/>
    <cellStyle name="Percent 126 5" xfId="10786"/>
    <cellStyle name="Percent 127 5" xfId="10787"/>
    <cellStyle name="Percent 128 5" xfId="10788"/>
    <cellStyle name="Percent 129 5" xfId="10789"/>
    <cellStyle name="Percent 130 5" xfId="10790"/>
    <cellStyle name="Percent 159 5" xfId="10791"/>
    <cellStyle name="Percent 2 22 5" xfId="10792"/>
    <cellStyle name="Percent 25 2 6" xfId="10793"/>
    <cellStyle name="Percent 25 2 2 5" xfId="10794"/>
    <cellStyle name="Percent 25 3 6" xfId="10795"/>
    <cellStyle name="Percent 25 3 2 5" xfId="10796"/>
    <cellStyle name="Percent 25 4 2 5" xfId="10797"/>
    <cellStyle name="Percent 25 5 5" xfId="10798"/>
    <cellStyle name="Percent 26 2 6" xfId="10799"/>
    <cellStyle name="Percent 26 2 2 5" xfId="10800"/>
    <cellStyle name="Percent 26 3 6" xfId="10801"/>
    <cellStyle name="Percent 26 3 2 5" xfId="10802"/>
    <cellStyle name="Percent 26 4 2 5" xfId="10803"/>
    <cellStyle name="Percent 26 5 5" xfId="10804"/>
    <cellStyle name="Percent 27 2 6" xfId="10805"/>
    <cellStyle name="Percent 27 2 2 5" xfId="10806"/>
    <cellStyle name="Percent 27 3 6" xfId="10807"/>
    <cellStyle name="Percent 27 3 2 5" xfId="10808"/>
    <cellStyle name="Percent 27 4 2 5" xfId="10809"/>
    <cellStyle name="Percent 27 5 5" xfId="10810"/>
    <cellStyle name="Percent 28 2 6" xfId="10811"/>
    <cellStyle name="Percent 28 2 2 5" xfId="10812"/>
    <cellStyle name="Percent 28 3 6" xfId="10813"/>
    <cellStyle name="Percent 28 3 2 5" xfId="10814"/>
    <cellStyle name="Percent 28 4 2 5" xfId="10815"/>
    <cellStyle name="Percent 28 5 5" xfId="10816"/>
    <cellStyle name="Percent 29 2 6" xfId="10817"/>
    <cellStyle name="Percent 29 2 2 5" xfId="10818"/>
    <cellStyle name="Percent 29 3 6" xfId="10819"/>
    <cellStyle name="Percent 29 3 2 5" xfId="10820"/>
    <cellStyle name="Percent 29 4 2 5" xfId="10821"/>
    <cellStyle name="Percent 29 5 5" xfId="10822"/>
    <cellStyle name="Percent 3 10 5" xfId="10823"/>
    <cellStyle name="Percent 3 11 5" xfId="10824"/>
    <cellStyle name="Percent 3 12 5" xfId="10825"/>
    <cellStyle name="Percent 3 13 5" xfId="10826"/>
    <cellStyle name="Percent 3 14 5" xfId="10827"/>
    <cellStyle name="Percent 3 15 5" xfId="10828"/>
    <cellStyle name="Percent 3 16 5" xfId="10829"/>
    <cellStyle name="Percent 3 17 5" xfId="10830"/>
    <cellStyle name="Percent 3 18 5" xfId="10831"/>
    <cellStyle name="Percent 3 19 5" xfId="10832"/>
    <cellStyle name="Percent 3 2 26" xfId="10833"/>
    <cellStyle name="Percent 3 2 10 5" xfId="10834"/>
    <cellStyle name="Percent 3 2 11 5" xfId="10835"/>
    <cellStyle name="Percent 3 2 12 5" xfId="10836"/>
    <cellStyle name="Percent 3 2 13 5" xfId="10837"/>
    <cellStyle name="Percent 3 2 14 5" xfId="10838"/>
    <cellStyle name="Percent 3 2 15 5" xfId="10839"/>
    <cellStyle name="Percent 3 2 16 5" xfId="10840"/>
    <cellStyle name="Percent 3 2 17 5" xfId="10841"/>
    <cellStyle name="Percent 3 2 18 5" xfId="10842"/>
    <cellStyle name="Percent 3 2 19 5" xfId="10843"/>
    <cellStyle name="Percent 3 2 2 2 5" xfId="10844"/>
    <cellStyle name="Percent 3 2 2 3 5" xfId="10845"/>
    <cellStyle name="Percent 3 2 2 4 5" xfId="10846"/>
    <cellStyle name="Percent 3 2 2 5 5" xfId="10847"/>
    <cellStyle name="Percent 3 2 20 5" xfId="10848"/>
    <cellStyle name="Percent 3 2 21 2 5" xfId="10849"/>
    <cellStyle name="Percent 3 2 3 9" xfId="10850"/>
    <cellStyle name="Percent 3 2 3 2 5" xfId="10851"/>
    <cellStyle name="Percent 3 2 3 3 5" xfId="10852"/>
    <cellStyle name="Percent 3 2 3 4 5" xfId="10853"/>
    <cellStyle name="Percent 3 2 3 5 5" xfId="10854"/>
    <cellStyle name="Percent 3 2 4 6" xfId="10855"/>
    <cellStyle name="Percent 3 2 4 2 5" xfId="10856"/>
    <cellStyle name="Percent 3 2 5 6" xfId="10857"/>
    <cellStyle name="Percent 3 2 5 2 5" xfId="10858"/>
    <cellStyle name="Percent 3 2 6 6" xfId="10859"/>
    <cellStyle name="Percent 3 2 6 2 5" xfId="10860"/>
    <cellStyle name="Percent 3 2 7 5" xfId="10861"/>
    <cellStyle name="Percent 3 2 8 5" xfId="10862"/>
    <cellStyle name="Percent 3 2 9 5" xfId="10863"/>
    <cellStyle name="Percent 3 20 5" xfId="10864"/>
    <cellStyle name="Percent 3 21 5" xfId="10865"/>
    <cellStyle name="Percent 3 3 2 5" xfId="10866"/>
    <cellStyle name="Percent 3 3 3 5" xfId="10867"/>
    <cellStyle name="Percent 3 3 4 5" xfId="10868"/>
    <cellStyle name="Percent 3 3 5 5" xfId="10869"/>
    <cellStyle name="Percent 3 4 9" xfId="10870"/>
    <cellStyle name="Percent 3 4 2 5" xfId="10871"/>
    <cellStyle name="Percent 3 4 3 5" xfId="10872"/>
    <cellStyle name="Percent 3 4 4 5" xfId="10873"/>
    <cellStyle name="Percent 3 4 5 5" xfId="10874"/>
    <cellStyle name="Percent 3 5 6" xfId="10875"/>
    <cellStyle name="Percent 3 5 2 5" xfId="10876"/>
    <cellStyle name="Percent 3 6 6" xfId="10877"/>
    <cellStyle name="Percent 3 6 2 5" xfId="10878"/>
    <cellStyle name="Percent 3 7 6" xfId="10879"/>
    <cellStyle name="Percent 3 7 2 5" xfId="10880"/>
    <cellStyle name="Percent 3 8 5" xfId="10881"/>
    <cellStyle name="Percent 3 9 5" xfId="10882"/>
    <cellStyle name="Percent 30 2 6" xfId="10883"/>
    <cellStyle name="Percent 30 2 2 5" xfId="10884"/>
    <cellStyle name="Percent 30 3 6" xfId="10885"/>
    <cellStyle name="Percent 30 3 2 5" xfId="10886"/>
    <cellStyle name="Percent 30 4 2 5" xfId="10887"/>
    <cellStyle name="Percent 30 5 5" xfId="10888"/>
    <cellStyle name="Percent 31 2 6" xfId="10889"/>
    <cellStyle name="Percent 31 2 2 5" xfId="10890"/>
    <cellStyle name="Percent 31 3 6" xfId="10891"/>
    <cellStyle name="Percent 31 3 2 5" xfId="10892"/>
    <cellStyle name="Percent 31 4 2 5" xfId="10893"/>
    <cellStyle name="Percent 31 5 5" xfId="10894"/>
    <cellStyle name="Percent 32 2 6" xfId="10895"/>
    <cellStyle name="Percent 32 2 2 5" xfId="10896"/>
    <cellStyle name="Percent 32 3 6" xfId="10897"/>
    <cellStyle name="Percent 32 3 2 5" xfId="10898"/>
    <cellStyle name="Percent 32 4 2 5" xfId="10899"/>
    <cellStyle name="Percent 32 5 5" xfId="10900"/>
    <cellStyle name="Percent 33 2 6" xfId="10901"/>
    <cellStyle name="Percent 33 2 2 5" xfId="10902"/>
    <cellStyle name="Percent 33 3 6" xfId="10903"/>
    <cellStyle name="Percent 33 3 2 5" xfId="10904"/>
    <cellStyle name="Percent 33 4 2 5" xfId="10905"/>
    <cellStyle name="Percent 33 5 5" xfId="10906"/>
    <cellStyle name="Percent 34 2 6" xfId="10907"/>
    <cellStyle name="Percent 34 2 2 5" xfId="10908"/>
    <cellStyle name="Percent 34 3 6" xfId="10909"/>
    <cellStyle name="Percent 34 3 2 5" xfId="10910"/>
    <cellStyle name="Percent 34 4 2 5" xfId="10911"/>
    <cellStyle name="Percent 34 5 5" xfId="10912"/>
    <cellStyle name="Percent 35 2 6" xfId="10913"/>
    <cellStyle name="Percent 35 2 2 5" xfId="10914"/>
    <cellStyle name="Percent 35 3 6" xfId="10915"/>
    <cellStyle name="Percent 35 3 2 5" xfId="10916"/>
    <cellStyle name="Percent 35 4 2 5" xfId="10917"/>
    <cellStyle name="Percent 35 5 5" xfId="10918"/>
    <cellStyle name="Currency 5 4 5" xfId="10919"/>
    <cellStyle name="Comma 5 7 5" xfId="10920"/>
    <cellStyle name="Percent 5 4 5" xfId="10921"/>
    <cellStyle name="Comma 6 5 5" xfId="10922"/>
    <cellStyle name="Currency 5 2 4 5" xfId="10923"/>
    <cellStyle name="Comma 5 2 4 5" xfId="10924"/>
    <cellStyle name="Percent 5 2 4 5" xfId="10925"/>
    <cellStyle name="Comma 6 2 3 5" xfId="10926"/>
    <cellStyle name="Currency 5 3 2 5" xfId="10927"/>
    <cellStyle name="Comma 5 3 2 5" xfId="10928"/>
    <cellStyle name="Percent 5 3 2 5" xfId="10929"/>
    <cellStyle name="Comma 6 3 4 5" xfId="10930"/>
    <cellStyle name="Normal 11 2 2 5" xfId="10931"/>
    <cellStyle name="Currency 5 2 2 2 5" xfId="10932"/>
    <cellStyle name="Comma 5 2 2 2 5" xfId="10933"/>
    <cellStyle name="Percent 5 2 2 2 6" xfId="10934"/>
    <cellStyle name="Comma 6 2 2 2 5" xfId="10935"/>
    <cellStyle name="Normal 51 5" xfId="10936"/>
    <cellStyle name="Comma 187 5" xfId="10937"/>
    <cellStyle name="Percent 163 5" xfId="10938"/>
    <cellStyle name="Currency 162 5" xfId="10939"/>
    <cellStyle name="Currency 5 6 4" xfId="10940"/>
    <cellStyle name="Currency 179 4" xfId="10941"/>
    <cellStyle name="Percent 180 4" xfId="10942"/>
    <cellStyle name="Comma 204 4" xfId="10943"/>
    <cellStyle name="Normal 8 26 4" xfId="10944"/>
    <cellStyle name="Comma 5 9 4" xfId="10945"/>
    <cellStyle name="Percent 5 6 4" xfId="10946"/>
    <cellStyle name="Comma 6 7 4" xfId="10947"/>
    <cellStyle name="Normal 11 5 4" xfId="10948"/>
    <cellStyle name="Currency 5 2 6 4" xfId="10949"/>
    <cellStyle name="Normal 8 2 7 4" xfId="10950"/>
    <cellStyle name="Comma 5 2 6 4" xfId="10951"/>
    <cellStyle name="Percent 5 2 6 4" xfId="10952"/>
    <cellStyle name="Comma 6 2 5 4" xfId="10953"/>
    <cellStyle name="Currency 5 3 4 4" xfId="10954"/>
    <cellStyle name="Normal 8 3 7 4" xfId="10955"/>
    <cellStyle name="Comma 5 3 4 4" xfId="10956"/>
    <cellStyle name="Percent 5 3 4 4" xfId="10957"/>
    <cellStyle name="Comma 6 3 6 4" xfId="10958"/>
    <cellStyle name="Normal 11 2 4 4" xfId="10959"/>
    <cellStyle name="Currency 5 2 2 4 4" xfId="10960"/>
    <cellStyle name="Normal 8 2 2 3 4" xfId="10961"/>
    <cellStyle name="Comma 5 2 2 4 4" xfId="10962"/>
    <cellStyle name="Percent 5 2 2 4 4" xfId="10963"/>
    <cellStyle name="Comma 6 2 2 3 4" xfId="10964"/>
    <cellStyle name="Normal 50 2 4" xfId="10965"/>
    <cellStyle name="Comma 186 2 4" xfId="10966"/>
    <cellStyle name="Percent 162 2 4" xfId="10967"/>
    <cellStyle name="Normal 2 24 2 4" xfId="10968"/>
    <cellStyle name="20% - Accent1 2 2 4" xfId="10969"/>
    <cellStyle name="20% - Accent1 3 2 4" xfId="10970"/>
    <cellStyle name="20% - Accent1 4 2 4" xfId="10971"/>
    <cellStyle name="20% - Accent1 5 2 4" xfId="10972"/>
    <cellStyle name="20% - Accent2 2 2 4" xfId="10973"/>
    <cellStyle name="20% - Accent2 3 2 4" xfId="10974"/>
    <cellStyle name="20% - Accent2 4 2 4" xfId="10975"/>
    <cellStyle name="20% - Accent2 5 2 4" xfId="10976"/>
    <cellStyle name="20% - Accent3 2 2 4" xfId="10977"/>
    <cellStyle name="20% - Accent3 3 2 4" xfId="10978"/>
    <cellStyle name="20% - Accent3 4 2 4" xfId="10979"/>
    <cellStyle name="20% - Accent3 5 2 4" xfId="10980"/>
    <cellStyle name="20% - Accent4 2 2 4" xfId="10981"/>
    <cellStyle name="20% - Accent4 3 2 4" xfId="10982"/>
    <cellStyle name="20% - Accent4 4 2 4" xfId="10983"/>
    <cellStyle name="20% - Accent4 5 2 4" xfId="10984"/>
    <cellStyle name="20% - Accent5 2 2 4" xfId="10985"/>
    <cellStyle name="20% - Accent5 3 2 4" xfId="10986"/>
    <cellStyle name="20% - Accent5 4 2 4" xfId="10987"/>
    <cellStyle name="20% - Accent6 2 2 4" xfId="10988"/>
    <cellStyle name="20% - Accent6 3 2 4" xfId="10989"/>
    <cellStyle name="20% - Accent6 4 2 4" xfId="10990"/>
    <cellStyle name="40% - Accent1 2 2 4" xfId="10991"/>
    <cellStyle name="40% - Accent1 3 2 4" xfId="10992"/>
    <cellStyle name="40% - Accent1 4 2 4" xfId="10993"/>
    <cellStyle name="40% - Accent1 5 2 4" xfId="10994"/>
    <cellStyle name="40% - Accent2 2 2 4" xfId="10995"/>
    <cellStyle name="40% - Accent2 3 2 4" xfId="10996"/>
    <cellStyle name="40% - Accent2 4 2 4" xfId="10997"/>
    <cellStyle name="40% - Accent3 2 2 4" xfId="10998"/>
    <cellStyle name="40% - Accent3 3 2 4" xfId="10999"/>
    <cellStyle name="40% - Accent3 4 2 4" xfId="11000"/>
    <cellStyle name="40% - Accent3 5 2 4" xfId="11001"/>
    <cellStyle name="40% - Accent4 2 2 4" xfId="11002"/>
    <cellStyle name="40% - Accent4 3 2 4" xfId="11003"/>
    <cellStyle name="40% - Accent4 4 2 4" xfId="11004"/>
    <cellStyle name="40% - Accent4 5 2 4" xfId="11005"/>
    <cellStyle name="40% - Accent5 2 2 4" xfId="11006"/>
    <cellStyle name="40% - Accent5 3 2 4" xfId="11007"/>
    <cellStyle name="40% - Accent5 4 2 4" xfId="11008"/>
    <cellStyle name="40% - Accent6 2 2 4" xfId="11009"/>
    <cellStyle name="40% - Accent6 3 2 4" xfId="11010"/>
    <cellStyle name="40% - Accent6 4 2 4" xfId="11011"/>
    <cellStyle name="40% - Accent6 5 2 4" xfId="11012"/>
    <cellStyle name="Comma 143 2 4" xfId="11013"/>
    <cellStyle name="Comma 144 2 4" xfId="11014"/>
    <cellStyle name="Comma 145 2 4" xfId="11015"/>
    <cellStyle name="Comma 146 2 4" xfId="11016"/>
    <cellStyle name="Comma 147 2 4" xfId="11017"/>
    <cellStyle name="Comma 148 2 4" xfId="11018"/>
    <cellStyle name="Comma 149 2 4" xfId="11019"/>
    <cellStyle name="Comma 150 2 4" xfId="11020"/>
    <cellStyle name="Comma 151 2 4" xfId="11021"/>
    <cellStyle name="Comma 152 2 4" xfId="11022"/>
    <cellStyle name="Comma 153 2 4" xfId="11023"/>
    <cellStyle name="Comma 182 2 4" xfId="11024"/>
    <cellStyle name="Comma 2 23 2 4" xfId="11025"/>
    <cellStyle name="Comma 2 2 10 2 4" xfId="11026"/>
    <cellStyle name="Comma 2 2 11 2 4" xfId="11027"/>
    <cellStyle name="Comma 2 2 12 2 4" xfId="11028"/>
    <cellStyle name="Comma 2 2 13 2 4" xfId="11029"/>
    <cellStyle name="Comma 2 2 14 2 4" xfId="11030"/>
    <cellStyle name="Comma 2 2 15 2 4" xfId="11031"/>
    <cellStyle name="Comma 2 2 16 2 4" xfId="11032"/>
    <cellStyle name="Comma 2 2 17 2 4" xfId="11033"/>
    <cellStyle name="Comma 2 2 2 2 6 4" xfId="11034"/>
    <cellStyle name="Comma 2 2 2 2 2 2 4" xfId="11035"/>
    <cellStyle name="Comma 2 2 2 2 3 2 4" xfId="11036"/>
    <cellStyle name="Comma 2 2 2 2 4 2 4" xfId="11037"/>
    <cellStyle name="Comma 2 2 2 2 5 2 4" xfId="11038"/>
    <cellStyle name="Comma 2 2 2 3 2 4" xfId="11039"/>
    <cellStyle name="Comma 2 2 2 4 2 4" xfId="11040"/>
    <cellStyle name="Comma 2 2 2 5 2 4" xfId="11041"/>
    <cellStyle name="Comma 2 2 2 6 2 4" xfId="11042"/>
    <cellStyle name="Comma 2 2 3 6 4" xfId="11043"/>
    <cellStyle name="Comma 2 2 3 2 2 2 4" xfId="11044"/>
    <cellStyle name="Comma 2 2 3 2 3 2 4" xfId="11045"/>
    <cellStyle name="Comma 2 2 3 2 4 2 4" xfId="11046"/>
    <cellStyle name="Comma 2 2 3 2 5 2 4" xfId="11047"/>
    <cellStyle name="Comma 2 2 3 3 2 4" xfId="11048"/>
    <cellStyle name="Comma 2 2 4 2 2 4" xfId="11049"/>
    <cellStyle name="Comma 2 2 5 2 4" xfId="11050"/>
    <cellStyle name="Comma 2 2 6 2 4" xfId="11051"/>
    <cellStyle name="Comma 2 2 7 2 4" xfId="11052"/>
    <cellStyle name="Comma 2 2 8 2 4" xfId="11053"/>
    <cellStyle name="Comma 2 2 9 2 4" xfId="11054"/>
    <cellStyle name="Comma 3 10 2 4" xfId="11055"/>
    <cellStyle name="Comma 3 11 2 4" xfId="11056"/>
    <cellStyle name="Comma 3 12 2 4" xfId="11057"/>
    <cellStyle name="Comma 3 13 2 4" xfId="11058"/>
    <cellStyle name="Comma 3 14 2 4" xfId="11059"/>
    <cellStyle name="Comma 3 15 2 4" xfId="11060"/>
    <cellStyle name="Comma 3 16 2 4" xfId="11061"/>
    <cellStyle name="Comma 3 17 2 4" xfId="11062"/>
    <cellStyle name="Comma 3 18 2 4" xfId="11063"/>
    <cellStyle name="Comma 3 19 2 4" xfId="11064"/>
    <cellStyle name="Comma 3 2 2 2 4" xfId="11065"/>
    <cellStyle name="Comma 3 2 3 2 4" xfId="11066"/>
    <cellStyle name="Comma 3 2 4 2 4" xfId="11067"/>
    <cellStyle name="Comma 3 2 5 2 4" xfId="11068"/>
    <cellStyle name="Comma 3 20 2 4" xfId="11069"/>
    <cellStyle name="Comma 3 21 2 4" xfId="11070"/>
    <cellStyle name="Comma 3 3 6 4" xfId="11071"/>
    <cellStyle name="Comma 3 3 2 2 4" xfId="11072"/>
    <cellStyle name="Comma 3 3 3 2 4" xfId="11073"/>
    <cellStyle name="Comma 3 3 4 2 4" xfId="11074"/>
    <cellStyle name="Comma 3 3 5 2 4" xfId="11075"/>
    <cellStyle name="Comma 3 4 3 4" xfId="11076"/>
    <cellStyle name="Comma 3 4 2 2 4" xfId="11077"/>
    <cellStyle name="Comma 3 5 3 4" xfId="11078"/>
    <cellStyle name="Comma 3 5 2 2 4" xfId="11079"/>
    <cellStyle name="Comma 3 6 3 4" xfId="11080"/>
    <cellStyle name="Comma 3 6 2 2 4" xfId="11081"/>
    <cellStyle name="Comma 3 7 2 4" xfId="11082"/>
    <cellStyle name="Comma 3 8 2 4" xfId="11083"/>
    <cellStyle name="Comma 3 9 2 4" xfId="11084"/>
    <cellStyle name="Currency 120 2 4" xfId="11085"/>
    <cellStyle name="Currency 121 2 4" xfId="11086"/>
    <cellStyle name="Currency 122 2 4" xfId="11087"/>
    <cellStyle name="Currency 123 2 4" xfId="11088"/>
    <cellStyle name="Currency 124 2 4" xfId="11089"/>
    <cellStyle name="Currency 125 2 4" xfId="11090"/>
    <cellStyle name="Currency 126 2 4" xfId="11091"/>
    <cellStyle name="Currency 127 2 4" xfId="11092"/>
    <cellStyle name="Currency 128 2 4" xfId="11093"/>
    <cellStyle name="Currency 129 2 4" xfId="11094"/>
    <cellStyle name="Currency 130 2 4" xfId="11095"/>
    <cellStyle name="Currency 159 2 4" xfId="11096"/>
    <cellStyle name="Currency 2 27 2 4" xfId="11097"/>
    <cellStyle name="Currency 2 2 20 2 4" xfId="11098"/>
    <cellStyle name="Currency 2 2 10 2 4" xfId="11099"/>
    <cellStyle name="Currency 2 2 11 2 4" xfId="11100"/>
    <cellStyle name="Currency 2 2 12 2 4" xfId="11101"/>
    <cellStyle name="Currency 2 2 13 2 4" xfId="11102"/>
    <cellStyle name="Currency 2 2 14 2 4" xfId="11103"/>
    <cellStyle name="Currency 2 2 15 2 4" xfId="11104"/>
    <cellStyle name="Currency 2 2 16 2 4" xfId="11105"/>
    <cellStyle name="Currency 2 2 17 2 4" xfId="11106"/>
    <cellStyle name="Currency 2 2 18 2 4" xfId="11107"/>
    <cellStyle name="Currency 2 2 2 2 2 4" xfId="11108"/>
    <cellStyle name="Currency 2 2 2 3 2 4" xfId="11109"/>
    <cellStyle name="Currency 2 2 2 4 2 4" xfId="11110"/>
    <cellStyle name="Currency 2 2 2 5 2 4" xfId="11111"/>
    <cellStyle name="Currency 2 2 3 6 4" xfId="11112"/>
    <cellStyle name="Currency 2 2 3 2 2 4" xfId="11113"/>
    <cellStyle name="Currency 2 2 3 3 2 4" xfId="11114"/>
    <cellStyle name="Currency 2 2 3 4 2 4" xfId="11115"/>
    <cellStyle name="Currency 2 2 3 5 2 4" xfId="11116"/>
    <cellStyle name="Currency 2 2 4 2 4" xfId="11117"/>
    <cellStyle name="Currency 2 2 5 2 4" xfId="11118"/>
    <cellStyle name="Currency 2 2 6 2 4" xfId="11119"/>
    <cellStyle name="Currency 2 2 7 2 4" xfId="11120"/>
    <cellStyle name="Currency 2 2 8 2 4" xfId="11121"/>
    <cellStyle name="Currency 2 2 9 2 4" xfId="11122"/>
    <cellStyle name="Currency 3 10 2 4" xfId="11123"/>
    <cellStyle name="Currency 3 11 2 4" xfId="11124"/>
    <cellStyle name="Currency 3 12 2 4" xfId="11125"/>
    <cellStyle name="Currency 3 13 2 4" xfId="11126"/>
    <cellStyle name="Currency 3 14 2 4" xfId="11127"/>
    <cellStyle name="Currency 3 15 2 4" xfId="11128"/>
    <cellStyle name="Currency 3 16 2 4" xfId="11129"/>
    <cellStyle name="Currency 3 17 2 4" xfId="11130"/>
    <cellStyle name="Currency 3 18 2 4" xfId="11131"/>
    <cellStyle name="Currency 3 19 2 4" xfId="11132"/>
    <cellStyle name="Currency 3 2 2 2 4" xfId="11133"/>
    <cellStyle name="Currency 3 2 3 2 4" xfId="11134"/>
    <cellStyle name="Currency 3 2 4 2 4" xfId="11135"/>
    <cellStyle name="Currency 3 2 5 2 4" xfId="11136"/>
    <cellStyle name="Currency 3 20 2 4" xfId="11137"/>
    <cellStyle name="Currency 3 21 2 4" xfId="11138"/>
    <cellStyle name="Currency 3 3 8 4" xfId="11139"/>
    <cellStyle name="Currency 3 3 2 2 4" xfId="11140"/>
    <cellStyle name="Currency 3 3 3 2 4" xfId="11141"/>
    <cellStyle name="Currency 3 3 4 2 4" xfId="11142"/>
    <cellStyle name="Currency 3 3 5 2 4" xfId="11143"/>
    <cellStyle name="Currency 3 3 6 2 4" xfId="11144"/>
    <cellStyle name="Currency 3 4 3 4" xfId="11145"/>
    <cellStyle name="Currency 3 4 2 2 4" xfId="11146"/>
    <cellStyle name="Currency 3 5 3 4" xfId="11147"/>
    <cellStyle name="Currency 3 5 2 2 4" xfId="11148"/>
    <cellStyle name="Currency 3 6 3 4" xfId="11149"/>
    <cellStyle name="Currency 3 6 2 2 4" xfId="11150"/>
    <cellStyle name="Currency 3 7 2 4" xfId="11151"/>
    <cellStyle name="Currency 3 8 2 4" xfId="11152"/>
    <cellStyle name="Currency 3 9 2 4" xfId="11153"/>
    <cellStyle name="Normal 10 3 6 4" xfId="11154"/>
    <cellStyle name="Normal 10 3 2 5 4" xfId="11155"/>
    <cellStyle name="Normal 10 3 2 2 3 4" xfId="11156"/>
    <cellStyle name="Normal 10 3 2 2 2 2 4" xfId="11157"/>
    <cellStyle name="Normal 10 3 2 3 3 4" xfId="11158"/>
    <cellStyle name="Normal 10 3 2 3 2 2 4" xfId="11159"/>
    <cellStyle name="Normal 10 3 2 4 2 4" xfId="11160"/>
    <cellStyle name="Normal 10 3 3 3 4" xfId="11161"/>
    <cellStyle name="Normal 10 3 3 2 2 4" xfId="11162"/>
    <cellStyle name="Normal 10 3 4 3 4" xfId="11163"/>
    <cellStyle name="Normal 10 3 4 2 2 4" xfId="11164"/>
    <cellStyle name="Normal 10 3 5 2 4" xfId="11165"/>
    <cellStyle name="Normal 10 4 5 4" xfId="11166"/>
    <cellStyle name="Normal 10 4 2 3 4" xfId="11167"/>
    <cellStyle name="Normal 10 4 2 2 2 4" xfId="11168"/>
    <cellStyle name="Normal 10 4 3 3 4" xfId="11169"/>
    <cellStyle name="Normal 10 4 3 2 2 4" xfId="11170"/>
    <cellStyle name="Normal 10 4 4 2 4" xfId="11171"/>
    <cellStyle name="Normal 10 5 5 4" xfId="11172"/>
    <cellStyle name="Normal 10 5 2 3 4" xfId="11173"/>
    <cellStyle name="Normal 10 5 2 2 2 4" xfId="11174"/>
    <cellStyle name="Normal 10 5 3 3 4" xfId="11175"/>
    <cellStyle name="Normal 10 5 3 2 2 4" xfId="11176"/>
    <cellStyle name="Normal 10 5 4 2 4" xfId="11177"/>
    <cellStyle name="Normal 10 6 3 4" xfId="11178"/>
    <cellStyle name="Normal 10 6 2 2 4" xfId="11179"/>
    <cellStyle name="Normal 10 7 3 4" xfId="11180"/>
    <cellStyle name="Normal 10 7 2 2 4" xfId="11181"/>
    <cellStyle name="Normal 10 8 2 2 4" xfId="11182"/>
    <cellStyle name="Normal 10 9 2 4" xfId="11183"/>
    <cellStyle name="Normal 11 4 2 4" xfId="11184"/>
    <cellStyle name="Normal 11 3 2 4" xfId="11185"/>
    <cellStyle name="Normal 12 8 4" xfId="11186"/>
    <cellStyle name="Normal 12 2 2 5 4" xfId="11187"/>
    <cellStyle name="Normal 12 2 2 2 3 4" xfId="11188"/>
    <cellStyle name="Normal 12 2 2 2 2 2 4" xfId="11189"/>
    <cellStyle name="Normal 12 2 2 3 3 4" xfId="11190"/>
    <cellStyle name="Normal 12 2 2 3 2 2 4" xfId="11191"/>
    <cellStyle name="Normal 12 2 2 4 2 4" xfId="11192"/>
    <cellStyle name="Normal 12 2 3 3 4" xfId="11193"/>
    <cellStyle name="Normal 12 2 3 2 2 4" xfId="11194"/>
    <cellStyle name="Normal 12 2 4 3 4" xfId="11195"/>
    <cellStyle name="Normal 12 2 4 2 2 4" xfId="11196"/>
    <cellStyle name="Normal 12 2 5 2 2 4" xfId="11197"/>
    <cellStyle name="Normal 12 2 6 2 4" xfId="11198"/>
    <cellStyle name="Normal 12 3 5 4" xfId="11199"/>
    <cellStyle name="Normal 12 3 2 3 4" xfId="11200"/>
    <cellStyle name="Normal 12 3 2 2 2 4" xfId="11201"/>
    <cellStyle name="Normal 12 3 3 3 4" xfId="11202"/>
    <cellStyle name="Normal 12 3 3 2 2 4" xfId="11203"/>
    <cellStyle name="Normal 12 3 4 2 4" xfId="11204"/>
    <cellStyle name="Normal 12 4 5 4" xfId="11205"/>
    <cellStyle name="Normal 12 4 2 3 4" xfId="11206"/>
    <cellStyle name="Normal 12 4 2 2 2 4" xfId="11207"/>
    <cellStyle name="Normal 12 4 3 3 4" xfId="11208"/>
    <cellStyle name="Normal 12 4 3 2 2 4" xfId="11209"/>
    <cellStyle name="Normal 12 4 4 2 4" xfId="11210"/>
    <cellStyle name="Normal 12 5 3 4" xfId="11211"/>
    <cellStyle name="Normal 12 5 2 2 4" xfId="11212"/>
    <cellStyle name="Normal 12 6 3 4" xfId="11213"/>
    <cellStyle name="Normal 12 6 2 2 4" xfId="11214"/>
    <cellStyle name="Normal 12 7 2 4" xfId="11215"/>
    <cellStyle name="Normal 15 6 4" xfId="11216"/>
    <cellStyle name="Normal 15 3 2 4" xfId="11217"/>
    <cellStyle name="Normal 16 2 5 4" xfId="11218"/>
    <cellStyle name="Normal 16 2 2 3 4" xfId="11219"/>
    <cellStyle name="Normal 16 2 2 2 2 4" xfId="11220"/>
    <cellStyle name="Normal 16 2 3 3 4" xfId="11221"/>
    <cellStyle name="Normal 16 2 3 2 2 4" xfId="11222"/>
    <cellStyle name="Normal 16 2 4 2 4" xfId="11223"/>
    <cellStyle name="Normal 16 3 3 4" xfId="11224"/>
    <cellStyle name="Normal 16 3 2 2 4" xfId="11225"/>
    <cellStyle name="Normal 16 4 3 4" xfId="11226"/>
    <cellStyle name="Normal 16 4 2 2 4" xfId="11227"/>
    <cellStyle name="Normal 16 5 2 2 4" xfId="11228"/>
    <cellStyle name="Normal 16 6 2 4" xfId="11229"/>
    <cellStyle name="Normal 17 2 5 4" xfId="11230"/>
    <cellStyle name="Normal 17 2 2 3 4" xfId="11231"/>
    <cellStyle name="Normal 17 2 2 2 2 4" xfId="11232"/>
    <cellStyle name="Normal 17 2 3 3 4" xfId="11233"/>
    <cellStyle name="Normal 17 2 3 2 2 4" xfId="11234"/>
    <cellStyle name="Normal 17 2 4 2 4" xfId="11235"/>
    <cellStyle name="Normal 17 3 3 4" xfId="11236"/>
    <cellStyle name="Normal 17 3 2 2 4" xfId="11237"/>
    <cellStyle name="Normal 17 4 3 4" xfId="11238"/>
    <cellStyle name="Normal 17 4 2 2 4" xfId="11239"/>
    <cellStyle name="Normal 17 5 2 2 4" xfId="11240"/>
    <cellStyle name="Normal 17 6 2 4" xfId="11241"/>
    <cellStyle name="Normal 2 10 3 2 4" xfId="11242"/>
    <cellStyle name="Normal 2 11 3 2 4" xfId="11243"/>
    <cellStyle name="Normal 2 12 3 2 4" xfId="11244"/>
    <cellStyle name="Normal 2 13 3 2 4" xfId="11245"/>
    <cellStyle name="Normal 2 14 3 2 4" xfId="11246"/>
    <cellStyle name="Normal 2 15 3 2 4" xfId="11247"/>
    <cellStyle name="Normal 2 16 3 2 4" xfId="11248"/>
    <cellStyle name="Normal 2 17 3 2 4" xfId="11249"/>
    <cellStyle name="Normal 2 18 3 2 4" xfId="11250"/>
    <cellStyle name="Normal 2 19 3 2 4" xfId="11251"/>
    <cellStyle name="Normal 2 2 10 2 4" xfId="11252"/>
    <cellStyle name="Normal 2 2 11 2 4" xfId="11253"/>
    <cellStyle name="Normal 2 2 12 2 4" xfId="11254"/>
    <cellStyle name="Normal 2 2 13 2 4" xfId="11255"/>
    <cellStyle name="Normal 2 2 14 2 4" xfId="11256"/>
    <cellStyle name="Normal 2 2 15 2 4" xfId="11257"/>
    <cellStyle name="Normal 2 2 16 2 4" xfId="11258"/>
    <cellStyle name="Normal 2 2 17 2 4" xfId="11259"/>
    <cellStyle name="Normal 2 2 18 2 4" xfId="11260"/>
    <cellStyle name="Normal 2 2 19 2 4" xfId="11261"/>
    <cellStyle name="Normal 2 2 2 2 6 4" xfId="11262"/>
    <cellStyle name="Normal 2 2 2 2 2 3 4" xfId="11263"/>
    <cellStyle name="Normal 2 2 2 2 2 2 2 4" xfId="11264"/>
    <cellStyle name="Normal 2 2 2 2 3 2 4" xfId="11265"/>
    <cellStyle name="Normal 2 2 2 2 4 2 4" xfId="11266"/>
    <cellStyle name="Normal 2 2 2 2 5 2 4" xfId="11267"/>
    <cellStyle name="Normal 2 2 20 2 4" xfId="11268"/>
    <cellStyle name="Normal 2 2 21 2 4" xfId="11269"/>
    <cellStyle name="Normal 2 2 22 2 4" xfId="11270"/>
    <cellStyle name="Normal 2 2 3 9 4" xfId="11271"/>
    <cellStyle name="Normal 2 2 3 2 2 4" xfId="11272"/>
    <cellStyle name="Normal 2 2 3 3 2 4" xfId="11273"/>
    <cellStyle name="Normal 2 2 3 4 2 4" xfId="11274"/>
    <cellStyle name="Normal 2 2 3 5 2 4" xfId="11275"/>
    <cellStyle name="Normal 2 2 3 6 2 4" xfId="11276"/>
    <cellStyle name="Normal 2 2 4 5 4" xfId="11277"/>
    <cellStyle name="Normal 2 2 4 2 2 4" xfId="11278"/>
    <cellStyle name="Normal 2 2 5 4 4" xfId="11279"/>
    <cellStyle name="Normal 2 2 5 2 2 4" xfId="11280"/>
    <cellStyle name="Normal 2 2 6 2 4" xfId="11281"/>
    <cellStyle name="Normal 2 2 7 2 4" xfId="11282"/>
    <cellStyle name="Normal 2 2 8 2 4" xfId="11283"/>
    <cellStyle name="Normal 2 2 9 2 4" xfId="11284"/>
    <cellStyle name="Normal 2 20 2 4" xfId="11285"/>
    <cellStyle name="Normal 2 3 2 3 4" xfId="11286"/>
    <cellStyle name="Normal 2 3 3 2 4" xfId="11287"/>
    <cellStyle name="Normal 2 3 4 2 4" xfId="11288"/>
    <cellStyle name="Normal 2 3 5 2 4" xfId="11289"/>
    <cellStyle name="Normal 2 3 6 2 4" xfId="11290"/>
    <cellStyle name="Normal 2 4 5 2 4" xfId="11291"/>
    <cellStyle name="Normal 2 4 2 2 4" xfId="11292"/>
    <cellStyle name="Normal 2 5 3 2 4" xfId="11293"/>
    <cellStyle name="Normal 2 6 3 2 4" xfId="11294"/>
    <cellStyle name="Normal 2 7 3 2 4" xfId="11295"/>
    <cellStyle name="Normal 2 8 3 2 4" xfId="11296"/>
    <cellStyle name="Normal 2 9 3 2 4" xfId="11297"/>
    <cellStyle name="Normal 21 9 4" xfId="11298"/>
    <cellStyle name="Normal 21 2 7 4" xfId="11299"/>
    <cellStyle name="Normal 21 2 2 2 4" xfId="11300"/>
    <cellStyle name="Normal 21 2 3 2 4" xfId="11301"/>
    <cellStyle name="Normal 21 2 4 2 4" xfId="11302"/>
    <cellStyle name="Normal 21 2 5 2 4" xfId="11303"/>
    <cellStyle name="Normal 21 2 6 2 4" xfId="11304"/>
    <cellStyle name="Normal 21 3 3 4" xfId="11305"/>
    <cellStyle name="Normal 21 3 2 2 4" xfId="11306"/>
    <cellStyle name="Normal 21 4 2 4" xfId="11307"/>
    <cellStyle name="Normal 21 5 2 4" xfId="11308"/>
    <cellStyle name="Normal 21 6 2 4" xfId="11309"/>
    <cellStyle name="Normal 21 8 2 4" xfId="11310"/>
    <cellStyle name="Normal 22 8 4" xfId="11311"/>
    <cellStyle name="Normal 22 2 7 4" xfId="11312"/>
    <cellStyle name="Normal 22 2 2 2 4" xfId="11313"/>
    <cellStyle name="Normal 22 2 3 2 4" xfId="11314"/>
    <cellStyle name="Normal 22 2 4 2 4" xfId="11315"/>
    <cellStyle name="Normal 22 2 5 2 4" xfId="11316"/>
    <cellStyle name="Normal 22 3 2 4" xfId="11317"/>
    <cellStyle name="Normal 22 4 2 4" xfId="11318"/>
    <cellStyle name="Normal 22 5 2 4" xfId="11319"/>
    <cellStyle name="Normal 22 6 2 4" xfId="11320"/>
    <cellStyle name="Normal 23 8 4" xfId="11321"/>
    <cellStyle name="Normal 23 2 6 4" xfId="11322"/>
    <cellStyle name="Normal 23 2 2 2 4" xfId="11323"/>
    <cellStyle name="Normal 23 2 3 2 4" xfId="11324"/>
    <cellStyle name="Normal 23 2 4 2 4" xfId="11325"/>
    <cellStyle name="Normal 23 2 5 2 4" xfId="11326"/>
    <cellStyle name="Normal 23 3 2 4" xfId="11327"/>
    <cellStyle name="Normal 23 4 2 4" xfId="11328"/>
    <cellStyle name="Normal 23 5 2 4" xfId="11329"/>
    <cellStyle name="Normal 23 6 2 4" xfId="11330"/>
    <cellStyle name="Normal 24 8 4" xfId="11331"/>
    <cellStyle name="Normal 24 2 6 4" xfId="11332"/>
    <cellStyle name="Normal 24 2 2 2 4" xfId="11333"/>
    <cellStyle name="Normal 24 2 3 2 4" xfId="11334"/>
    <cellStyle name="Normal 24 2 4 2 4" xfId="11335"/>
    <cellStyle name="Normal 24 2 5 2 4" xfId="11336"/>
    <cellStyle name="Normal 24 3 2 4" xfId="11337"/>
    <cellStyle name="Normal 24 4 2 4" xfId="11338"/>
    <cellStyle name="Normal 24 5 2 4" xfId="11339"/>
    <cellStyle name="Normal 24 6 2 4" xfId="11340"/>
    <cellStyle name="Normal 26 8 4" xfId="11341"/>
    <cellStyle name="Normal 26 2 6 4" xfId="11342"/>
    <cellStyle name="Normal 26 2 2 2 4" xfId="11343"/>
    <cellStyle name="Normal 26 2 3 2 4" xfId="11344"/>
    <cellStyle name="Normal 26 2 4 2 4" xfId="11345"/>
    <cellStyle name="Normal 26 2 5 2 4" xfId="11346"/>
    <cellStyle name="Normal 26 3 2 4" xfId="11347"/>
    <cellStyle name="Normal 26 4 2 4" xfId="11348"/>
    <cellStyle name="Normal 26 5 2 4" xfId="11349"/>
    <cellStyle name="Normal 26 6 2 4" xfId="11350"/>
    <cellStyle name="Normal 3 10 2 4" xfId="11351"/>
    <cellStyle name="Normal 3 11 2 4" xfId="11352"/>
    <cellStyle name="Normal 3 12 2 4" xfId="11353"/>
    <cellStyle name="Normal 3 13 2 4" xfId="11354"/>
    <cellStyle name="Normal 3 14 2 4" xfId="11355"/>
    <cellStyle name="Normal 3 15 2 4" xfId="11356"/>
    <cellStyle name="Normal 3 16 2 4" xfId="11357"/>
    <cellStyle name="Normal 3 17 2 4" xfId="11358"/>
    <cellStyle name="Normal 3 18 2 4" xfId="11359"/>
    <cellStyle name="Normal 3 19 2 4" xfId="11360"/>
    <cellStyle name="Normal 3 2 2 2 4" xfId="11361"/>
    <cellStyle name="Normal 3 2 3 2 4" xfId="11362"/>
    <cellStyle name="Normal 3 2 4 2 4" xfId="11363"/>
    <cellStyle name="Normal 3 2 5 2 4" xfId="11364"/>
    <cellStyle name="Normal 3 2 6 2 4" xfId="11365"/>
    <cellStyle name="Normal 3 20 2 4" xfId="11366"/>
    <cellStyle name="Normal 3 21 2 4" xfId="11367"/>
    <cellStyle name="Normal 3 22 2 4" xfId="11368"/>
    <cellStyle name="Normal 3 23 2 4" xfId="11369"/>
    <cellStyle name="Normal 3 24 2 4" xfId="11370"/>
    <cellStyle name="Normal 3 3 5 4" xfId="11371"/>
    <cellStyle name="Normal 3 3 2 2 4" xfId="11372"/>
    <cellStyle name="Normal 3 3 3 2 4" xfId="11373"/>
    <cellStyle name="Normal 3 4 3 4" xfId="11374"/>
    <cellStyle name="Normal 3 4 2 2 4" xfId="11375"/>
    <cellStyle name="Normal 3 5 3 4" xfId="11376"/>
    <cellStyle name="Normal 3 5 2 2 4" xfId="11377"/>
    <cellStyle name="Normal 3 6 2 4" xfId="11378"/>
    <cellStyle name="Normal 3 7 2 4" xfId="11379"/>
    <cellStyle name="Normal 3 8 2 4" xfId="11380"/>
    <cellStyle name="Normal 3 9 2 4" xfId="11381"/>
    <cellStyle name="Normal 4 2 10 2 4" xfId="11382"/>
    <cellStyle name="Normal 4 2 11 2 4" xfId="11383"/>
    <cellStyle name="Normal 4 2 12 2 4" xfId="11384"/>
    <cellStyle name="Normal 4 2 13 2 4" xfId="11385"/>
    <cellStyle name="Normal 4 2 14 2 4" xfId="11386"/>
    <cellStyle name="Normal 4 2 15 2 4" xfId="11387"/>
    <cellStyle name="Normal 4 2 16 2 4" xfId="11388"/>
    <cellStyle name="Normal 4 2 17 2 4" xfId="11389"/>
    <cellStyle name="Normal 4 2 18 2 4" xfId="11390"/>
    <cellStyle name="Normal 4 2 19 2 4" xfId="11391"/>
    <cellStyle name="Normal 4 2 2 6 4" xfId="11392"/>
    <cellStyle name="Normal 4 2 2 2 2 4" xfId="11393"/>
    <cellStyle name="Normal 4 2 2 3 2 4" xfId="11394"/>
    <cellStyle name="Normal 4 2 2 4 2 4" xfId="11395"/>
    <cellStyle name="Normal 4 2 2 5 2 4" xfId="11396"/>
    <cellStyle name="Normal 4 2 20 2 4" xfId="11397"/>
    <cellStyle name="Normal 4 2 21 2 4" xfId="11398"/>
    <cellStyle name="Normal 4 2 22 2 4" xfId="11399"/>
    <cellStyle name="Normal 4 2 23 2 4" xfId="11400"/>
    <cellStyle name="Normal 4 2 24 2 4" xfId="11401"/>
    <cellStyle name="Normal 4 2 3 3 4" xfId="11402"/>
    <cellStyle name="Normal 4 2 3 2 2 4" xfId="11403"/>
    <cellStyle name="Normal 4 2 4 3 4" xfId="11404"/>
    <cellStyle name="Normal 4 2 4 2 2 4" xfId="11405"/>
    <cellStyle name="Normal 4 2 5 3 4" xfId="11406"/>
    <cellStyle name="Normal 4 2 5 2 2 4" xfId="11407"/>
    <cellStyle name="Normal 4 2 6 2 4" xfId="11408"/>
    <cellStyle name="Normal 4 2 7 2 4" xfId="11409"/>
    <cellStyle name="Normal 4 2 8 2 4" xfId="11410"/>
    <cellStyle name="Normal 4 2 9 2 4" xfId="11411"/>
    <cellStyle name="Normal 4 3 7 4" xfId="11412"/>
    <cellStyle name="Normal 4 3 2 6 4" xfId="11413"/>
    <cellStyle name="Normal 4 3 2 2 5 4" xfId="11414"/>
    <cellStyle name="Normal 4 3 2 2 2 3 4" xfId="11415"/>
    <cellStyle name="Normal 4 3 2 2 2 2 2 4" xfId="11416"/>
    <cellStyle name="Normal 4 3 2 2 3 3 4" xfId="11417"/>
    <cellStyle name="Normal 4 3 2 2 3 2 2 4" xfId="11418"/>
    <cellStyle name="Normal 4 3 2 2 4 2 4" xfId="11419"/>
    <cellStyle name="Normal 4 3 2 3 3 4" xfId="11420"/>
    <cellStyle name="Normal 4 3 2 3 2 2 4" xfId="11421"/>
    <cellStyle name="Normal 4 3 2 4 3 4" xfId="11422"/>
    <cellStyle name="Normal 4 3 2 4 2 2 4" xfId="11423"/>
    <cellStyle name="Normal 4 3 2 5 2 4" xfId="11424"/>
    <cellStyle name="Normal 4 3 3 5 4" xfId="11425"/>
    <cellStyle name="Normal 4 3 3 2 3 4" xfId="11426"/>
    <cellStyle name="Normal 4 3 3 2 2 2 4" xfId="11427"/>
    <cellStyle name="Normal 4 3 3 3 3 4" xfId="11428"/>
    <cellStyle name="Normal 4 3 3 3 2 2 4" xfId="11429"/>
    <cellStyle name="Normal 4 3 3 4 2 4" xfId="11430"/>
    <cellStyle name="Normal 4 3 4 3 4" xfId="11431"/>
    <cellStyle name="Normal 4 3 4 2 2 4" xfId="11432"/>
    <cellStyle name="Normal 4 3 5 3 4" xfId="11433"/>
    <cellStyle name="Normal 4 3 5 2 2 4" xfId="11434"/>
    <cellStyle name="Normal 4 3 6 2 4" xfId="11435"/>
    <cellStyle name="Normal 4 4 4 4" xfId="11436"/>
    <cellStyle name="Normal 4 4 2 2 4" xfId="11437"/>
    <cellStyle name="Normal 4 5 2 4" xfId="11438"/>
    <cellStyle name="Normal 4 6 2 4" xfId="11439"/>
    <cellStyle name="Normal 4 7 2 4" xfId="11440"/>
    <cellStyle name="Normal 4 8 2 4" xfId="11441"/>
    <cellStyle name="Normal 41 2 2 4" xfId="11442"/>
    <cellStyle name="Normal 46 2 4" xfId="11443"/>
    <cellStyle name="Normal 5 28 2 4" xfId="11444"/>
    <cellStyle name="Normal 5 2 7 4" xfId="11445"/>
    <cellStyle name="Normal 5 2 2 2 2 2 4" xfId="11446"/>
    <cellStyle name="Normal 5 2 2 3 2 4" xfId="11447"/>
    <cellStyle name="Normal 5 2 3 2 2 2 4" xfId="11448"/>
    <cellStyle name="Normal 5 2 3 3 2 4" xfId="11449"/>
    <cellStyle name="Normal 5 2 4 2 2 4" xfId="11450"/>
    <cellStyle name="Normal 5 2 6 2 4" xfId="11451"/>
    <cellStyle name="Normal 5 24 2 4" xfId="11452"/>
    <cellStyle name="Normal 5 3 3 4" xfId="11453"/>
    <cellStyle name="Normal 5 4 3 4" xfId="11454"/>
    <cellStyle name="Normal 5 5 3 4" xfId="11455"/>
    <cellStyle name="Normal 5 6 3 4" xfId="11456"/>
    <cellStyle name="Normal 5 7 3 4" xfId="11457"/>
    <cellStyle name="Normal 7 25 2 4" xfId="11458"/>
    <cellStyle name="Normal 7 10 2 4" xfId="11459"/>
    <cellStyle name="Normal 7 11 2 4" xfId="11460"/>
    <cellStyle name="Normal 7 12 2 4" xfId="11461"/>
    <cellStyle name="Normal 7 13 2 4" xfId="11462"/>
    <cellStyle name="Normal 7 14 2 4" xfId="11463"/>
    <cellStyle name="Normal 7 15 2 4" xfId="11464"/>
    <cellStyle name="Normal 7 16 2 4" xfId="11465"/>
    <cellStyle name="Normal 7 17 2 4" xfId="11466"/>
    <cellStyle name="Normal 7 18 2 4" xfId="11467"/>
    <cellStyle name="Normal 7 19 2 4" xfId="11468"/>
    <cellStyle name="Normal 7 2 6 4" xfId="11469"/>
    <cellStyle name="Normal 7 2 2 2 4" xfId="11470"/>
    <cellStyle name="Normal 7 2 3 2 4" xfId="11471"/>
    <cellStyle name="Normal 7 2 4 2 4" xfId="11472"/>
    <cellStyle name="Normal 7 2 5 2 4" xfId="11473"/>
    <cellStyle name="Normal 7 20 2 4" xfId="11474"/>
    <cellStyle name="Normal 7 22 2 4" xfId="11475"/>
    <cellStyle name="Normal 7 3 6 4" xfId="11476"/>
    <cellStyle name="Normal 7 3 2 2 4" xfId="11477"/>
    <cellStyle name="Normal 7 3 3 2 4" xfId="11478"/>
    <cellStyle name="Normal 7 3 4 2 4" xfId="11479"/>
    <cellStyle name="Normal 7 3 5 2 4" xfId="11480"/>
    <cellStyle name="Normal 7 4 2 4" xfId="11481"/>
    <cellStyle name="Normal 7 5 2 4" xfId="11482"/>
    <cellStyle name="Normal 7 6 2 4" xfId="11483"/>
    <cellStyle name="Normal 7 7 2 4" xfId="11484"/>
    <cellStyle name="Normal 7 8 2 4" xfId="11485"/>
    <cellStyle name="Normal 7 9 2 4" xfId="11486"/>
    <cellStyle name="Normal 8 25 2 4" xfId="11487"/>
    <cellStyle name="Normal 8 10 2 4" xfId="11488"/>
    <cellStyle name="Normal 8 11 2 4" xfId="11489"/>
    <cellStyle name="Normal 8 12 2 4" xfId="11490"/>
    <cellStyle name="Normal 8 13 2 4" xfId="11491"/>
    <cellStyle name="Normal 8 14 2 4" xfId="11492"/>
    <cellStyle name="Normal 8 15 2 4" xfId="11493"/>
    <cellStyle name="Normal 8 16 2 4" xfId="11494"/>
    <cellStyle name="Normal 8 17 2 4" xfId="11495"/>
    <cellStyle name="Normal 8 18 2 4" xfId="11496"/>
    <cellStyle name="Normal 8 19 2 4" xfId="11497"/>
    <cellStyle name="Normal 8 2 6 2 4" xfId="11498"/>
    <cellStyle name="Normal 8 2 2 2 2 4" xfId="11499"/>
    <cellStyle name="Normal 8 2 3 2 4" xfId="11500"/>
    <cellStyle name="Normal 8 2 4 2 4" xfId="11501"/>
    <cellStyle name="Normal 8 2 5 2 4" xfId="11502"/>
    <cellStyle name="Normal 8 20 2 4" xfId="11503"/>
    <cellStyle name="Normal 8 22 2 4" xfId="11504"/>
    <cellStyle name="Normal 8 3 6 2 4" xfId="11505"/>
    <cellStyle name="Normal 8 3 2 2 4" xfId="11506"/>
    <cellStyle name="Normal 8 3 3 2 4" xfId="11507"/>
    <cellStyle name="Normal 8 3 4 2 4" xfId="11508"/>
    <cellStyle name="Normal 8 3 5 2 4" xfId="11509"/>
    <cellStyle name="Normal 8 4 2 4" xfId="11510"/>
    <cellStyle name="Normal 8 5 2 4" xfId="11511"/>
    <cellStyle name="Normal 8 6 2 4" xfId="11512"/>
    <cellStyle name="Normal 8 7 2 4" xfId="11513"/>
    <cellStyle name="Normal 8 8 2 4" xfId="11514"/>
    <cellStyle name="Normal 8 9 2 4" xfId="11515"/>
    <cellStyle name="Normal 9 25 2 4" xfId="11516"/>
    <cellStyle name="Normal 9 10 2 4" xfId="11517"/>
    <cellStyle name="Normal 9 11 2 4" xfId="11518"/>
    <cellStyle name="Normal 9 12 2 4" xfId="11519"/>
    <cellStyle name="Normal 9 13 2 4" xfId="11520"/>
    <cellStyle name="Normal 9 14 2 4" xfId="11521"/>
    <cellStyle name="Normal 9 15 2 4" xfId="11522"/>
    <cellStyle name="Normal 9 16 2 4" xfId="11523"/>
    <cellStyle name="Normal 9 17 2 4" xfId="11524"/>
    <cellStyle name="Normal 9 18 2 4" xfId="11525"/>
    <cellStyle name="Normal 9 19 2 4" xfId="11526"/>
    <cellStyle name="Normal 9 2 6 4" xfId="11527"/>
    <cellStyle name="Normal 9 2 2 2 4" xfId="11528"/>
    <cellStyle name="Normal 9 2 3 2 4" xfId="11529"/>
    <cellStyle name="Normal 9 2 4 2 4" xfId="11530"/>
    <cellStyle name="Normal 9 2 5 2 4" xfId="11531"/>
    <cellStyle name="Normal 9 20 2 4" xfId="11532"/>
    <cellStyle name="Normal 9 22 2 4" xfId="11533"/>
    <cellStyle name="Normal 9 3 6 4" xfId="11534"/>
    <cellStyle name="Normal 9 3 2 2 4" xfId="11535"/>
    <cellStyle name="Normal 9 3 3 2 4" xfId="11536"/>
    <cellStyle name="Normal 9 3 4 2 4" xfId="11537"/>
    <cellStyle name="Normal 9 3 5 2 4" xfId="11538"/>
    <cellStyle name="Normal 9 4 2 4" xfId="11539"/>
    <cellStyle name="Normal 9 5 2 4" xfId="11540"/>
    <cellStyle name="Normal 9 6 2 4" xfId="11541"/>
    <cellStyle name="Normal 9 7 2 4" xfId="11542"/>
    <cellStyle name="Normal 9 8 2 4" xfId="11543"/>
    <cellStyle name="Normal 9 9 2 4" xfId="11544"/>
    <cellStyle name="Note 2 2 4" xfId="11545"/>
    <cellStyle name="Note 3 2 4" xfId="11546"/>
    <cellStyle name="Note 4 2 4" xfId="11547"/>
    <cellStyle name="Note 7 2 4" xfId="11548"/>
    <cellStyle name="Percent 120 2 4" xfId="11549"/>
    <cellStyle name="Percent 121 2 4" xfId="11550"/>
    <cellStyle name="Percent 122 2 4" xfId="11551"/>
    <cellStyle name="Percent 123 2 4" xfId="11552"/>
    <cellStyle name="Percent 124 2 4" xfId="11553"/>
    <cellStyle name="Percent 125 2 4" xfId="11554"/>
    <cellStyle name="Percent 126 2 4" xfId="11555"/>
    <cellStyle name="Percent 127 2 4" xfId="11556"/>
    <cellStyle name="Percent 128 2 4" xfId="11557"/>
    <cellStyle name="Percent 129 2 4" xfId="11558"/>
    <cellStyle name="Percent 130 2 4" xfId="11559"/>
    <cellStyle name="Percent 159 2 4" xfId="11560"/>
    <cellStyle name="Percent 2 22 2 4" xfId="11561"/>
    <cellStyle name="Percent 25 2 3 4" xfId="11562"/>
    <cellStyle name="Percent 25 2 2 2 4" xfId="11563"/>
    <cellStyle name="Percent 25 3 3 4" xfId="11564"/>
    <cellStyle name="Percent 25 3 2 2 4" xfId="11565"/>
    <cellStyle name="Percent 25 4 2 2 4" xfId="11566"/>
    <cellStyle name="Percent 25 5 2 4" xfId="11567"/>
    <cellStyle name="Percent 26 2 3 4" xfId="11568"/>
    <cellStyle name="Percent 26 2 2 2 4" xfId="11569"/>
    <cellStyle name="Percent 26 3 3 4" xfId="11570"/>
    <cellStyle name="Percent 26 3 2 2 4" xfId="11571"/>
    <cellStyle name="Percent 26 4 2 2 4" xfId="11572"/>
    <cellStyle name="Percent 26 5 2 4" xfId="11573"/>
    <cellStyle name="Percent 27 2 3 4" xfId="11574"/>
    <cellStyle name="Percent 27 2 2 2 4" xfId="11575"/>
    <cellStyle name="Percent 27 3 3 4" xfId="11576"/>
    <cellStyle name="Percent 27 3 2 2 4" xfId="11577"/>
    <cellStyle name="Percent 27 4 2 2 4" xfId="11578"/>
    <cellStyle name="Percent 27 5 2 4" xfId="11579"/>
    <cellStyle name="Percent 28 2 3 4" xfId="11580"/>
    <cellStyle name="Percent 28 2 2 2 4" xfId="11581"/>
    <cellStyle name="Percent 28 3 3 4" xfId="11582"/>
    <cellStyle name="Percent 28 3 2 2 4" xfId="11583"/>
    <cellStyle name="Percent 28 4 2 2 4" xfId="11584"/>
    <cellStyle name="Percent 28 5 2 4" xfId="11585"/>
    <cellStyle name="Percent 29 2 3 4" xfId="11586"/>
    <cellStyle name="Percent 29 2 2 2 4" xfId="11587"/>
    <cellStyle name="Percent 29 3 3 4" xfId="11588"/>
    <cellStyle name="Percent 29 3 2 2 4" xfId="11589"/>
    <cellStyle name="Percent 29 4 2 2 4" xfId="11590"/>
    <cellStyle name="Percent 29 5 2 4" xfId="11591"/>
    <cellStyle name="Percent 3 10 2 4" xfId="11592"/>
    <cellStyle name="Percent 3 11 2 4" xfId="11593"/>
    <cellStyle name="Percent 3 12 2 4" xfId="11594"/>
    <cellStyle name="Percent 3 13 2 4" xfId="11595"/>
    <cellStyle name="Percent 3 14 2 4" xfId="11596"/>
    <cellStyle name="Percent 3 15 2 4" xfId="11597"/>
    <cellStyle name="Percent 3 16 2 4" xfId="11598"/>
    <cellStyle name="Percent 3 17 2 4" xfId="11599"/>
    <cellStyle name="Percent 3 18 2 4" xfId="11600"/>
    <cellStyle name="Percent 3 19 2 4" xfId="11601"/>
    <cellStyle name="Percent 3 2 23 4" xfId="11602"/>
    <cellStyle name="Percent 3 2 10 2 4" xfId="11603"/>
    <cellStyle name="Percent 3 2 11 2 4" xfId="11604"/>
    <cellStyle name="Percent 3 2 12 2 4" xfId="11605"/>
    <cellStyle name="Percent 3 2 13 2 4" xfId="11606"/>
    <cellStyle name="Percent 3 2 14 2 4" xfId="11607"/>
    <cellStyle name="Percent 3 2 15 2 4" xfId="11608"/>
    <cellStyle name="Percent 3 2 16 2 4" xfId="11609"/>
    <cellStyle name="Percent 3 2 17 2 4" xfId="11610"/>
    <cellStyle name="Percent 3 2 18 2 4" xfId="11611"/>
    <cellStyle name="Percent 3 2 19 2 4" xfId="11612"/>
    <cellStyle name="Percent 3 2 2 2 2 4" xfId="11613"/>
    <cellStyle name="Percent 3 2 2 3 2 4" xfId="11614"/>
    <cellStyle name="Percent 3 2 2 4 2 4" xfId="11615"/>
    <cellStyle name="Percent 3 2 2 5 2 4" xfId="11616"/>
    <cellStyle name="Percent 3 2 20 2 4" xfId="11617"/>
    <cellStyle name="Percent 3 2 21 2 2 4" xfId="11618"/>
    <cellStyle name="Percent 3 2 3 6 4" xfId="11619"/>
    <cellStyle name="Percent 3 2 3 2 2 4" xfId="11620"/>
    <cellStyle name="Percent 3 2 3 3 2 4" xfId="11621"/>
    <cellStyle name="Percent 3 2 3 4 2 4" xfId="11622"/>
    <cellStyle name="Percent 3 2 3 5 2 4" xfId="11623"/>
    <cellStyle name="Percent 3 2 4 3 4" xfId="11624"/>
    <cellStyle name="Percent 3 2 4 2 2 4" xfId="11625"/>
    <cellStyle name="Percent 3 2 5 3 4" xfId="11626"/>
    <cellStyle name="Percent 3 2 5 2 2 4" xfId="11627"/>
    <cellStyle name="Percent 3 2 6 3 4" xfId="11628"/>
    <cellStyle name="Percent 3 2 6 2 2 4" xfId="11629"/>
    <cellStyle name="Percent 3 2 7 2 4" xfId="11630"/>
    <cellStyle name="Percent 3 2 8 2 4" xfId="11631"/>
    <cellStyle name="Percent 3 2 9 2 4" xfId="11632"/>
    <cellStyle name="Percent 3 20 2 4" xfId="11633"/>
    <cellStyle name="Percent 3 21 2 4" xfId="11634"/>
    <cellStyle name="Percent 3 3 2 2 4" xfId="11635"/>
    <cellStyle name="Percent 3 3 3 2 4" xfId="11636"/>
    <cellStyle name="Percent 3 3 4 2 4" xfId="11637"/>
    <cellStyle name="Percent 3 3 5 2 4" xfId="11638"/>
    <cellStyle name="Percent 3 4 6 4" xfId="11639"/>
    <cellStyle name="Percent 3 4 2 2 4" xfId="11640"/>
    <cellStyle name="Percent 3 4 3 2 4" xfId="11641"/>
    <cellStyle name="Percent 3 4 4 2 4" xfId="11642"/>
    <cellStyle name="Percent 3 4 5 2 4" xfId="11643"/>
    <cellStyle name="Percent 3 5 3 4" xfId="11644"/>
    <cellStyle name="Percent 3 5 2 2 4" xfId="11645"/>
    <cellStyle name="Percent 3 6 3 4" xfId="11646"/>
    <cellStyle name="Percent 3 6 2 2 4" xfId="11647"/>
    <cellStyle name="Percent 3 7 3 4" xfId="11648"/>
    <cellStyle name="Percent 3 7 2 2 4" xfId="11649"/>
    <cellStyle name="Percent 3 8 2 4" xfId="11650"/>
    <cellStyle name="Percent 3 9 2 4" xfId="11651"/>
    <cellStyle name="Percent 30 2 3 4" xfId="11652"/>
    <cellStyle name="Percent 30 2 2 2 4" xfId="11653"/>
    <cellStyle name="Percent 30 3 3 4" xfId="11654"/>
    <cellStyle name="Percent 30 3 2 2 4" xfId="11655"/>
    <cellStyle name="Percent 30 4 2 2 4" xfId="11656"/>
    <cellStyle name="Percent 30 5 2 4" xfId="11657"/>
    <cellStyle name="Percent 31 2 3 4" xfId="11658"/>
    <cellStyle name="Percent 31 2 2 2 4" xfId="11659"/>
    <cellStyle name="Percent 31 3 3 4" xfId="11660"/>
    <cellStyle name="Percent 31 3 2 2 4" xfId="11661"/>
    <cellStyle name="Percent 31 4 2 2 4" xfId="11662"/>
    <cellStyle name="Percent 31 5 2 4" xfId="11663"/>
    <cellStyle name="Percent 32 2 3 4" xfId="11664"/>
    <cellStyle name="Percent 32 2 2 2 4" xfId="11665"/>
    <cellStyle name="Percent 32 3 3 4" xfId="11666"/>
    <cellStyle name="Percent 32 3 2 2 4" xfId="11667"/>
    <cellStyle name="Percent 32 4 2 2 4" xfId="11668"/>
    <cellStyle name="Percent 32 5 2 4" xfId="11669"/>
    <cellStyle name="Percent 33 2 3 4" xfId="11670"/>
    <cellStyle name="Percent 33 2 2 2 4" xfId="11671"/>
    <cellStyle name="Percent 33 3 3 4" xfId="11672"/>
    <cellStyle name="Percent 33 3 2 2 4" xfId="11673"/>
    <cellStyle name="Percent 33 4 2 2 4" xfId="11674"/>
    <cellStyle name="Percent 33 5 2 4" xfId="11675"/>
    <cellStyle name="Percent 34 2 3 4" xfId="11676"/>
    <cellStyle name="Percent 34 2 2 2 4" xfId="11677"/>
    <cellStyle name="Percent 34 3 3 4" xfId="11678"/>
    <cellStyle name="Percent 34 3 2 2 4" xfId="11679"/>
    <cellStyle name="Percent 34 4 2 2 4" xfId="11680"/>
    <cellStyle name="Percent 34 5 2 4" xfId="11681"/>
    <cellStyle name="Percent 35 2 3 4" xfId="11682"/>
    <cellStyle name="Percent 35 2 2 2 4" xfId="11683"/>
    <cellStyle name="Percent 35 3 3 4" xfId="11684"/>
    <cellStyle name="Percent 35 3 2 2 4" xfId="11685"/>
    <cellStyle name="Percent 35 4 2 2 4" xfId="11686"/>
    <cellStyle name="Percent 35 5 2 4" xfId="11687"/>
    <cellStyle name="Currency 5 4 2 4" xfId="11688"/>
    <cellStyle name="Comma 5 7 2 4" xfId="11689"/>
    <cellStyle name="Percent 5 4 2 4" xfId="11690"/>
    <cellStyle name="Comma 6 5 2 4" xfId="11691"/>
    <cellStyle name="Currency 5 2 4 2 4" xfId="11692"/>
    <cellStyle name="Comma 5 2 4 2 4" xfId="11693"/>
    <cellStyle name="Percent 5 2 4 2 4" xfId="11694"/>
    <cellStyle name="Comma 6 2 3 2 4" xfId="11695"/>
    <cellStyle name="Currency 5 3 2 2 4" xfId="11696"/>
    <cellStyle name="Comma 5 3 2 2 4" xfId="11697"/>
    <cellStyle name="Percent 5 3 2 2 4" xfId="11698"/>
    <cellStyle name="Comma 6 3 4 2 4" xfId="11699"/>
    <cellStyle name="Normal 11 2 2 2 4" xfId="11700"/>
    <cellStyle name="Currency 5 2 2 2 2 4" xfId="11701"/>
    <cellStyle name="Comma 5 2 2 2 2 4" xfId="11702"/>
    <cellStyle name="Percent 5 2 2 2 2 4" xfId="11703"/>
    <cellStyle name="Comma 6 2 2 2 2 4" xfId="11704"/>
    <cellStyle name="Normal 52 3" xfId="11705"/>
    <cellStyle name="Comma 205 3" xfId="11706"/>
    <cellStyle name="Comma 206 3" xfId="11707"/>
    <cellStyle name="Currency 5 7 3" xfId="11708"/>
    <cellStyle name="Normal 8 27 3" xfId="11709"/>
    <cellStyle name="Comma 5 10 3" xfId="11710"/>
    <cellStyle name="Percent 5 7 3" xfId="11711"/>
    <cellStyle name="Comma 6 8 3" xfId="11712"/>
    <cellStyle name="Normal 11 6 3" xfId="11713"/>
    <cellStyle name="Currency 5 2 7 3" xfId="11714"/>
    <cellStyle name="Normal 8 2 8 3" xfId="11715"/>
    <cellStyle name="Comma 5 2 7 3" xfId="11716"/>
    <cellStyle name="Percent 5 2 7 3" xfId="11717"/>
    <cellStyle name="Comma 6 2 6 3" xfId="11718"/>
    <cellStyle name="Currency 5 3 5 3" xfId="11719"/>
    <cellStyle name="Normal 8 3 8 3" xfId="11720"/>
    <cellStyle name="Comma 5 3 5 3" xfId="11721"/>
    <cellStyle name="Percent 5 3 5 3" xfId="11722"/>
    <cellStyle name="Comma 6 3 7 3" xfId="11723"/>
    <cellStyle name="Normal 11 2 5 3" xfId="11724"/>
    <cellStyle name="Currency 5 2 2 5 3" xfId="11725"/>
    <cellStyle name="Normal 8 2 2 4 3" xfId="11726"/>
    <cellStyle name="Comma 5 2 2 5 3" xfId="11727"/>
    <cellStyle name="Percent 5 2 2 5 3" xfId="11728"/>
    <cellStyle name="Comma 6 2 2 4 3" xfId="11729"/>
    <cellStyle name="Normal 50 3 3" xfId="11730"/>
    <cellStyle name="Comma 186 3 3" xfId="11731"/>
    <cellStyle name="Percent 162 3 3" xfId="11732"/>
    <cellStyle name="Normal 2 24 3 3" xfId="11733"/>
    <cellStyle name="20% - Accent1 2 3 3" xfId="11734"/>
    <cellStyle name="20% - Accent1 3 3 3" xfId="11735"/>
    <cellStyle name="20% - Accent1 4 3 3" xfId="11736"/>
    <cellStyle name="20% - Accent1 5 3 3" xfId="11737"/>
    <cellStyle name="20% - Accent2 2 3 3" xfId="11738"/>
    <cellStyle name="20% - Accent2 3 3 3" xfId="11739"/>
    <cellStyle name="20% - Accent2 4 3 3" xfId="11740"/>
    <cellStyle name="20% - Accent2 5 3 3" xfId="11741"/>
    <cellStyle name="20% - Accent3 2 3 3" xfId="11742"/>
    <cellStyle name="20% - Accent3 3 3 3" xfId="11743"/>
    <cellStyle name="20% - Accent3 4 3 3" xfId="11744"/>
    <cellStyle name="20% - Accent3 5 3 3" xfId="11745"/>
    <cellStyle name="20% - Accent4 2 3 3" xfId="11746"/>
    <cellStyle name="20% - Accent4 3 3 3" xfId="11747"/>
    <cellStyle name="20% - Accent4 4 3 3" xfId="11748"/>
    <cellStyle name="20% - Accent4 5 3 3" xfId="11749"/>
    <cellStyle name="20% - Accent5 2 3 3" xfId="11750"/>
    <cellStyle name="20% - Accent5 3 3 3" xfId="11751"/>
    <cellStyle name="20% - Accent5 4 3 3" xfId="11752"/>
    <cellStyle name="20% - Accent6 2 3 3" xfId="11753"/>
    <cellStyle name="20% - Accent6 3 3 3" xfId="11754"/>
    <cellStyle name="20% - Accent6 4 3 3" xfId="11755"/>
    <cellStyle name="40% - Accent1 2 3 3" xfId="11756"/>
    <cellStyle name="40% - Accent1 3 3 3" xfId="11757"/>
    <cellStyle name="40% - Accent1 4 3 3" xfId="11758"/>
    <cellStyle name="40% - Accent1 5 3 3" xfId="11759"/>
    <cellStyle name="40% - Accent2 2 3 3" xfId="11760"/>
    <cellStyle name="40% - Accent2 3 3 3" xfId="11761"/>
    <cellStyle name="40% - Accent2 4 3 3" xfId="11762"/>
    <cellStyle name="40% - Accent3 2 3 3" xfId="11763"/>
    <cellStyle name="40% - Accent3 3 3 3" xfId="11764"/>
    <cellStyle name="40% - Accent3 4 3 3" xfId="11765"/>
    <cellStyle name="40% - Accent3 5 3 3" xfId="11766"/>
    <cellStyle name="40% - Accent4 2 3 3" xfId="11767"/>
    <cellStyle name="40% - Accent4 3 3 3" xfId="11768"/>
    <cellStyle name="40% - Accent4 4 3 3" xfId="11769"/>
    <cellStyle name="40% - Accent4 5 3 3" xfId="11770"/>
    <cellStyle name="40% - Accent5 2 3 3" xfId="11771"/>
    <cellStyle name="40% - Accent5 3 3 3" xfId="11772"/>
    <cellStyle name="40% - Accent5 4 3 3" xfId="11773"/>
    <cellStyle name="40% - Accent6 2 3 3" xfId="11774"/>
    <cellStyle name="40% - Accent6 3 3 3" xfId="11775"/>
    <cellStyle name="40% - Accent6 4 3 3" xfId="11776"/>
    <cellStyle name="40% - Accent6 5 3 3" xfId="11777"/>
    <cellStyle name="Comma 143 3 3" xfId="11778"/>
    <cellStyle name="Comma 144 3 3" xfId="11779"/>
    <cellStyle name="Comma 145 3 3" xfId="11780"/>
    <cellStyle name="Comma 146 3 3" xfId="11781"/>
    <cellStyle name="Comma 147 3 3" xfId="11782"/>
    <cellStyle name="Comma 148 3 3" xfId="11783"/>
    <cellStyle name="Comma 149 3 3" xfId="11784"/>
    <cellStyle name="Comma 150 3 3" xfId="11785"/>
    <cellStyle name="Comma 151 3 3" xfId="11786"/>
    <cellStyle name="Comma 152 3 3" xfId="11787"/>
    <cellStyle name="Comma 153 3 3" xfId="11788"/>
    <cellStyle name="Comma 182 3 3" xfId="11789"/>
    <cellStyle name="Comma 2 23 3 3" xfId="11790"/>
    <cellStyle name="Comma 2 2 10 3 3" xfId="11791"/>
    <cellStyle name="Comma 2 2 11 3 3" xfId="11792"/>
    <cellStyle name="Comma 2 2 12 3 3" xfId="11793"/>
    <cellStyle name="Comma 2 2 13 3 3" xfId="11794"/>
    <cellStyle name="Comma 2 2 14 3 3" xfId="11795"/>
    <cellStyle name="Comma 2 2 15 3 3" xfId="11796"/>
    <cellStyle name="Comma 2 2 16 3 3" xfId="11797"/>
    <cellStyle name="Comma 2 2 17 3 3" xfId="11798"/>
    <cellStyle name="Comma 2 2 2 2 7 3" xfId="11799"/>
    <cellStyle name="Comma 2 2 2 2 2 3 3" xfId="11800"/>
    <cellStyle name="Comma 2 2 2 2 3 3 3" xfId="11801"/>
    <cellStyle name="Comma 2 2 2 2 4 3 3" xfId="11802"/>
    <cellStyle name="Comma 2 2 2 2 5 3 3" xfId="11803"/>
    <cellStyle name="Comma 2 2 2 3 3 3" xfId="11804"/>
    <cellStyle name="Comma 2 2 2 4 3 3" xfId="11805"/>
    <cellStyle name="Comma 2 2 2 5 3 3" xfId="11806"/>
    <cellStyle name="Comma 2 2 2 6 3 3" xfId="11807"/>
    <cellStyle name="Comma 2 2 3 7 3" xfId="11808"/>
    <cellStyle name="Comma 2 2 3 2 2 3 3" xfId="11809"/>
    <cellStyle name="Comma 2 2 3 2 3 3 3" xfId="11810"/>
    <cellStyle name="Comma 2 2 3 2 4 3 3" xfId="11811"/>
    <cellStyle name="Comma 2 2 3 2 5 3 3" xfId="11812"/>
    <cellStyle name="Comma 2 2 3 3 3 3" xfId="11813"/>
    <cellStyle name="Comma 2 2 4 2 3 3" xfId="11814"/>
    <cellStyle name="Comma 2 2 5 3 3" xfId="11815"/>
    <cellStyle name="Comma 2 2 6 3 3" xfId="11816"/>
    <cellStyle name="Comma 2 2 7 3 3" xfId="11817"/>
    <cellStyle name="Comma 2 2 8 3 3" xfId="11818"/>
    <cellStyle name="Comma 2 2 9 3 3" xfId="11819"/>
    <cellStyle name="Comma 3 10 3 3" xfId="11820"/>
    <cellStyle name="Comma 3 11 3 3" xfId="11821"/>
    <cellStyle name="Comma 3 12 3 3" xfId="11822"/>
    <cellStyle name="Comma 3 13 3 3" xfId="11823"/>
    <cellStyle name="Comma 3 14 3 3" xfId="11824"/>
    <cellStyle name="Comma 3 15 3 3" xfId="11825"/>
    <cellStyle name="Comma 3 16 3 3" xfId="11826"/>
    <cellStyle name="Comma 3 17 3 3" xfId="11827"/>
    <cellStyle name="Comma 3 18 3 3" xfId="11828"/>
    <cellStyle name="Comma 3 19 3 3" xfId="11829"/>
    <cellStyle name="Comma 3 2 2 3 3" xfId="11830"/>
    <cellStyle name="Comma 3 2 3 3 3" xfId="11831"/>
    <cellStyle name="Comma 3 2 4 3 3" xfId="11832"/>
    <cellStyle name="Comma 3 2 5 3 3" xfId="11833"/>
    <cellStyle name="Comma 3 20 3 3" xfId="11834"/>
    <cellStyle name="Comma 3 21 3 3" xfId="11835"/>
    <cellStyle name="Comma 3 3 7 3" xfId="11836"/>
    <cellStyle name="Comma 3 3 2 3 3" xfId="11837"/>
    <cellStyle name="Comma 3 3 3 3 3" xfId="11838"/>
    <cellStyle name="Comma 3 3 4 3 3" xfId="11839"/>
    <cellStyle name="Comma 3 3 5 3 3" xfId="11840"/>
    <cellStyle name="Comma 3 4 4 3" xfId="11841"/>
    <cellStyle name="Comma 3 4 2 3 3" xfId="11842"/>
    <cellStyle name="Comma 3 5 4 3" xfId="11843"/>
    <cellStyle name="Comma 3 5 2 3 3" xfId="11844"/>
    <cellStyle name="Comma 3 6 4 3" xfId="11845"/>
    <cellStyle name="Comma 3 6 2 3 3" xfId="11846"/>
    <cellStyle name="Comma 3 7 3 3" xfId="11847"/>
    <cellStyle name="Comma 3 8 3 3" xfId="11848"/>
    <cellStyle name="Comma 3 9 3 3" xfId="11849"/>
    <cellStyle name="Currency 120 3 3" xfId="11850"/>
    <cellStyle name="Currency 121 3 3" xfId="11851"/>
    <cellStyle name="Currency 122 3 3" xfId="11852"/>
    <cellStyle name="Currency 123 3 3" xfId="11853"/>
    <cellStyle name="Currency 124 3 3" xfId="11854"/>
    <cellStyle name="Currency 125 3 3" xfId="11855"/>
    <cellStyle name="Currency 126 3 3" xfId="11856"/>
    <cellStyle name="Currency 127 3 3" xfId="11857"/>
    <cellStyle name="Currency 128 3 3" xfId="11858"/>
    <cellStyle name="Currency 129 3 3" xfId="11859"/>
    <cellStyle name="Currency 130 3 3" xfId="11860"/>
    <cellStyle name="Currency 159 3 3" xfId="11861"/>
    <cellStyle name="Currency 2 27 3 3" xfId="11862"/>
    <cellStyle name="Currency 2 2 20 3 3" xfId="11863"/>
    <cellStyle name="Currency 2 2 10 3 3" xfId="11864"/>
    <cellStyle name="Currency 2 2 11 3 3" xfId="11865"/>
    <cellStyle name="Currency 2 2 12 3 3" xfId="11866"/>
    <cellStyle name="Currency 2 2 13 3 3" xfId="11867"/>
    <cellStyle name="Currency 2 2 14 3 3" xfId="11868"/>
    <cellStyle name="Currency 2 2 15 3 3" xfId="11869"/>
    <cellStyle name="Currency 2 2 16 3 3" xfId="11870"/>
    <cellStyle name="Currency 2 2 17 3 3" xfId="11871"/>
    <cellStyle name="Currency 2 2 18 3 3" xfId="11872"/>
    <cellStyle name="Currency 2 2 2 2 3 3" xfId="11873"/>
    <cellStyle name="Currency 2 2 2 3 3 3" xfId="11874"/>
    <cellStyle name="Currency 2 2 2 4 3 3" xfId="11875"/>
    <cellStyle name="Currency 2 2 2 5 3 3" xfId="11876"/>
    <cellStyle name="Currency 2 2 3 7 3" xfId="11877"/>
    <cellStyle name="Currency 2 2 3 2 3 3" xfId="11878"/>
    <cellStyle name="Currency 2 2 3 3 3 3" xfId="11879"/>
    <cellStyle name="Currency 2 2 3 4 3 3" xfId="11880"/>
    <cellStyle name="Currency 2 2 3 5 3 3" xfId="11881"/>
    <cellStyle name="Currency 2 2 4 3 3" xfId="11882"/>
    <cellStyle name="Currency 2 2 5 3 3" xfId="11883"/>
    <cellStyle name="Currency 2 2 6 3 3" xfId="11884"/>
    <cellStyle name="Currency 2 2 7 3 3" xfId="11885"/>
    <cellStyle name="Currency 2 2 8 3 3" xfId="11886"/>
    <cellStyle name="Currency 2 2 9 3 3" xfId="11887"/>
    <cellStyle name="Currency 3 10 3 3" xfId="11888"/>
    <cellStyle name="Currency 3 11 3 3" xfId="11889"/>
    <cellStyle name="Currency 3 12 3 3" xfId="11890"/>
    <cellStyle name="Currency 3 13 3 3" xfId="11891"/>
    <cellStyle name="Currency 3 14 3 3" xfId="11892"/>
    <cellStyle name="Currency 3 15 3 3" xfId="11893"/>
    <cellStyle name="Currency 3 16 3 3" xfId="11894"/>
    <cellStyle name="Currency 3 17 3 3" xfId="11895"/>
    <cellStyle name="Currency 3 18 3 3" xfId="11896"/>
    <cellStyle name="Currency 3 19 3 3" xfId="11897"/>
    <cellStyle name="Currency 3 2 2 3 3" xfId="11898"/>
    <cellStyle name="Currency 3 2 3 3 3" xfId="11899"/>
    <cellStyle name="Currency 3 2 4 3 3" xfId="11900"/>
    <cellStyle name="Currency 3 2 5 3 3" xfId="11901"/>
    <cellStyle name="Currency 3 20 3 3" xfId="11902"/>
    <cellStyle name="Currency 3 21 3 3" xfId="11903"/>
    <cellStyle name="Currency 3 3 9 3" xfId="11904"/>
    <cellStyle name="Currency 3 3 2 3 3" xfId="11905"/>
    <cellStyle name="Currency 3 3 3 3 3" xfId="11906"/>
    <cellStyle name="Currency 3 3 4 3 3" xfId="11907"/>
    <cellStyle name="Currency 3 3 5 3 3" xfId="11908"/>
    <cellStyle name="Currency 3 3 6 3 3" xfId="11909"/>
    <cellStyle name="Currency 3 4 4 3" xfId="11910"/>
    <cellStyle name="Currency 3 4 2 3 3" xfId="11911"/>
    <cellStyle name="Currency 3 5 4 3" xfId="11912"/>
    <cellStyle name="Currency 3 5 2 3 3" xfId="11913"/>
    <cellStyle name="Currency 3 6 4 3" xfId="11914"/>
    <cellStyle name="Currency 3 6 2 3 3" xfId="11915"/>
    <cellStyle name="Currency 3 7 3 3" xfId="11916"/>
    <cellStyle name="Currency 3 8 3 3" xfId="11917"/>
    <cellStyle name="Currency 3 9 3 3" xfId="11918"/>
    <cellStyle name="Normal 10 3 7 3" xfId="11919"/>
    <cellStyle name="Normal 10 3 2 6 3" xfId="11920"/>
    <cellStyle name="Normal 10 3 2 2 4 3" xfId="11921"/>
    <cellStyle name="Normal 10 3 2 2 2 3 3" xfId="11922"/>
    <cellStyle name="Normal 10 3 2 3 4 3" xfId="11923"/>
    <cellStyle name="Normal 10 3 2 3 2 3 3" xfId="11924"/>
    <cellStyle name="Normal 10 3 2 4 3 3" xfId="11925"/>
    <cellStyle name="Normal 10 3 3 4 3" xfId="11926"/>
    <cellStyle name="Normal 10 3 3 2 3 3" xfId="11927"/>
    <cellStyle name="Normal 10 3 4 4 3" xfId="11928"/>
    <cellStyle name="Normal 10 3 4 2 3 3" xfId="11929"/>
    <cellStyle name="Normal 10 3 5 3 3" xfId="11930"/>
    <cellStyle name="Normal 10 4 6 3" xfId="11931"/>
    <cellStyle name="Normal 10 4 2 4 3" xfId="11932"/>
    <cellStyle name="Normal 10 4 2 2 3 3" xfId="11933"/>
    <cellStyle name="Normal 10 4 3 4 3" xfId="11934"/>
    <cellStyle name="Normal 10 4 3 2 3 3" xfId="11935"/>
    <cellStyle name="Normal 10 4 4 3 3" xfId="11936"/>
    <cellStyle name="Normal 10 5 6 3" xfId="11937"/>
    <cellStyle name="Normal 10 5 2 4 3" xfId="11938"/>
    <cellStyle name="Normal 10 5 2 2 3 3" xfId="11939"/>
    <cellStyle name="Normal 10 5 3 4 3" xfId="11940"/>
    <cellStyle name="Normal 10 5 3 2 3 3" xfId="11941"/>
    <cellStyle name="Normal 10 5 4 3 3" xfId="11942"/>
    <cellStyle name="Normal 10 6 4 3" xfId="11943"/>
    <cellStyle name="Normal 10 6 2 3 3" xfId="11944"/>
    <cellStyle name="Normal 10 7 4 3" xfId="11945"/>
    <cellStyle name="Normal 10 7 2 3 3" xfId="11946"/>
    <cellStyle name="Normal 10 8 2 3 3" xfId="11947"/>
    <cellStyle name="Normal 10 9 3 3" xfId="11948"/>
    <cellStyle name="Normal 11 4 3 3" xfId="11949"/>
    <cellStyle name="Normal 11 3 3 3" xfId="11950"/>
    <cellStyle name="Normal 12 9 3" xfId="11951"/>
    <cellStyle name="Normal 12 2 2 6 3" xfId="11952"/>
    <cellStyle name="Normal 12 2 2 2 4 3" xfId="11953"/>
    <cellStyle name="Normal 12 2 2 2 2 3 3" xfId="11954"/>
    <cellStyle name="Normal 12 2 2 3 4 3" xfId="11955"/>
    <cellStyle name="Normal 12 2 2 3 2 3 3" xfId="11956"/>
    <cellStyle name="Normal 12 2 2 4 3 3" xfId="11957"/>
    <cellStyle name="Normal 12 2 3 4 3" xfId="11958"/>
    <cellStyle name="Normal 12 2 3 2 3 3" xfId="11959"/>
    <cellStyle name="Normal 12 2 4 4 3" xfId="11960"/>
    <cellStyle name="Normal 12 2 4 2 3 3" xfId="11961"/>
    <cellStyle name="Normal 12 2 5 2 3 3" xfId="11962"/>
    <cellStyle name="Normal 12 2 6 3 3" xfId="11963"/>
    <cellStyle name="Normal 12 3 6 3" xfId="11964"/>
    <cellStyle name="Normal 12 3 2 4 3" xfId="11965"/>
    <cellStyle name="Normal 12 3 2 2 3 3" xfId="11966"/>
    <cellStyle name="Normal 12 3 3 4 3" xfId="11967"/>
    <cellStyle name="Normal 12 3 3 2 3 3" xfId="11968"/>
    <cellStyle name="Normal 12 3 4 3 3" xfId="11969"/>
    <cellStyle name="Normal 12 4 6 3" xfId="11970"/>
    <cellStyle name="Normal 12 4 2 4 3" xfId="11971"/>
    <cellStyle name="Normal 12 4 2 2 3 3" xfId="11972"/>
    <cellStyle name="Normal 12 4 3 4 3" xfId="11973"/>
    <cellStyle name="Normal 12 4 3 2 3 3" xfId="11974"/>
    <cellStyle name="Normal 12 4 4 3 3" xfId="11975"/>
    <cellStyle name="Normal 12 5 4 3" xfId="11976"/>
    <cellStyle name="Normal 12 5 2 3 3" xfId="11977"/>
    <cellStyle name="Normal 12 6 4 3" xfId="11978"/>
    <cellStyle name="Normal 12 6 2 3 3" xfId="11979"/>
    <cellStyle name="Normal 12 7 3 3" xfId="11980"/>
    <cellStyle name="Normal 15 7 3" xfId="11981"/>
    <cellStyle name="Normal 15 3 3 3" xfId="11982"/>
    <cellStyle name="Normal 16 2 6 3" xfId="11983"/>
    <cellStyle name="Normal 16 2 2 4 3" xfId="11984"/>
    <cellStyle name="Normal 16 2 2 2 3 3" xfId="11985"/>
    <cellStyle name="Normal 16 2 3 4 3" xfId="11986"/>
    <cellStyle name="Normal 16 2 3 2 3 3" xfId="11987"/>
    <cellStyle name="Normal 16 2 4 3 3" xfId="11988"/>
    <cellStyle name="Normal 16 3 4 3" xfId="11989"/>
    <cellStyle name="Normal 16 3 2 3 3" xfId="11990"/>
    <cellStyle name="Normal 16 4 4 3" xfId="11991"/>
    <cellStyle name="Normal 16 4 2 3 3" xfId="11992"/>
    <cellStyle name="Normal 16 5 2 3 3" xfId="11993"/>
    <cellStyle name="Normal 16 6 3 3" xfId="11994"/>
    <cellStyle name="Normal 17 2 6 3" xfId="11995"/>
    <cellStyle name="Normal 17 2 2 4 3" xfId="11996"/>
    <cellStyle name="Normal 17 2 2 2 3 3" xfId="11997"/>
    <cellStyle name="Normal 17 2 3 4 3" xfId="11998"/>
    <cellStyle name="Normal 17 2 3 2 3 3" xfId="11999"/>
    <cellStyle name="Normal 17 2 4 3 3" xfId="12000"/>
    <cellStyle name="Normal 17 3 4 3" xfId="12001"/>
    <cellStyle name="Normal 17 3 2 3 3" xfId="12002"/>
    <cellStyle name="Normal 17 4 4 3" xfId="12003"/>
    <cellStyle name="Normal 17 4 2 3 3" xfId="12004"/>
    <cellStyle name="Normal 17 5 2 3 3" xfId="12005"/>
    <cellStyle name="Normal 17 6 3 3" xfId="12006"/>
    <cellStyle name="Normal 2 10 3 3 3" xfId="12007"/>
    <cellStyle name="Normal 2 11 3 3 3" xfId="12008"/>
    <cellStyle name="Normal 2 12 3 3 3" xfId="12009"/>
    <cellStyle name="Normal 2 13 3 3 3" xfId="12010"/>
    <cellStyle name="Normal 2 14 3 3 3" xfId="12011"/>
    <cellStyle name="Normal 2 15 3 3 3" xfId="12012"/>
    <cellStyle name="Normal 2 16 3 3 3" xfId="12013"/>
    <cellStyle name="Normal 2 17 3 3 3" xfId="12014"/>
    <cellStyle name="Normal 2 18 3 3 3" xfId="12015"/>
    <cellStyle name="Normal 2 19 3 3 3" xfId="12016"/>
    <cellStyle name="Normal 2 2 10 3 3" xfId="12017"/>
    <cellStyle name="Normal 2 2 11 3 3" xfId="12018"/>
    <cellStyle name="Normal 2 2 12 3 3" xfId="12019"/>
    <cellStyle name="Normal 2 2 13 3 3" xfId="12020"/>
    <cellStyle name="Normal 2 2 14 3 3" xfId="12021"/>
    <cellStyle name="Normal 2 2 15 3 3" xfId="12022"/>
    <cellStyle name="Normal 2 2 16 3 3" xfId="12023"/>
    <cellStyle name="Normal 2 2 17 3 3" xfId="12024"/>
    <cellStyle name="Normal 2 2 18 3 3" xfId="12025"/>
    <cellStyle name="Normal 2 2 19 3 3" xfId="12026"/>
    <cellStyle name="Normal 2 2 2 2 7 3" xfId="12027"/>
    <cellStyle name="Normal 2 2 2 2 2 4 3" xfId="12028"/>
    <cellStyle name="Normal 2 2 2 2 2 2 3 3" xfId="12029"/>
    <cellStyle name="Normal 2 2 2 2 3 3 3" xfId="12030"/>
    <cellStyle name="Normal 2 2 2 2 4 3 3" xfId="12031"/>
    <cellStyle name="Normal 2 2 2 2 5 3 3" xfId="12032"/>
    <cellStyle name="Normal 2 2 20 3 3" xfId="12033"/>
    <cellStyle name="Normal 2 2 21 3 3" xfId="12034"/>
    <cellStyle name="Normal 2 2 22 3 3" xfId="12035"/>
    <cellStyle name="Normal 2 2 3 10 3" xfId="12036"/>
    <cellStyle name="Normal 2 2 3 2 3 3" xfId="12037"/>
    <cellStyle name="Normal 2 2 3 3 3 3" xfId="12038"/>
    <cellStyle name="Normal 2 2 3 4 3 3" xfId="12039"/>
    <cellStyle name="Normal 2 2 3 5 3 3" xfId="12040"/>
    <cellStyle name="Normal 2 2 3 6 3 3" xfId="12041"/>
    <cellStyle name="Normal 2 2 4 6 3" xfId="12042"/>
    <cellStyle name="Normal 2 2 4 2 3 3" xfId="12043"/>
    <cellStyle name="Normal 2 2 5 5 3" xfId="12044"/>
    <cellStyle name="Normal 2 2 5 2 3 3" xfId="12045"/>
    <cellStyle name="Normal 2 2 6 3 3" xfId="12046"/>
    <cellStyle name="Normal 2 2 7 3 3" xfId="12047"/>
    <cellStyle name="Normal 2 2 8 3 3" xfId="12048"/>
    <cellStyle name="Normal 2 2 9 3 3" xfId="12049"/>
    <cellStyle name="Normal 2 20 3 3" xfId="12050"/>
    <cellStyle name="Normal 2 3 2 4 3" xfId="12051"/>
    <cellStyle name="Normal 2 3 3 3 3" xfId="12052"/>
    <cellStyle name="Normal 2 3 4 3 3" xfId="12053"/>
    <cellStyle name="Normal 2 3 5 3 3" xfId="12054"/>
    <cellStyle name="Normal 2 3 6 3 3" xfId="12055"/>
    <cellStyle name="Normal 2 4 5 3 3" xfId="12056"/>
    <cellStyle name="Normal 2 4 2 3 3" xfId="12057"/>
    <cellStyle name="Normal 2 5 3 3 3" xfId="12058"/>
    <cellStyle name="Normal 2 6 3 3 3" xfId="12059"/>
    <cellStyle name="Normal 2 7 3 3 3" xfId="12060"/>
    <cellStyle name="Normal 2 8 3 3 3" xfId="12061"/>
    <cellStyle name="Normal 2 9 3 3 3" xfId="12062"/>
    <cellStyle name="Normal 21 10 3" xfId="12063"/>
    <cellStyle name="Normal 21 2 8 3" xfId="12064"/>
    <cellStyle name="Normal 21 2 2 3 3" xfId="12065"/>
    <cellStyle name="Normal 21 2 3 3 3" xfId="12066"/>
    <cellStyle name="Normal 21 2 4 3 3" xfId="12067"/>
    <cellStyle name="Normal 21 2 5 3 3" xfId="12068"/>
    <cellStyle name="Normal 21 2 6 3 3" xfId="12069"/>
    <cellStyle name="Normal 21 3 4 3" xfId="12070"/>
    <cellStyle name="Normal 21 3 2 3 3" xfId="12071"/>
    <cellStyle name="Normal 21 4 3 3" xfId="12072"/>
    <cellStyle name="Normal 21 5 3 3" xfId="12073"/>
    <cellStyle name="Normal 21 6 3 3" xfId="12074"/>
    <cellStyle name="Normal 21 8 3 3" xfId="12075"/>
    <cellStyle name="Normal 22 9 3" xfId="12076"/>
    <cellStyle name="Normal 22 2 8 3" xfId="12077"/>
    <cellStyle name="Normal 22 2 2 3 3" xfId="12078"/>
    <cellStyle name="Normal 22 2 3 3 3" xfId="12079"/>
    <cellStyle name="Normal 22 2 4 3 3" xfId="12080"/>
    <cellStyle name="Normal 22 2 5 3 3" xfId="12081"/>
    <cellStyle name="Normal 22 3 3 3" xfId="12082"/>
    <cellStyle name="Normal 22 4 3 3" xfId="12083"/>
    <cellStyle name="Normal 22 5 3 3" xfId="12084"/>
    <cellStyle name="Normal 22 6 3 3" xfId="12085"/>
    <cellStyle name="Normal 23 9 3" xfId="12086"/>
    <cellStyle name="Normal 23 2 7 3" xfId="12087"/>
    <cellStyle name="Normal 23 2 2 3 3" xfId="12088"/>
    <cellStyle name="Normal 23 2 3 3 3" xfId="12089"/>
    <cellStyle name="Normal 23 2 4 3 3" xfId="12090"/>
    <cellStyle name="Normal 23 2 5 3 3" xfId="12091"/>
    <cellStyle name="Normal 23 3 3 3" xfId="12092"/>
    <cellStyle name="Normal 23 4 3 3" xfId="12093"/>
    <cellStyle name="Normal 23 5 3 3" xfId="12094"/>
    <cellStyle name="Normal 23 6 3 3" xfId="12095"/>
    <cellStyle name="Normal 24 9 3" xfId="12096"/>
    <cellStyle name="Normal 24 2 7 3" xfId="12097"/>
    <cellStyle name="Normal 24 2 2 3 3" xfId="12098"/>
    <cellStyle name="Normal 24 2 3 3 3" xfId="12099"/>
    <cellStyle name="Normal 24 2 4 3 3" xfId="12100"/>
    <cellStyle name="Normal 24 2 5 3 3" xfId="12101"/>
    <cellStyle name="Normal 24 3 3 3" xfId="12102"/>
    <cellStyle name="Normal 24 4 3 3" xfId="12103"/>
    <cellStyle name="Normal 24 5 3 3" xfId="12104"/>
    <cellStyle name="Normal 24 6 3 3" xfId="12105"/>
    <cellStyle name="Normal 26 9 3" xfId="12106"/>
    <cellStyle name="Normal 26 2 7 3" xfId="12107"/>
    <cellStyle name="Normal 26 2 2 3 3" xfId="12108"/>
    <cellStyle name="Normal 26 2 3 3 3" xfId="12109"/>
    <cellStyle name="Normal 26 2 4 3 3" xfId="12110"/>
    <cellStyle name="Normal 26 2 5 3 3" xfId="12111"/>
    <cellStyle name="Normal 26 3 3 3" xfId="12112"/>
    <cellStyle name="Normal 26 4 3 3" xfId="12113"/>
    <cellStyle name="Normal 26 5 3 3" xfId="12114"/>
    <cellStyle name="Normal 26 6 3 3" xfId="12115"/>
    <cellStyle name="Normal 3 10 3 3" xfId="12116"/>
    <cellStyle name="Normal 3 11 3 3" xfId="12117"/>
    <cellStyle name="Normal 3 12 3 3" xfId="12118"/>
    <cellStyle name="Normal 3 13 3 3" xfId="12119"/>
    <cellStyle name="Normal 3 14 3 3" xfId="12120"/>
    <cellStyle name="Normal 3 15 3 3" xfId="12121"/>
    <cellStyle name="Normal 3 16 3 3" xfId="12122"/>
    <cellStyle name="Normal 3 17 3 3" xfId="12123"/>
    <cellStyle name="Normal 3 18 3 3" xfId="12124"/>
    <cellStyle name="Normal 3 19 3 3" xfId="12125"/>
    <cellStyle name="Normal 3 2 2 3 3" xfId="12126"/>
    <cellStyle name="Normal 3 2 3 3 3" xfId="12127"/>
    <cellStyle name="Normal 3 2 4 3 3" xfId="12128"/>
    <cellStyle name="Normal 3 2 5 3 3" xfId="12129"/>
    <cellStyle name="Normal 3 2 6 3 3" xfId="12130"/>
    <cellStyle name="Normal 3 20 3 3" xfId="12131"/>
    <cellStyle name="Normal 3 21 3 3" xfId="12132"/>
    <cellStyle name="Normal 3 22 3 3" xfId="12133"/>
    <cellStyle name="Normal 3 23 3 3" xfId="12134"/>
    <cellStyle name="Normal 3 24 3 3" xfId="12135"/>
    <cellStyle name="Normal 3 3 6 3" xfId="12136"/>
    <cellStyle name="Normal 3 3 2 3 3" xfId="12137"/>
    <cellStyle name="Normal 3 3 3 3 3" xfId="12138"/>
    <cellStyle name="Normal 3 4 4 3" xfId="12139"/>
    <cellStyle name="Normal 3 4 2 3 3" xfId="12140"/>
    <cellStyle name="Normal 3 5 4 3" xfId="12141"/>
    <cellStyle name="Normal 3 5 2 3 3" xfId="12142"/>
    <cellStyle name="Normal 3 6 3 3" xfId="12143"/>
    <cellStyle name="Normal 3 7 3 3" xfId="12144"/>
    <cellStyle name="Normal 3 8 3 3" xfId="12145"/>
    <cellStyle name="Normal 3 9 3 3" xfId="12146"/>
    <cellStyle name="Normal 4 2 10 3 3" xfId="12147"/>
    <cellStyle name="Normal 4 2 11 3 3" xfId="12148"/>
    <cellStyle name="Normal 4 2 12 3 3" xfId="12149"/>
    <cellStyle name="Normal 4 2 13 3 3" xfId="12150"/>
    <cellStyle name="Normal 4 2 14 3 3" xfId="12151"/>
    <cellStyle name="Normal 4 2 15 3 3" xfId="12152"/>
    <cellStyle name="Normal 4 2 16 3 3" xfId="12153"/>
    <cellStyle name="Normal 4 2 17 3 3" xfId="12154"/>
    <cellStyle name="Normal 4 2 18 3 3" xfId="12155"/>
    <cellStyle name="Normal 4 2 19 3 3" xfId="12156"/>
    <cellStyle name="Normal 4 2 2 7 3" xfId="12157"/>
    <cellStyle name="Normal 4 2 2 2 3 3" xfId="12158"/>
    <cellStyle name="Normal 4 2 2 3 3 3" xfId="12159"/>
    <cellStyle name="Normal 4 2 2 4 3 3" xfId="12160"/>
    <cellStyle name="Normal 4 2 2 5 3 3" xfId="12161"/>
    <cellStyle name="Normal 4 2 20 3 3" xfId="12162"/>
    <cellStyle name="Normal 4 2 21 3 3" xfId="12163"/>
    <cellStyle name="Normal 4 2 22 3 3" xfId="12164"/>
    <cellStyle name="Normal 4 2 23 3 3" xfId="12165"/>
    <cellStyle name="Normal 4 2 24 3 3" xfId="12166"/>
    <cellStyle name="Normal 4 2 3 4 3" xfId="12167"/>
    <cellStyle name="Normal 4 2 3 2 3 3" xfId="12168"/>
    <cellStyle name="Normal 4 2 4 4 3" xfId="12169"/>
    <cellStyle name="Normal 4 2 4 2 3 3" xfId="12170"/>
    <cellStyle name="Normal 4 2 5 4 3" xfId="12171"/>
    <cellStyle name="Normal 4 2 5 2 3 3" xfId="12172"/>
    <cellStyle name="Normal 4 2 6 3 3" xfId="12173"/>
    <cellStyle name="Normal 4 2 7 3 3" xfId="12174"/>
    <cellStyle name="Normal 4 2 8 3 3" xfId="12175"/>
    <cellStyle name="Normal 4 2 9 3 3" xfId="12176"/>
    <cellStyle name="Normal 4 3 8 3" xfId="12177"/>
    <cellStyle name="Normal 4 3 2 7 3" xfId="12178"/>
    <cellStyle name="Normal 4 3 2 2 6 3" xfId="12179"/>
    <cellStyle name="Normal 4 3 2 2 2 4 3" xfId="12180"/>
    <cellStyle name="Normal 4 3 2 2 2 2 3 3" xfId="12181"/>
    <cellStyle name="Normal 4 3 2 2 3 4 3" xfId="12182"/>
    <cellStyle name="Normal 4 3 2 2 3 2 3 3" xfId="12183"/>
    <cellStyle name="Normal 4 3 2 2 4 3 3" xfId="12184"/>
    <cellStyle name="Normal 4 3 2 3 4 3" xfId="12185"/>
    <cellStyle name="Normal 4 3 2 3 2 3 3" xfId="12186"/>
    <cellStyle name="Normal 4 3 2 4 4 3" xfId="12187"/>
    <cellStyle name="Normal 4 3 2 4 2 3 3" xfId="12188"/>
    <cellStyle name="Normal 4 3 2 5 3 3" xfId="12189"/>
    <cellStyle name="Normal 4 3 3 6 3" xfId="12190"/>
    <cellStyle name="Normal 4 3 3 2 4 3" xfId="12191"/>
    <cellStyle name="Normal 4 3 3 2 2 3 3" xfId="12192"/>
    <cellStyle name="Normal 4 3 3 3 4 3" xfId="12193"/>
    <cellStyle name="Normal 4 3 3 3 2 3 3" xfId="12194"/>
    <cellStyle name="Normal 4 3 3 4 3 3" xfId="12195"/>
    <cellStyle name="Normal 4 3 4 4 3" xfId="12196"/>
    <cellStyle name="Normal 4 3 4 2 3 3" xfId="12197"/>
    <cellStyle name="Normal 4 3 5 4 3" xfId="12198"/>
    <cellStyle name="Normal 4 3 5 2 3 3" xfId="12199"/>
    <cellStyle name="Normal 4 3 6 3 3" xfId="12200"/>
    <cellStyle name="Normal 4 4 5 3" xfId="12201"/>
    <cellStyle name="Normal 4 4 2 3 3" xfId="12202"/>
    <cellStyle name="Normal 4 5 3 3" xfId="12203"/>
    <cellStyle name="Normal 4 6 3 3" xfId="12204"/>
    <cellStyle name="Normal 4 7 3 3" xfId="12205"/>
    <cellStyle name="Normal 4 8 3 3" xfId="12206"/>
    <cellStyle name="Normal 41 2 3 3" xfId="12207"/>
    <cellStyle name="Normal 46 3 3" xfId="12208"/>
    <cellStyle name="Normal 5 28 3 3" xfId="12209"/>
    <cellStyle name="Normal 5 2 8 3" xfId="12210"/>
    <cellStyle name="Normal 5 2 2 2 2 3 3" xfId="12211"/>
    <cellStyle name="Normal 5 2 2 3 3 3" xfId="12212"/>
    <cellStyle name="Normal 5 2 3 2 2 3 3" xfId="12213"/>
    <cellStyle name="Normal 5 2 3 3 3 3" xfId="12214"/>
    <cellStyle name="Normal 5 2 4 2 3 3" xfId="12215"/>
    <cellStyle name="Normal 5 2 6 3 3" xfId="12216"/>
    <cellStyle name="Normal 5 24 3 3" xfId="12217"/>
    <cellStyle name="Normal 5 3 4 3" xfId="12218"/>
    <cellStyle name="Normal 5 4 4 3" xfId="12219"/>
    <cellStyle name="Normal 5 5 4 3" xfId="12220"/>
    <cellStyle name="Normal 5 6 4 3" xfId="12221"/>
    <cellStyle name="Normal 5 7 4 3" xfId="12222"/>
    <cellStyle name="Normal 7 25 3 3" xfId="12223"/>
    <cellStyle name="Normal 7 10 3 3" xfId="12224"/>
    <cellStyle name="Normal 7 11 3 3" xfId="12225"/>
    <cellStyle name="Normal 7 12 3 3" xfId="12226"/>
    <cellStyle name="Normal 7 13 3 3" xfId="12227"/>
    <cellStyle name="Normal 7 14 3 3" xfId="12228"/>
    <cellStyle name="Normal 7 15 3 3" xfId="12229"/>
    <cellStyle name="Normal 7 16 3 3" xfId="12230"/>
    <cellStyle name="Normal 7 17 3 3" xfId="12231"/>
    <cellStyle name="Normal 7 18 3 3" xfId="12232"/>
    <cellStyle name="Normal 7 19 3 3" xfId="12233"/>
    <cellStyle name="Normal 7 2 7 3" xfId="12234"/>
    <cellStyle name="Normal 7 2 2 3 3" xfId="12235"/>
    <cellStyle name="Normal 7 2 3 3 3" xfId="12236"/>
    <cellStyle name="Normal 7 2 4 3 3" xfId="12237"/>
    <cellStyle name="Normal 7 2 5 3 3" xfId="12238"/>
    <cellStyle name="Normal 7 20 3 3" xfId="12239"/>
    <cellStyle name="Normal 7 22 3 3" xfId="12240"/>
    <cellStyle name="Normal 7 3 7 3" xfId="12241"/>
    <cellStyle name="Normal 7 3 2 3 3" xfId="12242"/>
    <cellStyle name="Normal 7 3 3 3 3" xfId="12243"/>
    <cellStyle name="Normal 7 3 4 3 3" xfId="12244"/>
    <cellStyle name="Normal 7 3 5 3 3" xfId="12245"/>
    <cellStyle name="Normal 7 4 3 3" xfId="12246"/>
    <cellStyle name="Normal 7 5 3 3" xfId="12247"/>
    <cellStyle name="Normal 7 6 3 3" xfId="12248"/>
    <cellStyle name="Normal 7 7 3 3" xfId="12249"/>
    <cellStyle name="Normal 7 8 3 3" xfId="12250"/>
    <cellStyle name="Normal 7 9 3 3" xfId="12251"/>
    <cellStyle name="Normal 8 25 3 3" xfId="12252"/>
    <cellStyle name="Normal 8 10 3 3" xfId="12253"/>
    <cellStyle name="Normal 8 11 3 3" xfId="12254"/>
    <cellStyle name="Normal 8 12 3 3" xfId="12255"/>
    <cellStyle name="Normal 8 13 3 3" xfId="12256"/>
    <cellStyle name="Normal 8 14 3 3" xfId="12257"/>
    <cellStyle name="Normal 8 15 3 3" xfId="12258"/>
    <cellStyle name="Normal 8 16 3 3" xfId="12259"/>
    <cellStyle name="Normal 8 17 3 3" xfId="12260"/>
    <cellStyle name="Normal 8 18 3 3" xfId="12261"/>
    <cellStyle name="Normal 8 19 3 3" xfId="12262"/>
    <cellStyle name="Normal 8 2 6 3 3" xfId="12263"/>
    <cellStyle name="Normal 8 2 2 2 3 3" xfId="12264"/>
    <cellStyle name="Normal 8 2 3 3 3" xfId="12265"/>
    <cellStyle name="Normal 8 2 4 3 3" xfId="12266"/>
    <cellStyle name="Normal 8 2 5 3 3" xfId="12267"/>
    <cellStyle name="Normal 8 20 3 3" xfId="12268"/>
    <cellStyle name="Normal 8 22 3 3" xfId="12269"/>
    <cellStyle name="Normal 8 3 6 3 3" xfId="12270"/>
    <cellStyle name="Normal 8 3 2 3 3" xfId="12271"/>
    <cellStyle name="Normal 8 3 3 3 3" xfId="12272"/>
    <cellStyle name="Normal 8 3 4 3 3" xfId="12273"/>
    <cellStyle name="Normal 8 3 5 3 3" xfId="12274"/>
    <cellStyle name="Normal 8 4 3 3" xfId="12275"/>
    <cellStyle name="Normal 8 5 3 3" xfId="12276"/>
    <cellStyle name="Normal 8 6 3 3" xfId="12277"/>
    <cellStyle name="Normal 8 7 3 3" xfId="12278"/>
    <cellStyle name="Normal 8 8 3 3" xfId="12279"/>
    <cellStyle name="Normal 8 9 3 3" xfId="12280"/>
    <cellStyle name="Normal 9 25 3 3" xfId="12281"/>
    <cellStyle name="Normal 9 10 3 3" xfId="12282"/>
    <cellStyle name="Normal 9 11 3 3" xfId="12283"/>
    <cellStyle name="Normal 9 12 3 3" xfId="12284"/>
    <cellStyle name="Normal 9 13 3 3" xfId="12285"/>
    <cellStyle name="Normal 9 14 3 3" xfId="12286"/>
    <cellStyle name="Normal 9 15 3 3" xfId="12287"/>
    <cellStyle name="Normal 9 16 3 3" xfId="12288"/>
    <cellStyle name="Normal 9 17 3 3" xfId="12289"/>
    <cellStyle name="Normal 9 18 3 3" xfId="12290"/>
    <cellStyle name="Normal 9 19 3 3" xfId="12291"/>
    <cellStyle name="Normal 9 2 7 3" xfId="12292"/>
    <cellStyle name="Normal 9 2 2 3 3" xfId="12293"/>
    <cellStyle name="Normal 9 2 3 3 3" xfId="12294"/>
    <cellStyle name="Normal 9 2 4 3 3" xfId="12295"/>
    <cellStyle name="Normal 9 2 5 3 3" xfId="12296"/>
    <cellStyle name="Normal 9 20 3 3" xfId="12297"/>
    <cellStyle name="Normal 9 22 3 3" xfId="12298"/>
    <cellStyle name="Normal 9 3 7 3" xfId="12299"/>
    <cellStyle name="Normal 9 3 2 3 3" xfId="12300"/>
    <cellStyle name="Normal 9 3 3 3 3" xfId="12301"/>
    <cellStyle name="Normal 9 3 4 3 3" xfId="12302"/>
    <cellStyle name="Normal 9 3 5 3 3" xfId="12303"/>
    <cellStyle name="Normal 9 4 3 3" xfId="12304"/>
    <cellStyle name="Normal 9 5 3 3" xfId="12305"/>
    <cellStyle name="Normal 9 6 3 3" xfId="12306"/>
    <cellStyle name="Normal 9 7 3 3" xfId="12307"/>
    <cellStyle name="Normal 9 8 3 3" xfId="12308"/>
    <cellStyle name="Normal 9 9 3 3" xfId="12309"/>
    <cellStyle name="Note 2 3 3" xfId="12310"/>
    <cellStyle name="Note 3 3 3" xfId="12311"/>
    <cellStyle name="Note 4 3 3" xfId="12312"/>
    <cellStyle name="Note 7 3 3" xfId="12313"/>
    <cellStyle name="Percent 120 3 3" xfId="12314"/>
    <cellStyle name="Percent 121 3 3" xfId="12315"/>
    <cellStyle name="Percent 122 3 3" xfId="12316"/>
    <cellStyle name="Percent 123 3 3" xfId="12317"/>
    <cellStyle name="Percent 124 3 3" xfId="12318"/>
    <cellStyle name="Percent 125 3 3" xfId="12319"/>
    <cellStyle name="Percent 126 3 3" xfId="12320"/>
    <cellStyle name="Percent 127 3 3" xfId="12321"/>
    <cellStyle name="Percent 128 3 3" xfId="12322"/>
    <cellStyle name="Percent 129 3 3" xfId="12323"/>
    <cellStyle name="Percent 130 3 3" xfId="12324"/>
    <cellStyle name="Percent 159 3 3" xfId="12325"/>
    <cellStyle name="Percent 2 22 3 3" xfId="12326"/>
    <cellStyle name="Percent 25 2 4 3" xfId="12327"/>
    <cellStyle name="Percent 25 2 2 3 3" xfId="12328"/>
    <cellStyle name="Percent 25 3 4 3" xfId="12329"/>
    <cellStyle name="Percent 25 3 2 3 3" xfId="12330"/>
    <cellStyle name="Percent 25 4 2 3 3" xfId="12331"/>
    <cellStyle name="Percent 25 5 3 3" xfId="12332"/>
    <cellStyle name="Percent 26 2 4 3" xfId="12333"/>
    <cellStyle name="Percent 26 2 2 3 3" xfId="12334"/>
    <cellStyle name="Percent 26 3 4 3" xfId="12335"/>
    <cellStyle name="Percent 26 3 2 3 3" xfId="12336"/>
    <cellStyle name="Percent 26 4 2 3 3" xfId="12337"/>
    <cellStyle name="Percent 26 5 3 3" xfId="12338"/>
    <cellStyle name="Percent 27 2 4 3" xfId="12339"/>
    <cellStyle name="Percent 27 2 2 3 3" xfId="12340"/>
    <cellStyle name="Percent 27 3 4 3" xfId="12341"/>
    <cellStyle name="Percent 27 3 2 3 3" xfId="12342"/>
    <cellStyle name="Percent 27 4 2 3 3" xfId="12343"/>
    <cellStyle name="Percent 27 5 3 3" xfId="12344"/>
    <cellStyle name="Percent 28 2 4 3" xfId="12345"/>
    <cellStyle name="Percent 28 2 2 3 3" xfId="12346"/>
    <cellStyle name="Percent 28 3 4 3" xfId="12347"/>
    <cellStyle name="Percent 28 3 2 3 3" xfId="12348"/>
    <cellStyle name="Percent 28 4 2 3 3" xfId="12349"/>
    <cellStyle name="Percent 28 5 3 3" xfId="12350"/>
    <cellStyle name="Percent 29 2 4 3" xfId="12351"/>
    <cellStyle name="Percent 29 2 2 3 3" xfId="12352"/>
    <cellStyle name="Percent 29 3 4 3" xfId="12353"/>
    <cellStyle name="Percent 29 3 2 3 3" xfId="12354"/>
    <cellStyle name="Percent 29 4 2 3 3" xfId="12355"/>
    <cellStyle name="Percent 29 5 3 3" xfId="12356"/>
    <cellStyle name="Percent 3 10 3 3" xfId="12357"/>
    <cellStyle name="Percent 3 11 3 3" xfId="12358"/>
    <cellStyle name="Percent 3 12 3 3" xfId="12359"/>
    <cellStyle name="Percent 3 13 3 3" xfId="12360"/>
    <cellStyle name="Percent 3 14 3 3" xfId="12361"/>
    <cellStyle name="Percent 3 15 3 3" xfId="12362"/>
    <cellStyle name="Percent 3 16 3 3" xfId="12363"/>
    <cellStyle name="Percent 3 17 3 3" xfId="12364"/>
    <cellStyle name="Percent 3 18 3 3" xfId="12365"/>
    <cellStyle name="Percent 3 19 3 3" xfId="12366"/>
    <cellStyle name="Percent 3 2 24 3" xfId="12367"/>
    <cellStyle name="Percent 3 2 10 3 3" xfId="12368"/>
    <cellStyle name="Percent 3 2 11 3 3" xfId="12369"/>
    <cellStyle name="Percent 3 2 12 3 3" xfId="12370"/>
    <cellStyle name="Percent 3 2 13 3 3" xfId="12371"/>
    <cellStyle name="Percent 3 2 14 3 3" xfId="12372"/>
    <cellStyle name="Percent 3 2 15 3 3" xfId="12373"/>
    <cellStyle name="Percent 3 2 16 3 3" xfId="12374"/>
    <cellStyle name="Percent 3 2 17 3 3" xfId="12375"/>
    <cellStyle name="Percent 3 2 18 3 3" xfId="12376"/>
    <cellStyle name="Percent 3 2 19 3 3" xfId="12377"/>
    <cellStyle name="Percent 3 2 2 2 3 3" xfId="12378"/>
    <cellStyle name="Percent 3 2 2 3 3 3" xfId="12379"/>
    <cellStyle name="Percent 3 2 2 4 3 3" xfId="12380"/>
    <cellStyle name="Percent 3 2 2 5 3 3" xfId="12381"/>
    <cellStyle name="Percent 3 2 20 3 3" xfId="12382"/>
    <cellStyle name="Percent 3 2 21 2 3 3" xfId="12383"/>
    <cellStyle name="Percent 3 2 3 7 3" xfId="12384"/>
    <cellStyle name="Percent 3 2 3 2 3 3" xfId="12385"/>
    <cellStyle name="Percent 3 2 3 3 3 3" xfId="12386"/>
    <cellStyle name="Percent 3 2 3 4 3 3" xfId="12387"/>
    <cellStyle name="Percent 3 2 3 5 3 3" xfId="12388"/>
    <cellStyle name="Percent 3 2 4 4 3" xfId="12389"/>
    <cellStyle name="Percent 3 2 4 2 3 3" xfId="12390"/>
    <cellStyle name="Percent 3 2 5 4 3" xfId="12391"/>
    <cellStyle name="Percent 3 2 5 2 3 3" xfId="12392"/>
    <cellStyle name="Percent 3 2 6 4 3" xfId="12393"/>
    <cellStyle name="Percent 3 2 6 2 3 3" xfId="12394"/>
    <cellStyle name="Percent 3 2 7 3 3" xfId="12395"/>
    <cellStyle name="Percent 3 2 8 3 3" xfId="12396"/>
    <cellStyle name="Percent 3 2 9 3 3" xfId="12397"/>
    <cellStyle name="Percent 3 20 3 3" xfId="12398"/>
    <cellStyle name="Percent 3 21 3 3" xfId="12399"/>
    <cellStyle name="Percent 3 3 2 3 3" xfId="12400"/>
    <cellStyle name="Percent 3 3 3 3 3" xfId="12401"/>
    <cellStyle name="Percent 3 3 4 3 3" xfId="12402"/>
    <cellStyle name="Percent 3 3 5 3 3" xfId="12403"/>
    <cellStyle name="Percent 3 4 7 3" xfId="12404"/>
    <cellStyle name="Percent 3 4 2 3 3" xfId="12405"/>
    <cellStyle name="Percent 3 4 3 3 3" xfId="12406"/>
    <cellStyle name="Percent 3 4 4 3 3" xfId="12407"/>
    <cellStyle name="Percent 3 4 5 3 3" xfId="12408"/>
    <cellStyle name="Percent 3 5 4 3" xfId="12409"/>
    <cellStyle name="Percent 3 5 2 3 3" xfId="12410"/>
    <cellStyle name="Percent 3 6 4 3" xfId="12411"/>
    <cellStyle name="Percent 3 6 2 3 3" xfId="12412"/>
    <cellStyle name="Percent 3 7 4 3" xfId="12413"/>
    <cellStyle name="Percent 3 7 2 3 3" xfId="12414"/>
    <cellStyle name="Percent 3 8 3 3" xfId="12415"/>
    <cellStyle name="Percent 3 9 3 3" xfId="12416"/>
    <cellStyle name="Percent 30 2 4 3" xfId="12417"/>
    <cellStyle name="Percent 30 2 2 3 3" xfId="12418"/>
    <cellStyle name="Percent 30 3 4 3" xfId="12419"/>
    <cellStyle name="Percent 30 3 2 3 3" xfId="12420"/>
    <cellStyle name="Percent 30 4 2 3 3" xfId="12421"/>
    <cellStyle name="Percent 30 5 3 3" xfId="12422"/>
    <cellStyle name="Percent 31 2 4 3" xfId="12423"/>
    <cellStyle name="Percent 31 2 2 3 3" xfId="12424"/>
    <cellStyle name="Percent 31 3 4 3" xfId="12425"/>
    <cellStyle name="Percent 31 3 2 3 3" xfId="12426"/>
    <cellStyle name="Percent 31 4 2 3 3" xfId="12427"/>
    <cellStyle name="Percent 31 5 3 3" xfId="12428"/>
    <cellStyle name="Percent 32 2 4 3" xfId="12429"/>
    <cellStyle name="Percent 32 2 2 3 3" xfId="12430"/>
    <cellStyle name="Percent 32 3 4 3" xfId="12431"/>
    <cellStyle name="Percent 32 3 2 3 3" xfId="12432"/>
    <cellStyle name="Percent 32 4 2 3 3" xfId="12433"/>
    <cellStyle name="Percent 32 5 3 3" xfId="12434"/>
    <cellStyle name="Percent 33 2 4 3" xfId="12435"/>
    <cellStyle name="Percent 33 2 2 3 3" xfId="12436"/>
    <cellStyle name="Percent 33 3 4 3" xfId="12437"/>
    <cellStyle name="Percent 33 3 2 3 3" xfId="12438"/>
    <cellStyle name="Percent 33 4 2 3 3" xfId="12439"/>
    <cellStyle name="Percent 33 5 3 3" xfId="12440"/>
    <cellStyle name="Percent 34 2 4 3" xfId="12441"/>
    <cellStyle name="Percent 34 2 2 3 3" xfId="12442"/>
    <cellStyle name="Percent 34 3 4 3" xfId="12443"/>
    <cellStyle name="Percent 34 3 2 3 3" xfId="12444"/>
    <cellStyle name="Percent 34 4 2 3 3" xfId="12445"/>
    <cellStyle name="Percent 34 5 3 3" xfId="12446"/>
    <cellStyle name="Percent 35 2 4 3" xfId="12447"/>
    <cellStyle name="Percent 35 2 2 3 3" xfId="12448"/>
    <cellStyle name="Percent 35 3 4 3" xfId="12449"/>
    <cellStyle name="Percent 35 3 2 3 3" xfId="12450"/>
    <cellStyle name="Percent 35 4 2 3 3" xfId="12451"/>
    <cellStyle name="Percent 35 5 3 3" xfId="12452"/>
    <cellStyle name="Currency 5 4 3 3" xfId="12453"/>
    <cellStyle name="Comma 5 7 3 3" xfId="12454"/>
    <cellStyle name="Percent 5 4 3 3" xfId="12455"/>
    <cellStyle name="Comma 6 5 3 3" xfId="12456"/>
    <cellStyle name="Currency 5 2 4 3 3" xfId="12457"/>
    <cellStyle name="Comma 5 2 4 3 3" xfId="12458"/>
    <cellStyle name="Percent 5 2 4 3 3" xfId="12459"/>
    <cellStyle name="Comma 6 2 3 3 3" xfId="12460"/>
    <cellStyle name="Currency 5 3 2 3 3" xfId="12461"/>
    <cellStyle name="Comma 5 3 2 3 3" xfId="12462"/>
    <cellStyle name="Percent 5 3 2 3 3" xfId="12463"/>
    <cellStyle name="Comma 6 3 4 3 3" xfId="12464"/>
    <cellStyle name="Normal 11 2 2 3 3" xfId="12465"/>
    <cellStyle name="Currency 5 2 2 2 3 3" xfId="12466"/>
    <cellStyle name="Comma 5 2 2 2 3 3" xfId="12467"/>
    <cellStyle name="Percent 5 2 2 2 3 3" xfId="12468"/>
    <cellStyle name="Comma 6 2 2 2 3 3" xfId="12469"/>
    <cellStyle name="Normal 51 3 3" xfId="12470"/>
    <cellStyle name="Comma 187 3 3" xfId="12471"/>
    <cellStyle name="Percent 163 3 3" xfId="12472"/>
    <cellStyle name="Currency 162 3 3" xfId="12473"/>
    <cellStyle name="Currency 5 6 2 3" xfId="12474"/>
    <cellStyle name="Currency 179 2 3" xfId="12475"/>
    <cellStyle name="Percent 180 2 3" xfId="12476"/>
    <cellStyle name="Comma 204 2 3" xfId="12477"/>
    <cellStyle name="Normal 8 26 2 3" xfId="12478"/>
    <cellStyle name="Comma 5 9 2 3" xfId="12479"/>
    <cellStyle name="Percent 5 6 2 3" xfId="12480"/>
    <cellStyle name="Comma 6 7 2 3" xfId="12481"/>
    <cellStyle name="Normal 11 5 2 3" xfId="12482"/>
    <cellStyle name="Currency 5 2 6 2 3" xfId="12483"/>
    <cellStyle name="Normal 8 2 7 2 3" xfId="12484"/>
    <cellStyle name="Comma 5 2 6 2 3" xfId="12485"/>
    <cellStyle name="Percent 5 2 6 2 3" xfId="12486"/>
    <cellStyle name="Comma 6 2 5 2 3" xfId="12487"/>
    <cellStyle name="Currency 5 3 4 2 3" xfId="12488"/>
    <cellStyle name="Normal 8 3 7 2 3" xfId="12489"/>
    <cellStyle name="Comma 5 3 4 2 3" xfId="12490"/>
    <cellStyle name="Percent 5 3 4 2 3" xfId="12491"/>
    <cellStyle name="Comma 6 3 6 2 3" xfId="12492"/>
    <cellStyle name="Normal 11 2 4 2 3" xfId="12493"/>
    <cellStyle name="Currency 5 2 2 4 2 3" xfId="12494"/>
    <cellStyle name="Normal 8 2 2 3 2 3" xfId="12495"/>
    <cellStyle name="Comma 5 2 2 4 2 3" xfId="12496"/>
    <cellStyle name="Percent 5 2 2 4 2 3" xfId="12497"/>
    <cellStyle name="Comma 6 2 2 3 2 3" xfId="12498"/>
    <cellStyle name="Normal 50 2 2 3" xfId="12499"/>
    <cellStyle name="Comma 186 2 2 3" xfId="12500"/>
    <cellStyle name="Percent 162 2 2 3" xfId="12501"/>
    <cellStyle name="Normal 2 24 2 2 3" xfId="12502"/>
    <cellStyle name="20% - Accent1 2 2 2 3" xfId="12503"/>
    <cellStyle name="20% - Accent1 3 2 2 3" xfId="12504"/>
    <cellStyle name="20% - Accent1 4 2 2 3" xfId="12505"/>
    <cellStyle name="20% - Accent1 5 2 2 3" xfId="12506"/>
    <cellStyle name="20% - Accent2 2 2 2 3" xfId="12507"/>
    <cellStyle name="20% - Accent2 3 2 2 3" xfId="12508"/>
    <cellStyle name="20% - Accent2 4 2 2 3" xfId="12509"/>
    <cellStyle name="20% - Accent2 5 2 2 3" xfId="12510"/>
    <cellStyle name="20% - Accent3 2 2 2 3" xfId="12511"/>
    <cellStyle name="20% - Accent3 3 2 2 3" xfId="12512"/>
    <cellStyle name="20% - Accent3 4 2 2 3" xfId="12513"/>
    <cellStyle name="20% - Accent3 5 2 2 3" xfId="12514"/>
    <cellStyle name="20% - Accent4 2 2 2 3" xfId="12515"/>
    <cellStyle name="20% - Accent4 3 2 2 3" xfId="12516"/>
    <cellStyle name="20% - Accent4 4 2 2 3" xfId="12517"/>
    <cellStyle name="20% - Accent4 5 2 2 3" xfId="12518"/>
    <cellStyle name="20% - Accent5 2 2 2 3" xfId="12519"/>
    <cellStyle name="20% - Accent5 3 2 2 3" xfId="12520"/>
    <cellStyle name="20% - Accent5 4 2 2 3" xfId="12521"/>
    <cellStyle name="20% - Accent6 2 2 2 3" xfId="12522"/>
    <cellStyle name="20% - Accent6 3 2 2 3" xfId="12523"/>
    <cellStyle name="20% - Accent6 4 2 2 3" xfId="12524"/>
    <cellStyle name="40% - Accent1 2 2 2 3" xfId="12525"/>
    <cellStyle name="40% - Accent1 3 2 2 3" xfId="12526"/>
    <cellStyle name="40% - Accent1 4 2 2 3" xfId="12527"/>
    <cellStyle name="40% - Accent1 5 2 2 3" xfId="12528"/>
    <cellStyle name="40% - Accent2 2 2 2 3" xfId="12529"/>
    <cellStyle name="40% - Accent2 3 2 2 3" xfId="12530"/>
    <cellStyle name="40% - Accent2 4 2 2 3" xfId="12531"/>
    <cellStyle name="40% - Accent3 2 2 2 3" xfId="12532"/>
    <cellStyle name="40% - Accent3 3 2 2 3" xfId="12533"/>
    <cellStyle name="40% - Accent3 4 2 2 3" xfId="12534"/>
    <cellStyle name="40% - Accent3 5 2 2 3" xfId="12535"/>
    <cellStyle name="40% - Accent4 2 2 2 3" xfId="12536"/>
    <cellStyle name="40% - Accent4 3 2 2 3" xfId="12537"/>
    <cellStyle name="40% - Accent4 4 2 2 3" xfId="12538"/>
    <cellStyle name="40% - Accent4 5 2 2 3" xfId="12539"/>
    <cellStyle name="40% - Accent5 2 2 2 3" xfId="12540"/>
    <cellStyle name="40% - Accent5 3 2 2 3" xfId="12541"/>
    <cellStyle name="40% - Accent5 4 2 2 3" xfId="12542"/>
    <cellStyle name="40% - Accent6 2 2 2 3" xfId="12543"/>
    <cellStyle name="40% - Accent6 3 2 2 3" xfId="12544"/>
    <cellStyle name="40% - Accent6 4 2 2 3" xfId="12545"/>
    <cellStyle name="40% - Accent6 5 2 2 3" xfId="12546"/>
    <cellStyle name="Comma 143 2 2 3" xfId="12547"/>
    <cellStyle name="Comma 144 2 2 3" xfId="12548"/>
    <cellStyle name="Comma 145 2 2 3" xfId="12549"/>
    <cellStyle name="Comma 146 2 2 3" xfId="12550"/>
    <cellStyle name="Comma 147 2 2 3" xfId="12551"/>
    <cellStyle name="Comma 148 2 2 3" xfId="12552"/>
    <cellStyle name="Comma 149 2 2 3" xfId="12553"/>
    <cellStyle name="Comma 150 2 2 3" xfId="12554"/>
    <cellStyle name="Comma 151 2 2 3" xfId="12555"/>
    <cellStyle name="Comma 152 2 2 3" xfId="12556"/>
    <cellStyle name="Comma 153 2 2 3" xfId="12557"/>
    <cellStyle name="Comma 182 2 2 3" xfId="12558"/>
    <cellStyle name="Comma 2 23 2 2 3" xfId="12559"/>
    <cellStyle name="Comma 2 2 10 2 2 3" xfId="12560"/>
    <cellStyle name="Comma 2 2 11 2 2 3" xfId="12561"/>
    <cellStyle name="Comma 2 2 12 2 2 3" xfId="12562"/>
    <cellStyle name="Comma 2 2 13 2 2 3" xfId="12563"/>
    <cellStyle name="Comma 2 2 14 2 2 3" xfId="12564"/>
    <cellStyle name="Comma 2 2 15 2 2 3" xfId="12565"/>
    <cellStyle name="Comma 2 2 16 2 2 3" xfId="12566"/>
    <cellStyle name="Comma 2 2 17 2 2 3" xfId="12567"/>
    <cellStyle name="Comma 2 2 2 2 6 2 3" xfId="12568"/>
    <cellStyle name="Comma 2 2 2 2 2 2 2 3" xfId="12569"/>
    <cellStyle name="Comma 2 2 2 2 3 2 2 3" xfId="12570"/>
    <cellStyle name="Comma 2 2 2 2 4 2 2 3" xfId="12571"/>
    <cellStyle name="Comma 2 2 2 2 5 2 2 3" xfId="12572"/>
    <cellStyle name="Comma 2 2 2 3 2 2 3" xfId="12573"/>
    <cellStyle name="Comma 2 2 2 4 2 2 3" xfId="12574"/>
    <cellStyle name="Comma 2 2 2 5 2 2 3" xfId="12575"/>
    <cellStyle name="Comma 2 2 2 6 2 2 3" xfId="12576"/>
    <cellStyle name="Comma 2 2 3 6 2 3" xfId="12577"/>
    <cellStyle name="Comma 2 2 3 2 2 2 2 3" xfId="12578"/>
    <cellStyle name="Comma 2 2 3 2 3 2 2 3" xfId="12579"/>
    <cellStyle name="Comma 2 2 3 2 4 2 2 3" xfId="12580"/>
    <cellStyle name="Comma 2 2 3 2 5 2 2 3" xfId="12581"/>
    <cellStyle name="Comma 2 2 3 3 2 2 3" xfId="12582"/>
    <cellStyle name="Comma 2 2 4 2 2 2 3" xfId="12583"/>
    <cellStyle name="Comma 2 2 5 2 2 3" xfId="12584"/>
    <cellStyle name="Comma 2 2 6 2 2 3" xfId="12585"/>
    <cellStyle name="Comma 2 2 7 2 2 3" xfId="12586"/>
    <cellStyle name="Comma 2 2 8 2 2 3" xfId="12587"/>
    <cellStyle name="Comma 2 2 9 2 2 3" xfId="12588"/>
    <cellStyle name="Comma 3 10 2 2 3" xfId="12589"/>
    <cellStyle name="Comma 3 11 2 2 3" xfId="12590"/>
    <cellStyle name="Comma 3 12 2 2 3" xfId="12591"/>
    <cellStyle name="Comma 3 13 2 2 3" xfId="12592"/>
    <cellStyle name="Comma 3 14 2 2 3" xfId="12593"/>
    <cellStyle name="Comma 3 15 2 2 3" xfId="12594"/>
    <cellStyle name="Comma 3 16 2 2 3" xfId="12595"/>
    <cellStyle name="Comma 3 17 2 2 3" xfId="12596"/>
    <cellStyle name="Comma 3 18 2 2 3" xfId="12597"/>
    <cellStyle name="Comma 3 19 2 2 3" xfId="12598"/>
    <cellStyle name="Comma 3 2 2 2 2 3" xfId="12599"/>
    <cellStyle name="Comma 3 2 3 2 2 3" xfId="12600"/>
    <cellStyle name="Comma 3 2 4 2 2 3" xfId="12601"/>
    <cellStyle name="Comma 3 2 5 2 2 3" xfId="12602"/>
    <cellStyle name="Comma 3 20 2 2 3" xfId="12603"/>
    <cellStyle name="Comma 3 21 2 2 3" xfId="12604"/>
    <cellStyle name="Comma 3 3 6 2 3" xfId="12605"/>
    <cellStyle name="Comma 3 3 2 2 2 3" xfId="12606"/>
    <cellStyle name="Comma 3 3 3 2 2 3" xfId="12607"/>
    <cellStyle name="Comma 3 3 4 2 2 3" xfId="12608"/>
    <cellStyle name="Comma 3 3 5 2 2 3" xfId="12609"/>
    <cellStyle name="Comma 3 4 3 2 3" xfId="12610"/>
    <cellStyle name="Comma 3 4 2 2 2 3" xfId="12611"/>
    <cellStyle name="Comma 3 5 3 2 3" xfId="12612"/>
    <cellStyle name="Comma 3 5 2 2 2 3" xfId="12613"/>
    <cellStyle name="Comma 3 6 3 2 3" xfId="12614"/>
    <cellStyle name="Comma 3 6 2 2 2 3" xfId="12615"/>
    <cellStyle name="Comma 3 7 2 2 3" xfId="12616"/>
    <cellStyle name="Comma 3 8 2 2 3" xfId="12617"/>
    <cellStyle name="Comma 3 9 2 2 3" xfId="12618"/>
    <cellStyle name="Currency 120 2 2 3" xfId="12619"/>
    <cellStyle name="Currency 121 2 2 3" xfId="12620"/>
    <cellStyle name="Currency 122 2 2 3" xfId="12621"/>
    <cellStyle name="Currency 123 2 2 3" xfId="12622"/>
    <cellStyle name="Currency 124 2 2 3" xfId="12623"/>
    <cellStyle name="Currency 125 2 2 3" xfId="12624"/>
    <cellStyle name="Currency 126 2 2 3" xfId="12625"/>
    <cellStyle name="Currency 127 2 2 3" xfId="12626"/>
    <cellStyle name="Currency 128 2 2 3" xfId="12627"/>
    <cellStyle name="Currency 129 2 2 3" xfId="12628"/>
    <cellStyle name="Currency 130 2 2 3" xfId="12629"/>
    <cellStyle name="Currency 159 2 2 3" xfId="12630"/>
    <cellStyle name="Currency 2 27 2 2 3" xfId="12631"/>
    <cellStyle name="Currency 2 2 20 2 2 3" xfId="12632"/>
    <cellStyle name="Currency 2 2 10 2 2 3" xfId="12633"/>
    <cellStyle name="Currency 2 2 11 2 2 3" xfId="12634"/>
    <cellStyle name="Currency 2 2 12 2 2 3" xfId="12635"/>
    <cellStyle name="Currency 2 2 13 2 2 3" xfId="12636"/>
    <cellStyle name="Currency 2 2 14 2 2 3" xfId="12637"/>
    <cellStyle name="Currency 2 2 15 2 2 3" xfId="12638"/>
    <cellStyle name="Currency 2 2 16 2 2 3" xfId="12639"/>
    <cellStyle name="Currency 2 2 17 2 2 3" xfId="12640"/>
    <cellStyle name="Currency 2 2 18 2 2 3" xfId="12641"/>
    <cellStyle name="Currency 2 2 2 2 2 2 3" xfId="12642"/>
    <cellStyle name="Currency 2 2 2 3 2 2 3" xfId="12643"/>
    <cellStyle name="Currency 2 2 2 4 2 2 3" xfId="12644"/>
    <cellStyle name="Currency 2 2 2 5 2 2 3" xfId="12645"/>
    <cellStyle name="Currency 2 2 3 6 2 3" xfId="12646"/>
    <cellStyle name="Currency 2 2 3 2 2 2 3" xfId="12647"/>
    <cellStyle name="Currency 2 2 3 3 2 2 3" xfId="12648"/>
    <cellStyle name="Currency 2 2 3 4 2 2 3" xfId="12649"/>
    <cellStyle name="Currency 2 2 3 5 2 2 3" xfId="12650"/>
    <cellStyle name="Currency 2 2 4 2 2 3" xfId="12651"/>
    <cellStyle name="Currency 2 2 5 2 2 3" xfId="12652"/>
    <cellStyle name="Currency 2 2 6 2 2 3" xfId="12653"/>
    <cellStyle name="Currency 2 2 7 2 2 3" xfId="12654"/>
    <cellStyle name="Currency 2 2 8 2 2 3" xfId="12655"/>
    <cellStyle name="Currency 2 2 9 2 2 3" xfId="12656"/>
    <cellStyle name="Currency 3 10 2 2 3" xfId="12657"/>
    <cellStyle name="Currency 3 11 2 2 3" xfId="12658"/>
    <cellStyle name="Currency 3 12 2 2 3" xfId="12659"/>
    <cellStyle name="Currency 3 13 2 2 3" xfId="12660"/>
    <cellStyle name="Currency 3 14 2 2 3" xfId="12661"/>
    <cellStyle name="Currency 3 15 2 2 3" xfId="12662"/>
    <cellStyle name="Currency 3 16 2 2 3" xfId="12663"/>
    <cellStyle name="Currency 3 17 2 2 3" xfId="12664"/>
    <cellStyle name="Currency 3 18 2 2 3" xfId="12665"/>
    <cellStyle name="Currency 3 19 2 2 3" xfId="12666"/>
    <cellStyle name="Currency 3 2 2 2 2 3" xfId="12667"/>
    <cellStyle name="Currency 3 2 3 2 2 3" xfId="12668"/>
    <cellStyle name="Currency 3 2 4 2 2 3" xfId="12669"/>
    <cellStyle name="Currency 3 2 5 2 2 3" xfId="12670"/>
    <cellStyle name="Currency 3 20 2 2 3" xfId="12671"/>
    <cellStyle name="Currency 3 21 2 2 3" xfId="12672"/>
    <cellStyle name="Currency 3 3 8 2 3" xfId="12673"/>
    <cellStyle name="Currency 3 3 2 2 2 3" xfId="12674"/>
    <cellStyle name="Currency 3 3 3 2 2 3" xfId="12675"/>
    <cellStyle name="Currency 3 3 4 2 2 3" xfId="12676"/>
    <cellStyle name="Currency 3 3 5 2 2 3" xfId="12677"/>
    <cellStyle name="Currency 3 3 6 2 2 3" xfId="12678"/>
    <cellStyle name="Currency 3 4 3 2 3" xfId="12679"/>
    <cellStyle name="Currency 3 4 2 2 2 3" xfId="12680"/>
    <cellStyle name="Currency 3 5 3 2 3" xfId="12681"/>
    <cellStyle name="Currency 3 5 2 2 2 3" xfId="12682"/>
    <cellStyle name="Currency 3 6 3 2 3" xfId="12683"/>
    <cellStyle name="Currency 3 6 2 2 2 3" xfId="12684"/>
    <cellStyle name="Currency 3 7 2 2 3" xfId="12685"/>
    <cellStyle name="Currency 3 8 2 2 3" xfId="12686"/>
    <cellStyle name="Currency 3 9 2 2 3" xfId="12687"/>
    <cellStyle name="Normal 10 3 6 2 3" xfId="12688"/>
    <cellStyle name="Normal 10 3 2 5 2 3" xfId="12689"/>
    <cellStyle name="Normal 10 3 2 2 3 2 3" xfId="12690"/>
    <cellStyle name="Normal 10 3 2 2 2 2 2 3" xfId="12691"/>
    <cellStyle name="Normal 10 3 2 3 3 2 3" xfId="12692"/>
    <cellStyle name="Normal 10 3 2 3 2 2 2 3" xfId="12693"/>
    <cellStyle name="Normal 10 3 2 4 2 2 3" xfId="12694"/>
    <cellStyle name="Normal 10 3 3 3 2 3" xfId="12695"/>
    <cellStyle name="Normal 10 3 3 2 2 2 3" xfId="12696"/>
    <cellStyle name="Normal 10 3 4 3 2 3" xfId="12697"/>
    <cellStyle name="Normal 10 3 4 2 2 2 3" xfId="12698"/>
    <cellStyle name="Normal 10 3 5 2 2 3" xfId="12699"/>
    <cellStyle name="Normal 10 4 5 2 3" xfId="12700"/>
    <cellStyle name="Normal 10 4 2 3 2 3" xfId="12701"/>
    <cellStyle name="Normal 10 4 2 2 2 2 3" xfId="12702"/>
    <cellStyle name="Normal 10 4 3 3 2 3" xfId="12703"/>
    <cellStyle name="Normal 10 4 3 2 2 2 3" xfId="12704"/>
    <cellStyle name="Normal 10 4 4 2 2 3" xfId="12705"/>
    <cellStyle name="Normal 10 5 5 2 3" xfId="12706"/>
    <cellStyle name="Normal 10 5 2 3 2 3" xfId="12707"/>
    <cellStyle name="Normal 10 5 2 2 2 2 3" xfId="12708"/>
    <cellStyle name="Normal 10 5 3 3 2 3" xfId="12709"/>
    <cellStyle name="Normal 10 5 3 2 2 2 3" xfId="12710"/>
    <cellStyle name="Normal 10 5 4 2 2 3" xfId="12711"/>
    <cellStyle name="Normal 10 6 3 2 3" xfId="12712"/>
    <cellStyle name="Normal 10 6 2 2 2 3" xfId="12713"/>
    <cellStyle name="Normal 10 7 3 2 3" xfId="12714"/>
    <cellStyle name="Normal 10 7 2 2 2 3" xfId="12715"/>
    <cellStyle name="Normal 10 8 2 2 2 3" xfId="12716"/>
    <cellStyle name="Normal 10 9 2 2 3" xfId="12717"/>
    <cellStyle name="Normal 11 4 2 2 3" xfId="12718"/>
    <cellStyle name="Normal 11 3 2 2 3" xfId="12719"/>
    <cellStyle name="Normal 12 8 2 3" xfId="12720"/>
    <cellStyle name="Normal 12 2 2 5 2 3" xfId="12721"/>
    <cellStyle name="Normal 12 2 2 2 3 2 3" xfId="12722"/>
    <cellStyle name="Normal 12 2 2 2 2 2 2 3" xfId="12723"/>
    <cellStyle name="Normal 12 2 2 3 3 2 3" xfId="12724"/>
    <cellStyle name="Normal 12 2 2 3 2 2 2 3" xfId="12725"/>
    <cellStyle name="Normal 12 2 2 4 2 2 3" xfId="12726"/>
    <cellStyle name="Normal 12 2 3 3 2 3" xfId="12727"/>
    <cellStyle name="Normal 12 2 3 2 2 2 3" xfId="12728"/>
    <cellStyle name="Normal 12 2 4 3 2 3" xfId="12729"/>
    <cellStyle name="Normal 12 2 4 2 2 2 3" xfId="12730"/>
    <cellStyle name="Normal 12 2 5 2 2 2 3" xfId="12731"/>
    <cellStyle name="Normal 12 2 6 2 2 3" xfId="12732"/>
    <cellStyle name="Normal 12 3 5 2 3" xfId="12733"/>
    <cellStyle name="Normal 12 3 2 3 2 3" xfId="12734"/>
    <cellStyle name="Normal 12 3 2 2 2 2 3" xfId="12735"/>
    <cellStyle name="Normal 12 3 3 3 2 3" xfId="12736"/>
    <cellStyle name="Normal 12 3 3 2 2 2 3" xfId="12737"/>
    <cellStyle name="Normal 12 3 4 2 2 3" xfId="12738"/>
    <cellStyle name="Normal 12 4 5 2 3" xfId="12739"/>
    <cellStyle name="Normal 12 4 2 3 2 3" xfId="12740"/>
    <cellStyle name="Normal 12 4 2 2 2 2 3" xfId="12741"/>
    <cellStyle name="Normal 12 4 3 3 2 3" xfId="12742"/>
    <cellStyle name="Normal 12 4 3 2 2 2 3" xfId="12743"/>
    <cellStyle name="Normal 12 4 4 2 2 3" xfId="12744"/>
    <cellStyle name="Normal 12 5 3 2 3" xfId="12745"/>
    <cellStyle name="Normal 12 5 2 2 2 3" xfId="12746"/>
    <cellStyle name="Normal 12 6 3 2 3" xfId="12747"/>
    <cellStyle name="Normal 12 6 2 2 2 3" xfId="12748"/>
    <cellStyle name="Normal 12 7 2 2 3" xfId="12749"/>
    <cellStyle name="Normal 15 6 2 3" xfId="12750"/>
    <cellStyle name="Normal 15 3 2 2 3" xfId="12751"/>
    <cellStyle name="Normal 16 2 5 2 3" xfId="12752"/>
    <cellStyle name="Normal 16 2 2 3 2 3" xfId="12753"/>
    <cellStyle name="Normal 16 2 2 2 2 2 3" xfId="12754"/>
    <cellStyle name="Normal 16 2 3 3 2 3" xfId="12755"/>
    <cellStyle name="Normal 16 2 3 2 2 2 3" xfId="12756"/>
    <cellStyle name="Normal 16 2 4 2 2 3" xfId="12757"/>
    <cellStyle name="Normal 16 3 3 2 3" xfId="12758"/>
    <cellStyle name="Normal 16 3 2 2 2 3" xfId="12759"/>
    <cellStyle name="Normal 16 4 3 2 3" xfId="12760"/>
    <cellStyle name="Normal 16 4 2 2 2 3" xfId="12761"/>
    <cellStyle name="Normal 16 5 2 2 2 3" xfId="12762"/>
    <cellStyle name="Normal 16 6 2 2 3" xfId="12763"/>
    <cellStyle name="Normal 17 2 5 2 3" xfId="12764"/>
    <cellStyle name="Normal 17 2 2 3 2 3" xfId="12765"/>
    <cellStyle name="Normal 17 2 2 2 2 2 3" xfId="12766"/>
    <cellStyle name="Normal 17 2 3 3 2 3" xfId="12767"/>
    <cellStyle name="Normal 17 2 3 2 2 2 3" xfId="12768"/>
    <cellStyle name="Normal 17 2 4 2 2 3" xfId="12769"/>
    <cellStyle name="Normal 17 3 3 2 3" xfId="12770"/>
    <cellStyle name="Normal 17 3 2 2 2 3" xfId="12771"/>
    <cellStyle name="Normal 17 4 3 2 3" xfId="12772"/>
    <cellStyle name="Normal 17 4 2 2 2 3" xfId="12773"/>
    <cellStyle name="Normal 17 5 2 2 2 3" xfId="12774"/>
    <cellStyle name="Normal 17 6 2 2 3" xfId="12775"/>
    <cellStyle name="Normal 2 10 3 2 2 3" xfId="12776"/>
    <cellStyle name="Normal 2 11 3 2 2 3" xfId="12777"/>
    <cellStyle name="Normal 2 12 3 2 2 3" xfId="12778"/>
    <cellStyle name="Normal 2 13 3 2 2 3" xfId="12779"/>
    <cellStyle name="Normal 2 14 3 2 2 3" xfId="12780"/>
    <cellStyle name="Normal 2 15 3 2 2 3" xfId="12781"/>
    <cellStyle name="Normal 2 16 3 2 2 3" xfId="12782"/>
    <cellStyle name="Normal 2 17 3 2 2 3" xfId="12783"/>
    <cellStyle name="Normal 2 18 3 2 2 3" xfId="12784"/>
    <cellStyle name="Normal 2 19 3 2 2 3" xfId="12785"/>
    <cellStyle name="Normal 2 2 10 2 2 3" xfId="12786"/>
    <cellStyle name="Normal 2 2 11 2 2 3" xfId="12787"/>
    <cellStyle name="Normal 2 2 12 2 2 3" xfId="12788"/>
    <cellStyle name="Normal 2 2 13 2 2 3" xfId="12789"/>
    <cellStyle name="Normal 2 2 14 2 2 3" xfId="12790"/>
    <cellStyle name="Normal 2 2 15 2 2 3" xfId="12791"/>
    <cellStyle name="Normal 2 2 16 2 2 3" xfId="12792"/>
    <cellStyle name="Normal 2 2 17 2 2 3" xfId="12793"/>
    <cellStyle name="Normal 2 2 18 2 2 3" xfId="12794"/>
    <cellStyle name="Normal 2 2 19 2 2 3" xfId="12795"/>
    <cellStyle name="Normal 2 2 2 2 6 2 3" xfId="12796"/>
    <cellStyle name="Normal 2 2 2 2 2 3 2 3" xfId="12797"/>
    <cellStyle name="Normal 2 2 2 2 2 2 2 2 3" xfId="12798"/>
    <cellStyle name="Normal 2 2 2 2 3 2 2 3" xfId="12799"/>
    <cellStyle name="Normal 2 2 2 2 4 2 2 3" xfId="12800"/>
    <cellStyle name="Normal 2 2 2 2 5 2 2 3" xfId="12801"/>
    <cellStyle name="Normal 2 2 20 2 2 3" xfId="12802"/>
    <cellStyle name="Normal 2 2 21 2 2 3" xfId="12803"/>
    <cellStyle name="Normal 2 2 22 2 2 3" xfId="12804"/>
    <cellStyle name="Normal 2 2 3 9 2 3" xfId="12805"/>
    <cellStyle name="Normal 2 2 3 2 2 2 3" xfId="12806"/>
    <cellStyle name="Normal 2 2 3 3 2 2 3" xfId="12807"/>
    <cellStyle name="Normal 2 2 3 4 2 2 3" xfId="12808"/>
    <cellStyle name="Normal 2 2 3 5 2 2 3" xfId="12809"/>
    <cellStyle name="Normal 2 2 3 6 2 2 3" xfId="12810"/>
    <cellStyle name="Normal 2 2 4 5 2 3" xfId="12811"/>
    <cellStyle name="Normal 2 2 4 2 2 2 3" xfId="12812"/>
    <cellStyle name="Normal 2 2 5 4 2 3" xfId="12813"/>
    <cellStyle name="Normal 2 2 5 2 2 2 3" xfId="12814"/>
    <cellStyle name="Normal 2 2 6 2 2 3" xfId="12815"/>
    <cellStyle name="Normal 2 2 7 2 2 3" xfId="12816"/>
    <cellStyle name="Normal 2 2 8 2 2 3" xfId="12817"/>
    <cellStyle name="Normal 2 2 9 2 2 3" xfId="12818"/>
    <cellStyle name="Normal 2 20 2 2 3" xfId="12819"/>
    <cellStyle name="Normal 2 3 2 3 2 3" xfId="12820"/>
    <cellStyle name="Normal 2 3 3 2 2 3" xfId="12821"/>
    <cellStyle name="Normal 2 3 4 2 2 3" xfId="12822"/>
    <cellStyle name="Normal 2 3 5 2 2 3" xfId="12823"/>
    <cellStyle name="Normal 2 3 6 2 2 3" xfId="12824"/>
    <cellStyle name="Normal 2 4 5 2 2 3" xfId="12825"/>
    <cellStyle name="Normal 2 4 2 2 2 3" xfId="12826"/>
    <cellStyle name="Normal 2 5 3 2 2 3" xfId="12827"/>
    <cellStyle name="Normal 2 6 3 2 2 3" xfId="12828"/>
    <cellStyle name="Normal 2 7 3 2 2 3" xfId="12829"/>
    <cellStyle name="Normal 2 8 3 2 2 3" xfId="12830"/>
    <cellStyle name="Normal 2 9 3 2 2 3" xfId="12831"/>
    <cellStyle name="Normal 21 9 2 3" xfId="12832"/>
    <cellStyle name="Normal 21 2 7 2 3" xfId="12833"/>
    <cellStyle name="Normal 21 2 2 2 2 3" xfId="12834"/>
    <cellStyle name="Normal 21 2 3 2 2 3" xfId="12835"/>
    <cellStyle name="Normal 21 2 4 2 2 3" xfId="12836"/>
    <cellStyle name="Normal 21 2 5 2 2 3" xfId="12837"/>
    <cellStyle name="Normal 21 2 6 2 2 3" xfId="12838"/>
    <cellStyle name="Normal 21 3 3 2 3" xfId="12839"/>
    <cellStyle name="Normal 21 3 2 2 2 3" xfId="12840"/>
    <cellStyle name="Normal 21 4 2 2 3" xfId="12841"/>
    <cellStyle name="Normal 21 5 2 2 3" xfId="12842"/>
    <cellStyle name="Normal 21 6 2 2 3" xfId="12843"/>
    <cellStyle name="Normal 21 8 2 2 3" xfId="12844"/>
    <cellStyle name="Normal 22 8 2 3" xfId="12845"/>
    <cellStyle name="Normal 22 2 7 2 3" xfId="12846"/>
    <cellStyle name="Normal 22 2 2 2 2 3" xfId="12847"/>
    <cellStyle name="Normal 22 2 3 2 2 3" xfId="12848"/>
    <cellStyle name="Normal 22 2 4 2 2 3" xfId="12849"/>
    <cellStyle name="Normal 22 2 5 2 2 3" xfId="12850"/>
    <cellStyle name="Normal 22 3 2 2 3" xfId="12851"/>
    <cellStyle name="Normal 22 4 2 2 3" xfId="12852"/>
    <cellStyle name="Normal 22 5 2 2 3" xfId="12853"/>
    <cellStyle name="Normal 22 6 2 2 3" xfId="12854"/>
    <cellStyle name="Normal 23 8 2 3" xfId="12855"/>
    <cellStyle name="Normal 23 2 6 2 3" xfId="12856"/>
    <cellStyle name="Normal 23 2 2 2 2 3" xfId="12857"/>
    <cellStyle name="Normal 23 2 3 2 2 3" xfId="12858"/>
    <cellStyle name="Normal 23 2 4 2 2 3" xfId="12859"/>
    <cellStyle name="Normal 23 2 5 2 2 3" xfId="12860"/>
    <cellStyle name="Normal 23 3 2 2 3" xfId="12861"/>
    <cellStyle name="Normal 23 4 2 2 3" xfId="12862"/>
    <cellStyle name="Normal 23 5 2 2 3" xfId="12863"/>
    <cellStyle name="Normal 23 6 2 2 3" xfId="12864"/>
    <cellStyle name="Normal 24 8 2 3" xfId="12865"/>
    <cellStyle name="Normal 24 2 6 2 3" xfId="12866"/>
    <cellStyle name="Normal 24 2 2 2 2 3" xfId="12867"/>
    <cellStyle name="Normal 24 2 3 2 2 3" xfId="12868"/>
    <cellStyle name="Normal 24 2 4 2 2 3" xfId="12869"/>
    <cellStyle name="Normal 24 2 5 2 2 3" xfId="12870"/>
    <cellStyle name="Normal 24 3 2 2 3" xfId="12871"/>
    <cellStyle name="Normal 24 4 2 2 3" xfId="12872"/>
    <cellStyle name="Normal 24 5 2 2 3" xfId="12873"/>
    <cellStyle name="Normal 24 6 2 2 3" xfId="12874"/>
    <cellStyle name="Normal 26 8 2 3" xfId="12875"/>
    <cellStyle name="Normal 26 2 6 2 3" xfId="12876"/>
    <cellStyle name="Normal 26 2 2 2 2 3" xfId="12877"/>
    <cellStyle name="Normal 26 2 3 2 2 3" xfId="12878"/>
    <cellStyle name="Normal 26 2 4 2 2 3" xfId="12879"/>
    <cellStyle name="Normal 26 2 5 2 2 3" xfId="12880"/>
    <cellStyle name="Normal 26 3 2 2 3" xfId="12881"/>
    <cellStyle name="Normal 26 4 2 2 3" xfId="12882"/>
    <cellStyle name="Normal 26 5 2 2 3" xfId="12883"/>
    <cellStyle name="Normal 26 6 2 2 3" xfId="12884"/>
    <cellStyle name="Normal 3 10 2 2 3" xfId="12885"/>
    <cellStyle name="Normal 3 11 2 2 3" xfId="12886"/>
    <cellStyle name="Normal 3 12 2 2 3" xfId="12887"/>
    <cellStyle name="Normal 3 13 2 2 3" xfId="12888"/>
    <cellStyle name="Normal 3 14 2 2 3" xfId="12889"/>
    <cellStyle name="Normal 3 15 2 2 3" xfId="12890"/>
    <cellStyle name="Normal 3 16 2 2 3" xfId="12891"/>
    <cellStyle name="Normal 3 17 2 2 3" xfId="12892"/>
    <cellStyle name="Normal 3 18 2 2 3" xfId="12893"/>
    <cellStyle name="Normal 3 19 2 2 3" xfId="12894"/>
    <cellStyle name="Normal 3 2 2 2 2 3" xfId="12895"/>
    <cellStyle name="Normal 3 2 3 2 2 3" xfId="12896"/>
    <cellStyle name="Normal 3 2 4 2 2 3" xfId="12897"/>
    <cellStyle name="Normal 3 2 5 2 2 3" xfId="12898"/>
    <cellStyle name="Normal 3 2 6 2 2 3" xfId="12899"/>
    <cellStyle name="Normal 3 20 2 2 3" xfId="12900"/>
    <cellStyle name="Normal 3 21 2 2 3" xfId="12901"/>
    <cellStyle name="Normal 3 22 2 2 3" xfId="12902"/>
    <cellStyle name="Normal 3 23 2 2 3" xfId="12903"/>
    <cellStyle name="Normal 3 24 2 2 3" xfId="12904"/>
    <cellStyle name="Normal 3 3 5 2 3" xfId="12905"/>
    <cellStyle name="Normal 3 3 2 2 2 3" xfId="12906"/>
    <cellStyle name="Normal 3 3 3 2 2 3" xfId="12907"/>
    <cellStyle name="Normal 3 4 3 2 3" xfId="12908"/>
    <cellStyle name="Normal 3 4 2 2 2 3" xfId="12909"/>
    <cellStyle name="Normal 3 5 3 2 3" xfId="12910"/>
    <cellStyle name="Normal 3 5 2 2 2 3" xfId="12911"/>
    <cellStyle name="Normal 3 6 2 2 3" xfId="12912"/>
    <cellStyle name="Normal 3 7 2 2 3" xfId="12913"/>
    <cellStyle name="Normal 3 8 2 2 3" xfId="12914"/>
    <cellStyle name="Normal 3 9 2 2 3" xfId="12915"/>
    <cellStyle name="Normal 4 2 10 2 2 3" xfId="12916"/>
    <cellStyle name="Normal 4 2 11 2 2 3" xfId="12917"/>
    <cellStyle name="Normal 4 2 12 2 2 3" xfId="12918"/>
    <cellStyle name="Normal 4 2 13 2 2 3" xfId="12919"/>
    <cellStyle name="Normal 4 2 14 2 2 3" xfId="12920"/>
    <cellStyle name="Normal 4 2 15 2 2 3" xfId="12921"/>
    <cellStyle name="Normal 4 2 16 2 2 3" xfId="12922"/>
    <cellStyle name="Normal 4 2 17 2 2 3" xfId="12923"/>
    <cellStyle name="Normal 4 2 18 2 2 3" xfId="12924"/>
    <cellStyle name="Normal 4 2 19 2 2 3" xfId="12925"/>
    <cellStyle name="Normal 4 2 2 6 2 3" xfId="12926"/>
    <cellStyle name="Normal 4 2 2 2 2 2 3" xfId="12927"/>
    <cellStyle name="Normal 4 2 2 3 2 2 3" xfId="12928"/>
    <cellStyle name="Normal 4 2 2 4 2 2 3" xfId="12929"/>
    <cellStyle name="Normal 4 2 2 5 2 2 3" xfId="12930"/>
    <cellStyle name="Normal 4 2 20 2 2 3" xfId="12931"/>
    <cellStyle name="Normal 4 2 21 2 2 3" xfId="12932"/>
    <cellStyle name="Normal 4 2 22 2 2 3" xfId="12933"/>
    <cellStyle name="Normal 4 2 23 2 2 3" xfId="12934"/>
    <cellStyle name="Normal 4 2 24 2 2 3" xfId="12935"/>
    <cellStyle name="Normal 4 2 3 3 2 3" xfId="12936"/>
    <cellStyle name="Normal 4 2 3 2 2 2 3" xfId="12937"/>
    <cellStyle name="Normal 4 2 4 3 2 3" xfId="12938"/>
    <cellStyle name="Normal 4 2 4 2 2 2 3" xfId="12939"/>
    <cellStyle name="Normal 4 2 5 3 2 3" xfId="12940"/>
    <cellStyle name="Normal 4 2 5 2 2 2 3" xfId="12941"/>
    <cellStyle name="Normal 4 2 6 2 2 3" xfId="12942"/>
    <cellStyle name="Normal 4 2 7 2 2 3" xfId="12943"/>
    <cellStyle name="Normal 4 2 8 2 2 3" xfId="12944"/>
    <cellStyle name="Normal 4 2 9 2 2 3" xfId="12945"/>
    <cellStyle name="Normal 4 3 7 2 3" xfId="12946"/>
    <cellStyle name="Normal 4 3 2 6 2 3" xfId="12947"/>
    <cellStyle name="Normal 4 3 2 2 5 2 3" xfId="12948"/>
    <cellStyle name="Normal 4 3 2 2 2 3 2 3" xfId="12949"/>
    <cellStyle name="Normal 4 3 2 2 2 2 2 2 3" xfId="12950"/>
    <cellStyle name="Normal 4 3 2 2 3 3 2 3" xfId="12951"/>
    <cellStyle name="Normal 4 3 2 2 3 2 2 2 3" xfId="12952"/>
    <cellStyle name="Normal 4 3 2 2 4 2 2 3" xfId="12953"/>
    <cellStyle name="Normal 4 3 2 3 3 2 3" xfId="12954"/>
    <cellStyle name="Normal 4 3 2 3 2 2 2 3" xfId="12955"/>
    <cellStyle name="Normal 4 3 2 4 3 2 3" xfId="12956"/>
    <cellStyle name="Normal 4 3 2 4 2 2 2 3" xfId="12957"/>
    <cellStyle name="Normal 4 3 2 5 2 2 3" xfId="12958"/>
    <cellStyle name="Normal 4 3 3 5 2 3" xfId="12959"/>
    <cellStyle name="Normal 4 3 3 2 3 2 3" xfId="12960"/>
    <cellStyle name="Normal 4 3 3 2 2 2 2 3" xfId="12961"/>
    <cellStyle name="Normal 4 3 3 3 3 2 3" xfId="12962"/>
    <cellStyle name="Normal 4 3 3 3 2 2 2 3" xfId="12963"/>
    <cellStyle name="Normal 4 3 3 4 2 2 3" xfId="12964"/>
    <cellStyle name="Normal 4 3 4 3 2 3" xfId="12965"/>
    <cellStyle name="Normal 4 3 4 2 2 2 3" xfId="12966"/>
    <cellStyle name="Normal 4 3 5 3 2 3" xfId="12967"/>
    <cellStyle name="Normal 4 3 5 2 2 2 3" xfId="12968"/>
    <cellStyle name="Normal 4 3 6 2 2 3" xfId="12969"/>
    <cellStyle name="Normal 4 4 4 2 3" xfId="12970"/>
    <cellStyle name="Normal 4 4 2 2 2 3" xfId="12971"/>
    <cellStyle name="Normal 4 5 2 2 3" xfId="12972"/>
    <cellStyle name="Normal 4 6 2 2 3" xfId="12973"/>
    <cellStyle name="Normal 4 7 2 2 3" xfId="12974"/>
    <cellStyle name="Normal 4 8 2 2 3" xfId="12975"/>
    <cellStyle name="Normal 41 2 2 2 3" xfId="12976"/>
    <cellStyle name="Normal 46 2 2 3" xfId="12977"/>
    <cellStyle name="Normal 5 28 2 2 3" xfId="12978"/>
    <cellStyle name="Normal 5 2 7 2 3" xfId="12979"/>
    <cellStyle name="Normal 5 2 2 2 2 2 2 3" xfId="12980"/>
    <cellStyle name="Normal 5 2 2 3 2 2 3" xfId="12981"/>
    <cellStyle name="Normal 5 2 3 2 2 2 2 3" xfId="12982"/>
    <cellStyle name="Normal 5 2 3 3 2 2 3" xfId="12983"/>
    <cellStyle name="Normal 5 2 4 2 2 2 3" xfId="12984"/>
    <cellStyle name="Normal 5 2 6 2 2 3" xfId="12985"/>
    <cellStyle name="Normal 5 24 2 2 3" xfId="12986"/>
    <cellStyle name="Normal 5 3 3 2 3" xfId="12987"/>
    <cellStyle name="Normal 5 4 3 2 3" xfId="12988"/>
    <cellStyle name="Normal 5 5 3 2 3" xfId="12989"/>
    <cellStyle name="Normal 5 6 3 2 3" xfId="12990"/>
    <cellStyle name="Normal 5 7 3 2 3" xfId="12991"/>
    <cellStyle name="Normal 7 25 2 2 3" xfId="12992"/>
    <cellStyle name="Normal 7 10 2 2 3" xfId="12993"/>
    <cellStyle name="Normal 7 11 2 2 3" xfId="12994"/>
    <cellStyle name="Normal 7 12 2 2 3" xfId="12995"/>
    <cellStyle name="Normal 7 13 2 2 3" xfId="12996"/>
    <cellStyle name="Normal 7 14 2 2 3" xfId="12997"/>
    <cellStyle name="Normal 7 15 2 2 3" xfId="12998"/>
    <cellStyle name="Normal 7 16 2 2 3" xfId="12999"/>
    <cellStyle name="Normal 7 17 2 2 3" xfId="13000"/>
    <cellStyle name="Normal 7 18 2 2 3" xfId="13001"/>
    <cellStyle name="Normal 7 19 2 2 3" xfId="13002"/>
    <cellStyle name="Normal 7 2 6 2 3" xfId="13003"/>
    <cellStyle name="Normal 7 2 2 2 2 3" xfId="13004"/>
    <cellStyle name="Normal 7 2 3 2 2 3" xfId="13005"/>
    <cellStyle name="Normal 7 2 4 2 2 3" xfId="13006"/>
    <cellStyle name="Normal 7 2 5 2 2 3" xfId="13007"/>
    <cellStyle name="Normal 7 20 2 2 3" xfId="13008"/>
    <cellStyle name="Normal 7 22 2 2 3" xfId="13009"/>
    <cellStyle name="Normal 7 3 6 2 3" xfId="13010"/>
    <cellStyle name="Normal 7 3 2 2 2 3" xfId="13011"/>
    <cellStyle name="Normal 7 3 3 2 2 3" xfId="13012"/>
    <cellStyle name="Normal 7 3 4 2 2 3" xfId="13013"/>
    <cellStyle name="Normal 7 3 5 2 2 3" xfId="13014"/>
    <cellStyle name="Normal 7 4 2 2 3" xfId="13015"/>
    <cellStyle name="Normal 7 5 2 2 3" xfId="13016"/>
    <cellStyle name="Normal 7 6 2 2 3" xfId="13017"/>
    <cellStyle name="Normal 7 7 2 2 3" xfId="13018"/>
    <cellStyle name="Normal 7 8 2 2 3" xfId="13019"/>
    <cellStyle name="Normal 7 9 2 2 3" xfId="13020"/>
    <cellStyle name="Normal 8 25 2 2 3" xfId="13021"/>
    <cellStyle name="Normal 8 10 2 2 3" xfId="13022"/>
    <cellStyle name="Normal 8 11 2 2 3" xfId="13023"/>
    <cellStyle name="Normal 8 12 2 2 3" xfId="13024"/>
    <cellStyle name="Normal 8 13 2 2 3" xfId="13025"/>
    <cellStyle name="Normal 8 14 2 2 3" xfId="13026"/>
    <cellStyle name="Normal 8 15 2 2 3" xfId="13027"/>
    <cellStyle name="Normal 8 16 2 2 3" xfId="13028"/>
    <cellStyle name="Normal 8 17 2 2 3" xfId="13029"/>
    <cellStyle name="Normal 8 18 2 2 3" xfId="13030"/>
    <cellStyle name="Normal 8 19 2 2 3" xfId="13031"/>
    <cellStyle name="Normal 8 2 6 2 2 3" xfId="13032"/>
    <cellStyle name="Normal 8 2 2 2 2 2 3" xfId="13033"/>
    <cellStyle name="Normal 8 2 3 2 2 3" xfId="13034"/>
    <cellStyle name="Normal 8 2 4 2 2 3" xfId="13035"/>
    <cellStyle name="Normal 8 2 5 2 2 3" xfId="13036"/>
    <cellStyle name="Normal 8 20 2 2 3" xfId="13037"/>
    <cellStyle name="Normal 8 22 2 2 3" xfId="13038"/>
    <cellStyle name="Normal 8 3 6 2 2 3" xfId="13039"/>
    <cellStyle name="Normal 8 3 2 2 2 3" xfId="13040"/>
    <cellStyle name="Normal 8 3 3 2 2 3" xfId="13041"/>
    <cellStyle name="Normal 8 3 4 2 2 3" xfId="13042"/>
    <cellStyle name="Normal 8 3 5 2 2 3" xfId="13043"/>
    <cellStyle name="Normal 8 4 2 2 3" xfId="13044"/>
    <cellStyle name="Normal 8 5 2 2 3" xfId="13045"/>
    <cellStyle name="Normal 8 6 2 2 3" xfId="13046"/>
    <cellStyle name="Normal 8 7 2 2 3" xfId="13047"/>
    <cellStyle name="Normal 8 8 2 2 3" xfId="13048"/>
    <cellStyle name="Normal 8 9 2 2 3" xfId="13049"/>
    <cellStyle name="Normal 9 25 2 2 3" xfId="13050"/>
    <cellStyle name="Normal 9 10 2 2 3" xfId="13051"/>
    <cellStyle name="Normal 9 11 2 2 3" xfId="13052"/>
    <cellStyle name="Normal 9 12 2 2 3" xfId="13053"/>
    <cellStyle name="Normal 9 13 2 2 3" xfId="13054"/>
    <cellStyle name="Normal 9 14 2 2 3" xfId="13055"/>
    <cellStyle name="Normal 9 15 2 2 3" xfId="13056"/>
    <cellStyle name="Normal 9 16 2 2 3" xfId="13057"/>
    <cellStyle name="Normal 9 17 2 2 3" xfId="13058"/>
    <cellStyle name="Normal 9 18 2 2 3" xfId="13059"/>
    <cellStyle name="Normal 9 19 2 2 3" xfId="13060"/>
    <cellStyle name="Normal 9 2 6 2 3" xfId="13061"/>
    <cellStyle name="Normal 9 2 2 2 2 3" xfId="13062"/>
    <cellStyle name="Normal 9 2 3 2 2 3" xfId="13063"/>
    <cellStyle name="Normal 9 2 4 2 2 3" xfId="13064"/>
    <cellStyle name="Normal 9 2 5 2 2 3" xfId="13065"/>
    <cellStyle name="Normal 9 20 2 2 3" xfId="13066"/>
    <cellStyle name="Normal 9 22 2 2 3" xfId="13067"/>
    <cellStyle name="Normal 9 3 6 2 3" xfId="13068"/>
    <cellStyle name="Normal 9 3 2 2 2 3" xfId="13069"/>
    <cellStyle name="Normal 9 3 3 2 2 3" xfId="13070"/>
    <cellStyle name="Normal 9 3 4 2 2 3" xfId="13071"/>
    <cellStyle name="Normal 9 3 5 2 2 3" xfId="13072"/>
    <cellStyle name="Normal 9 4 2 2 3" xfId="13073"/>
    <cellStyle name="Normal 9 5 2 2 3" xfId="13074"/>
    <cellStyle name="Normal 9 6 2 2 3" xfId="13075"/>
    <cellStyle name="Normal 9 7 2 2 3" xfId="13076"/>
    <cellStyle name="Normal 9 8 2 2 3" xfId="13077"/>
    <cellStyle name="Normal 9 9 2 2 3" xfId="13078"/>
    <cellStyle name="Note 2 2 2 3" xfId="13079"/>
    <cellStyle name="Note 3 2 2 3" xfId="13080"/>
    <cellStyle name="Note 4 2 2 3" xfId="13081"/>
    <cellStyle name="Note 7 2 2 3" xfId="13082"/>
    <cellStyle name="Percent 120 2 2 3" xfId="13083"/>
    <cellStyle name="Percent 121 2 2 3" xfId="13084"/>
    <cellStyle name="Percent 122 2 2 3" xfId="13085"/>
    <cellStyle name="Percent 123 2 2 3" xfId="13086"/>
    <cellStyle name="Percent 124 2 2 3" xfId="13087"/>
    <cellStyle name="Percent 125 2 2 3" xfId="13088"/>
    <cellStyle name="Percent 126 2 2 3" xfId="13089"/>
    <cellStyle name="Percent 127 2 2 3" xfId="13090"/>
    <cellStyle name="Percent 128 2 2 3" xfId="13091"/>
    <cellStyle name="Percent 129 2 2 3" xfId="13092"/>
    <cellStyle name="Percent 130 2 2 3" xfId="13093"/>
    <cellStyle name="Percent 159 2 2 3" xfId="13094"/>
    <cellStyle name="Percent 2 22 2 2 3" xfId="13095"/>
    <cellStyle name="Percent 25 2 3 2 3" xfId="13096"/>
    <cellStyle name="Percent 25 2 2 2 2 3" xfId="13097"/>
    <cellStyle name="Percent 25 3 3 2 3" xfId="13098"/>
    <cellStyle name="Percent 25 3 2 2 2 3" xfId="13099"/>
    <cellStyle name="Percent 25 4 2 2 2 3" xfId="13100"/>
    <cellStyle name="Percent 25 5 2 2 3" xfId="13101"/>
    <cellStyle name="Percent 26 2 3 2 3" xfId="13102"/>
    <cellStyle name="Percent 26 2 2 2 2 3" xfId="13103"/>
    <cellStyle name="Percent 26 3 3 2 3" xfId="13104"/>
    <cellStyle name="Percent 26 3 2 2 2 3" xfId="13105"/>
    <cellStyle name="Percent 26 4 2 2 2 3" xfId="13106"/>
    <cellStyle name="Percent 26 5 2 2 3" xfId="13107"/>
    <cellStyle name="Percent 27 2 3 2 3" xfId="13108"/>
    <cellStyle name="Percent 27 2 2 2 2 3" xfId="13109"/>
    <cellStyle name="Percent 27 3 3 2 3" xfId="13110"/>
    <cellStyle name="Percent 27 3 2 2 2 3" xfId="13111"/>
    <cellStyle name="Percent 27 4 2 2 2 3" xfId="13112"/>
    <cellStyle name="Percent 27 5 2 2 3" xfId="13113"/>
    <cellStyle name="Percent 28 2 3 2 3" xfId="13114"/>
    <cellStyle name="Percent 28 2 2 2 2 3" xfId="13115"/>
    <cellStyle name="Percent 28 3 3 2 3" xfId="13116"/>
    <cellStyle name="Percent 28 3 2 2 2 3" xfId="13117"/>
    <cellStyle name="Percent 28 4 2 2 2 3" xfId="13118"/>
    <cellStyle name="Percent 28 5 2 2 3" xfId="13119"/>
    <cellStyle name="Percent 29 2 3 2 3" xfId="13120"/>
    <cellStyle name="Percent 29 2 2 2 2 3" xfId="13121"/>
    <cellStyle name="Percent 29 3 3 2 3" xfId="13122"/>
    <cellStyle name="Percent 29 3 2 2 2 3" xfId="13123"/>
    <cellStyle name="Percent 29 4 2 2 2 3" xfId="13124"/>
    <cellStyle name="Percent 29 5 2 2 3" xfId="13125"/>
    <cellStyle name="Percent 3 10 2 2 3" xfId="13126"/>
    <cellStyle name="Percent 3 11 2 2 3" xfId="13127"/>
    <cellStyle name="Percent 3 12 2 2 3" xfId="13128"/>
    <cellStyle name="Percent 3 13 2 2 3" xfId="13129"/>
    <cellStyle name="Percent 3 14 2 2 3" xfId="13130"/>
    <cellStyle name="Percent 3 15 2 2 3" xfId="13131"/>
    <cellStyle name="Percent 3 16 2 2 3" xfId="13132"/>
    <cellStyle name="Percent 3 17 2 2 3" xfId="13133"/>
    <cellStyle name="Percent 3 18 2 2 3" xfId="13134"/>
    <cellStyle name="Percent 3 19 2 2 3" xfId="13135"/>
    <cellStyle name="Percent 3 2 23 2 3" xfId="13136"/>
    <cellStyle name="Percent 3 2 10 2 2 3" xfId="13137"/>
    <cellStyle name="Percent 3 2 11 2 2 3" xfId="13138"/>
    <cellStyle name="Percent 3 2 12 2 2 3" xfId="13139"/>
    <cellStyle name="Percent 3 2 13 2 2 3" xfId="13140"/>
    <cellStyle name="Percent 3 2 14 2 2 3" xfId="13141"/>
    <cellStyle name="Percent 3 2 15 2 2 3" xfId="13142"/>
    <cellStyle name="Percent 3 2 16 2 2 3" xfId="13143"/>
    <cellStyle name="Percent 3 2 17 2 2 3" xfId="13144"/>
    <cellStyle name="Percent 3 2 18 2 2 3" xfId="13145"/>
    <cellStyle name="Percent 3 2 19 2 2 3" xfId="13146"/>
    <cellStyle name="Percent 3 2 2 2 2 2 3" xfId="13147"/>
    <cellStyle name="Percent 3 2 2 3 2 2 3" xfId="13148"/>
    <cellStyle name="Percent 3 2 2 4 2 2 3" xfId="13149"/>
    <cellStyle name="Percent 3 2 2 5 2 2 3" xfId="13150"/>
    <cellStyle name="Percent 3 2 20 2 2 3" xfId="13151"/>
    <cellStyle name="Percent 3 2 21 2 2 2 3" xfId="13152"/>
    <cellStyle name="Percent 3 2 3 6 2 3" xfId="13153"/>
    <cellStyle name="Percent 3 2 3 2 2 2 3" xfId="13154"/>
    <cellStyle name="Percent 3 2 3 3 2 2 3" xfId="13155"/>
    <cellStyle name="Percent 3 2 3 4 2 2 3" xfId="13156"/>
    <cellStyle name="Percent 3 2 3 5 2 2 3" xfId="13157"/>
    <cellStyle name="Percent 3 2 4 3 2 3" xfId="13158"/>
    <cellStyle name="Percent 3 2 4 2 2 2 3" xfId="13159"/>
    <cellStyle name="Percent 3 2 5 3 2 3" xfId="13160"/>
    <cellStyle name="Percent 3 2 5 2 2 2 3" xfId="13161"/>
    <cellStyle name="Percent 3 2 6 3 2 3" xfId="13162"/>
    <cellStyle name="Percent 3 2 6 2 2 2 3" xfId="13163"/>
    <cellStyle name="Percent 3 2 7 2 2 3" xfId="13164"/>
    <cellStyle name="Percent 3 2 8 2 2 3" xfId="13165"/>
    <cellStyle name="Percent 3 2 9 2 2 3" xfId="13166"/>
    <cellStyle name="Percent 3 20 2 2 3" xfId="13167"/>
    <cellStyle name="Percent 3 21 2 2 3" xfId="13168"/>
    <cellStyle name="Percent 3 3 2 2 2 3" xfId="13169"/>
    <cellStyle name="Percent 3 3 3 2 2 3" xfId="13170"/>
    <cellStyle name="Percent 3 3 4 2 2 3" xfId="13171"/>
    <cellStyle name="Percent 3 3 5 2 2 3" xfId="13172"/>
    <cellStyle name="Percent 3 4 6 2 3" xfId="13173"/>
    <cellStyle name="Percent 3 4 2 2 2 3" xfId="13174"/>
    <cellStyle name="Percent 3 4 3 2 2 3" xfId="13175"/>
    <cellStyle name="Percent 3 4 4 2 2 3" xfId="13176"/>
    <cellStyle name="Percent 3 4 5 2 2 3" xfId="13177"/>
    <cellStyle name="Percent 3 5 3 2 3" xfId="13178"/>
    <cellStyle name="Percent 3 5 2 2 2 3" xfId="13179"/>
    <cellStyle name="Percent 3 6 3 2 3" xfId="13180"/>
    <cellStyle name="Percent 3 6 2 2 2 3" xfId="13181"/>
    <cellStyle name="Percent 3 7 3 2 3" xfId="13182"/>
    <cellStyle name="Percent 3 7 2 2 2 3" xfId="13183"/>
    <cellStyle name="Percent 3 8 2 2 3" xfId="13184"/>
    <cellStyle name="Percent 3 9 2 2 3" xfId="13185"/>
    <cellStyle name="Percent 30 2 3 2 3" xfId="13186"/>
    <cellStyle name="Percent 30 2 2 2 2 3" xfId="13187"/>
    <cellStyle name="Percent 30 3 3 2 3" xfId="13188"/>
    <cellStyle name="Percent 30 3 2 2 2 3" xfId="13189"/>
    <cellStyle name="Percent 30 4 2 2 2 3" xfId="13190"/>
    <cellStyle name="Percent 30 5 2 2 3" xfId="13191"/>
    <cellStyle name="Percent 31 2 3 2 3" xfId="13192"/>
    <cellStyle name="Percent 31 2 2 2 2 3" xfId="13193"/>
    <cellStyle name="Percent 31 3 3 2 3" xfId="13194"/>
    <cellStyle name="Percent 31 3 2 2 2 3" xfId="13195"/>
    <cellStyle name="Percent 31 4 2 2 2 3" xfId="13196"/>
    <cellStyle name="Percent 31 5 2 2 3" xfId="13197"/>
    <cellStyle name="Percent 32 2 3 2 3" xfId="13198"/>
    <cellStyle name="Percent 32 2 2 2 2 3" xfId="13199"/>
    <cellStyle name="Percent 32 3 3 2 3" xfId="13200"/>
    <cellStyle name="Percent 32 3 2 2 2 3" xfId="13201"/>
    <cellStyle name="Percent 32 4 2 2 2 3" xfId="13202"/>
    <cellStyle name="Percent 32 5 2 2 3" xfId="13203"/>
    <cellStyle name="Percent 33 2 3 2 3" xfId="13204"/>
    <cellStyle name="Percent 33 2 2 2 2 3" xfId="13205"/>
    <cellStyle name="Percent 33 3 3 2 3" xfId="13206"/>
    <cellStyle name="Percent 33 3 2 2 2 3" xfId="13207"/>
    <cellStyle name="Percent 33 4 2 2 2 3" xfId="13208"/>
    <cellStyle name="Percent 33 5 2 2 3" xfId="13209"/>
    <cellStyle name="Percent 34 2 3 2 3" xfId="13210"/>
    <cellStyle name="Percent 34 2 2 2 2 3" xfId="13211"/>
    <cellStyle name="Percent 34 3 3 2 3" xfId="13212"/>
    <cellStyle name="Percent 34 3 2 2 2 3" xfId="13213"/>
    <cellStyle name="Percent 34 4 2 2 2 3" xfId="13214"/>
    <cellStyle name="Percent 34 5 2 2 3" xfId="13215"/>
    <cellStyle name="Percent 35 2 3 2 3" xfId="13216"/>
    <cellStyle name="Percent 35 2 2 2 2 3" xfId="13217"/>
    <cellStyle name="Percent 35 3 3 2 3" xfId="13218"/>
    <cellStyle name="Percent 35 3 2 2 2 3" xfId="13219"/>
    <cellStyle name="Percent 35 4 2 2 2 3" xfId="13220"/>
    <cellStyle name="Percent 35 5 2 2 3" xfId="13221"/>
    <cellStyle name="Currency 5 4 2 2 3" xfId="13222"/>
    <cellStyle name="Comma 5 7 2 2 3" xfId="13223"/>
    <cellStyle name="Percent 5 4 2 2 3" xfId="13224"/>
    <cellStyle name="Comma 6 5 2 2 3" xfId="13225"/>
    <cellStyle name="Currency 5 2 4 2 2 3" xfId="13226"/>
    <cellStyle name="Comma 5 2 4 2 2 3" xfId="13227"/>
    <cellStyle name="Percent 5 2 4 2 2 3" xfId="13228"/>
    <cellStyle name="Comma 6 2 3 2 2 3" xfId="13229"/>
    <cellStyle name="Currency 5 3 2 2 2 3" xfId="13230"/>
    <cellStyle name="Comma 5 3 2 2 2 3" xfId="13231"/>
    <cellStyle name="Percent 5 3 2 2 2 3" xfId="13232"/>
    <cellStyle name="Comma 6 3 4 2 2 3" xfId="13233"/>
    <cellStyle name="Normal 11 2 2 2 2 3" xfId="13234"/>
    <cellStyle name="Currency 5 2 2 2 2 2 3" xfId="13235"/>
    <cellStyle name="Comma 5 2 2 2 2 2 3" xfId="13236"/>
    <cellStyle name="Percent 5 2 2 2 2 2 3" xfId="13237"/>
    <cellStyle name="Comma 6 2 2 2 2 2 3" xfId="13238"/>
    <cellStyle name="Normal 54 2" xfId="13239"/>
    <cellStyle name="Currency 5 8 2" xfId="13240"/>
    <cellStyle name="Normal 8 28 2" xfId="13241"/>
    <cellStyle name="Comma 5 11 2 2" xfId="13242"/>
    <cellStyle name="Percent 5 8 2 2" xfId="13243"/>
    <cellStyle name="Comma 6 9 2" xfId="13244"/>
    <cellStyle name="Normal 11 7 2" xfId="13245"/>
    <cellStyle name="Currency 5 2 8 2" xfId="13246"/>
    <cellStyle name="Normal 8 2 9 2" xfId="13247"/>
    <cellStyle name="Comma 5 2 8 2" xfId="13248"/>
    <cellStyle name="Percent 5 2 8 2" xfId="13249"/>
    <cellStyle name="Comma 6 2 7 2" xfId="13250"/>
    <cellStyle name="Currency 5 3 6 2" xfId="13251"/>
    <cellStyle name="Normal 8 3 9 2" xfId="13252"/>
    <cellStyle name="Comma 5 3 6 2" xfId="13253"/>
    <cellStyle name="Percent 5 3 6 2" xfId="13254"/>
    <cellStyle name="Comma 6 3 8 2" xfId="13255"/>
    <cellStyle name="Normal 11 2 6 2" xfId="13256"/>
    <cellStyle name="Currency 5 2 2 6 2" xfId="13257"/>
    <cellStyle name="Normal 8 2 2 5 2" xfId="13258"/>
    <cellStyle name="Comma 5 2 2 6 2" xfId="13259"/>
    <cellStyle name="Percent 5 2 2 6 2" xfId="13260"/>
    <cellStyle name="Comma 6 2 2 5 2" xfId="13261"/>
    <cellStyle name="Normal 50 4 2" xfId="13262"/>
    <cellStyle name="Comma 186 4 2" xfId="13263"/>
    <cellStyle name="Percent 162 4 2" xfId="13264"/>
    <cellStyle name="Normal 2 24 4 2" xfId="13265"/>
    <cellStyle name="20% - Accent1 2 4 2" xfId="13266"/>
    <cellStyle name="20% - Accent1 3 4 2" xfId="13267"/>
    <cellStyle name="20% - Accent1 4 4 2" xfId="13268"/>
    <cellStyle name="20% - Accent1 5 4 2" xfId="13269"/>
    <cellStyle name="20% - Accent2 2 4 2" xfId="13270"/>
    <cellStyle name="20% - Accent2 3 4 2" xfId="13271"/>
    <cellStyle name="20% - Accent2 4 4 2" xfId="13272"/>
    <cellStyle name="20% - Accent2 5 4 2" xfId="13273"/>
    <cellStyle name="20% - Accent3 2 4 2" xfId="13274"/>
    <cellStyle name="20% - Accent3 3 4 2" xfId="13275"/>
    <cellStyle name="20% - Accent3 4 4 2" xfId="13276"/>
    <cellStyle name="20% - Accent3 5 4 2" xfId="13277"/>
    <cellStyle name="20% - Accent4 2 4 2" xfId="13278"/>
    <cellStyle name="20% - Accent4 3 4 2" xfId="13279"/>
    <cellStyle name="20% - Accent4 4 4 2" xfId="13280"/>
    <cellStyle name="20% - Accent4 5 4 2" xfId="13281"/>
    <cellStyle name="20% - Accent5 2 4 2" xfId="13282"/>
    <cellStyle name="20% - Accent5 3 4 2" xfId="13283"/>
    <cellStyle name="20% - Accent5 4 4 2" xfId="13284"/>
    <cellStyle name="20% - Accent6 2 4 2" xfId="13285"/>
    <cellStyle name="20% - Accent6 3 4 2" xfId="13286"/>
    <cellStyle name="20% - Accent6 4 4 2" xfId="13287"/>
    <cellStyle name="40% - Accent1 2 4 2" xfId="13288"/>
    <cellStyle name="40% - Accent1 3 4 2" xfId="13289"/>
    <cellStyle name="40% - Accent1 4 4 2" xfId="13290"/>
    <cellStyle name="40% - Accent1 5 4 2" xfId="13291"/>
    <cellStyle name="40% - Accent2 2 4 2" xfId="13292"/>
    <cellStyle name="40% - Accent2 3 4 2" xfId="13293"/>
    <cellStyle name="40% - Accent2 4 4 2" xfId="13294"/>
    <cellStyle name="40% - Accent3 2 4 2" xfId="13295"/>
    <cellStyle name="40% - Accent3 3 4 2" xfId="13296"/>
    <cellStyle name="40% - Accent3 4 4 2" xfId="13297"/>
    <cellStyle name="40% - Accent3 5 4 2" xfId="13298"/>
    <cellStyle name="40% - Accent4 2 4 2" xfId="13299"/>
    <cellStyle name="40% - Accent4 3 4 2" xfId="13300"/>
    <cellStyle name="40% - Accent4 4 4 2" xfId="13301"/>
    <cellStyle name="40% - Accent4 5 4 2" xfId="13302"/>
    <cellStyle name="40% - Accent5 2 4 2" xfId="13303"/>
    <cellStyle name="40% - Accent5 3 4 2" xfId="13304"/>
    <cellStyle name="40% - Accent5 4 4 2" xfId="13305"/>
    <cellStyle name="40% - Accent6 2 4 2" xfId="13306"/>
    <cellStyle name="40% - Accent6 3 4 2" xfId="13307"/>
    <cellStyle name="40% - Accent6 4 4 2" xfId="13308"/>
    <cellStyle name="40% - Accent6 5 4 2" xfId="13309"/>
    <cellStyle name="Comma 143 4 2" xfId="13310"/>
    <cellStyle name="Comma 144 4 2" xfId="13311"/>
    <cellStyle name="Comma 145 4 2" xfId="13312"/>
    <cellStyle name="Comma 146 4 2" xfId="13313"/>
    <cellStyle name="Comma 147 4 2" xfId="13314"/>
    <cellStyle name="Comma 148 4 2" xfId="13315"/>
    <cellStyle name="Comma 149 4 2" xfId="13316"/>
    <cellStyle name="Comma 150 4 2" xfId="13317"/>
    <cellStyle name="Comma 151 4 2" xfId="13318"/>
    <cellStyle name="Comma 152 4 2" xfId="13319"/>
    <cellStyle name="Comma 153 4 2" xfId="13320"/>
    <cellStyle name="Comma 182 4 2" xfId="13321"/>
    <cellStyle name="Comma 2 23 4 2" xfId="13322"/>
    <cellStyle name="Comma 2 2 10 4 2" xfId="13323"/>
    <cellStyle name="Comma 2 2 11 4 2" xfId="13324"/>
    <cellStyle name="Comma 2 2 12 4 2" xfId="13325"/>
    <cellStyle name="Comma 2 2 13 4 2" xfId="13326"/>
    <cellStyle name="Comma 2 2 14 4 2" xfId="13327"/>
    <cellStyle name="Comma 2 2 15 4 2" xfId="13328"/>
    <cellStyle name="Comma 2 2 16 4 2" xfId="13329"/>
    <cellStyle name="Comma 2 2 17 4 2" xfId="13330"/>
    <cellStyle name="Comma 2 2 2 2 8 2" xfId="13331"/>
    <cellStyle name="Comma 2 2 2 2 2 4 2" xfId="13332"/>
    <cellStyle name="Comma 2 2 2 2 3 4 2" xfId="13333"/>
    <cellStyle name="Comma 2 2 2 2 4 4 2" xfId="13334"/>
    <cellStyle name="Comma 2 2 2 2 5 4 2" xfId="13335"/>
    <cellStyle name="Comma 2 2 2 3 4 2" xfId="13336"/>
    <cellStyle name="Comma 2 2 2 4 4 2" xfId="13337"/>
    <cellStyle name="Comma 2 2 2 5 4 2" xfId="13338"/>
    <cellStyle name="Comma 2 2 2 6 4 2" xfId="13339"/>
    <cellStyle name="Comma 2 2 3 8 2" xfId="13340"/>
    <cellStyle name="Comma 2 2 3 2 2 4 2" xfId="13341"/>
    <cellStyle name="Comma 2 2 3 2 3 4 2" xfId="13342"/>
    <cellStyle name="Comma 2 2 3 2 4 4 2" xfId="13343"/>
    <cellStyle name="Comma 2 2 3 2 5 4 2" xfId="13344"/>
    <cellStyle name="Comma 2 2 3 3 4 2" xfId="13345"/>
    <cellStyle name="Comma 2 2 4 2 4 2" xfId="13346"/>
    <cellStyle name="Comma 2 2 5 4 2" xfId="13347"/>
    <cellStyle name="Comma 2 2 6 4 2" xfId="13348"/>
    <cellStyle name="Comma 2 2 7 4 2" xfId="13349"/>
    <cellStyle name="Comma 2 2 8 4 2" xfId="13350"/>
    <cellStyle name="Comma 2 2 9 4 2" xfId="13351"/>
    <cellStyle name="Comma 3 10 4 2" xfId="13352"/>
    <cellStyle name="Comma 3 11 4 2" xfId="13353"/>
    <cellStyle name="Comma 3 12 4 2" xfId="13354"/>
    <cellStyle name="Comma 3 13 4 2" xfId="13355"/>
    <cellStyle name="Comma 3 14 4 2" xfId="13356"/>
    <cellStyle name="Comma 3 15 4 2" xfId="13357"/>
    <cellStyle name="Comma 3 16 4 2" xfId="13358"/>
    <cellStyle name="Comma 3 17 4 2" xfId="13359"/>
    <cellStyle name="Comma 3 18 4 2" xfId="13360"/>
    <cellStyle name="Comma 3 19 4 2" xfId="13361"/>
    <cellStyle name="Comma 3 2 2 4 2" xfId="13362"/>
    <cellStyle name="Comma 3 2 3 4 2" xfId="13363"/>
    <cellStyle name="Comma 3 2 4 4 2" xfId="13364"/>
    <cellStyle name="Comma 3 2 5 4 2" xfId="13365"/>
    <cellStyle name="Comma 3 20 4 2" xfId="13366"/>
    <cellStyle name="Comma 3 21 4 2" xfId="13367"/>
    <cellStyle name="Comma 3 3 8 2" xfId="13368"/>
    <cellStyle name="Comma 3 3 2 4 2" xfId="13369"/>
    <cellStyle name="Comma 3 3 3 4 2" xfId="13370"/>
    <cellStyle name="Comma 3 3 4 4 2" xfId="13371"/>
    <cellStyle name="Comma 3 3 5 4 2" xfId="13372"/>
    <cellStyle name="Comma 3 4 5 2" xfId="13373"/>
    <cellStyle name="Comma 3 4 2 4 2" xfId="13374"/>
    <cellStyle name="Comma 3 5 5 2" xfId="13375"/>
    <cellStyle name="Comma 3 5 2 4 2" xfId="13376"/>
    <cellStyle name="Comma 3 6 5 2" xfId="13377"/>
    <cellStyle name="Comma 3 6 2 4 2" xfId="13378"/>
    <cellStyle name="Comma 3 7 4 2" xfId="13379"/>
    <cellStyle name="Comma 3 8 4 2" xfId="13380"/>
    <cellStyle name="Comma 3 9 4 2" xfId="13381"/>
    <cellStyle name="Currency 120 4 2" xfId="13382"/>
    <cellStyle name="Currency 121 4 2" xfId="13383"/>
    <cellStyle name="Currency 122 4 2" xfId="13384"/>
    <cellStyle name="Currency 123 4 2" xfId="13385"/>
    <cellStyle name="Currency 124 4 2" xfId="13386"/>
    <cellStyle name="Currency 125 4 2" xfId="13387"/>
    <cellStyle name="Currency 126 4 2" xfId="13388"/>
    <cellStyle name="Currency 127 4 2" xfId="13389"/>
    <cellStyle name="Currency 128 4 2" xfId="13390"/>
    <cellStyle name="Currency 129 4 2" xfId="13391"/>
    <cellStyle name="Currency 130 4 2" xfId="13392"/>
    <cellStyle name="Currency 159 4 2" xfId="13393"/>
    <cellStyle name="Currency 2 27 4 2" xfId="13394"/>
    <cellStyle name="Currency 2 2 20 4 2" xfId="13395"/>
    <cellStyle name="Currency 2 2 10 4 2" xfId="13396"/>
    <cellStyle name="Currency 2 2 11 4 2" xfId="13397"/>
    <cellStyle name="Currency 2 2 12 4 2" xfId="13398"/>
    <cellStyle name="Currency 2 2 13 4 2" xfId="13399"/>
    <cellStyle name="Currency 2 2 14 4 2" xfId="13400"/>
    <cellStyle name="Currency 2 2 15 4 2" xfId="13401"/>
    <cellStyle name="Currency 2 2 16 4 2" xfId="13402"/>
    <cellStyle name="Currency 2 2 17 4 2" xfId="13403"/>
    <cellStyle name="Currency 2 2 18 4 2" xfId="13404"/>
    <cellStyle name="Currency 2 2 2 2 4 2" xfId="13405"/>
    <cellStyle name="Currency 2 2 2 3 4 2" xfId="13406"/>
    <cellStyle name="Currency 2 2 2 4 4 2" xfId="13407"/>
    <cellStyle name="Currency 2 2 2 5 4 2" xfId="13408"/>
    <cellStyle name="Currency 2 2 3 8 2" xfId="13409"/>
    <cellStyle name="Currency 2 2 3 2 4 2" xfId="13410"/>
    <cellStyle name="Currency 2 2 3 3 4 2" xfId="13411"/>
    <cellStyle name="Currency 2 2 3 4 4 2" xfId="13412"/>
    <cellStyle name="Currency 2 2 3 5 4 2" xfId="13413"/>
    <cellStyle name="Currency 2 2 4 4 2" xfId="13414"/>
    <cellStyle name="Currency 2 2 5 4 2" xfId="13415"/>
    <cellStyle name="Currency 2 2 6 4 2" xfId="13416"/>
    <cellStyle name="Currency 2 2 7 4 2" xfId="13417"/>
    <cellStyle name="Currency 2 2 8 4 2" xfId="13418"/>
    <cellStyle name="Currency 2 2 9 4 2" xfId="13419"/>
    <cellStyle name="Currency 3 10 4 2" xfId="13420"/>
    <cellStyle name="Currency 3 11 4 2" xfId="13421"/>
    <cellStyle name="Currency 3 12 4 2" xfId="13422"/>
    <cellStyle name="Currency 3 13 4 2" xfId="13423"/>
    <cellStyle name="Currency 3 14 4 2" xfId="13424"/>
    <cellStyle name="Currency 3 15 4 2" xfId="13425"/>
    <cellStyle name="Currency 3 16 4 2" xfId="13426"/>
    <cellStyle name="Currency 3 17 4 2" xfId="13427"/>
    <cellStyle name="Currency 3 18 4 2" xfId="13428"/>
    <cellStyle name="Currency 3 19 4 2" xfId="13429"/>
    <cellStyle name="Currency 3 2 2 4 2" xfId="13430"/>
    <cellStyle name="Currency 3 2 3 4 2" xfId="13431"/>
    <cellStyle name="Currency 3 2 4 4 2" xfId="13432"/>
    <cellStyle name="Currency 3 2 5 4 2" xfId="13433"/>
    <cellStyle name="Currency 3 20 4 2" xfId="13434"/>
    <cellStyle name="Currency 3 21 4 2" xfId="13435"/>
    <cellStyle name="Currency 3 3 10 2" xfId="13436"/>
    <cellStyle name="Currency 3 3 2 4 2" xfId="13437"/>
    <cellStyle name="Currency 3 3 3 4 2" xfId="13438"/>
    <cellStyle name="Currency 3 3 4 4 2" xfId="13439"/>
    <cellStyle name="Currency 3 3 5 4 2" xfId="13440"/>
    <cellStyle name="Currency 3 3 6 4 2" xfId="13441"/>
    <cellStyle name="Currency 3 4 5 2" xfId="13442"/>
    <cellStyle name="Currency 3 4 2 4 2" xfId="13443"/>
    <cellStyle name="Currency 3 5 5 2" xfId="13444"/>
    <cellStyle name="Currency 3 5 2 4 2" xfId="13445"/>
    <cellStyle name="Currency 3 6 5 2" xfId="13446"/>
    <cellStyle name="Currency 3 6 2 4 2" xfId="13447"/>
    <cellStyle name="Currency 3 7 4 2" xfId="13448"/>
    <cellStyle name="Currency 3 8 4 2" xfId="13449"/>
    <cellStyle name="Currency 3 9 4 2" xfId="13450"/>
    <cellStyle name="Normal 10 3 8 2" xfId="13451"/>
    <cellStyle name="Normal 10 3 2 7 2" xfId="13452"/>
    <cellStyle name="Normal 10 3 2 2 5 2" xfId="13453"/>
    <cellStyle name="Normal 10 3 2 2 2 4 2" xfId="13454"/>
    <cellStyle name="Normal 10 3 2 3 5 2" xfId="13455"/>
    <cellStyle name="Normal 10 3 2 3 2 4 2" xfId="13456"/>
    <cellStyle name="Normal 10 3 2 4 4 2" xfId="13457"/>
    <cellStyle name="Normal 10 3 3 5 2" xfId="13458"/>
    <cellStyle name="Normal 10 3 3 2 4 2" xfId="13459"/>
    <cellStyle name="Normal 10 3 4 5 2" xfId="13460"/>
    <cellStyle name="Normal 10 3 4 2 4 2" xfId="13461"/>
    <cellStyle name="Normal 10 3 5 4 2" xfId="13462"/>
    <cellStyle name="Normal 10 4 7 2" xfId="13463"/>
    <cellStyle name="Normal 10 4 2 5 2" xfId="13464"/>
    <cellStyle name="Normal 10 4 2 2 4 2" xfId="13465"/>
    <cellStyle name="Normal 10 4 3 5 2" xfId="13466"/>
    <cellStyle name="Normal 10 4 3 2 4 2" xfId="13467"/>
    <cellStyle name="Normal 10 4 4 4 2" xfId="13468"/>
    <cellStyle name="Normal 10 5 7 2" xfId="13469"/>
    <cellStyle name="Normal 10 5 2 5 2" xfId="13470"/>
    <cellStyle name="Normal 10 5 2 2 4 2" xfId="13471"/>
    <cellStyle name="Normal 10 5 3 5 2" xfId="13472"/>
    <cellStyle name="Normal 10 5 3 2 4 2" xfId="13473"/>
    <cellStyle name="Normal 10 5 4 4 2" xfId="13474"/>
    <cellStyle name="Normal 10 6 5 2" xfId="13475"/>
    <cellStyle name="Normal 10 6 2 4 2" xfId="13476"/>
    <cellStyle name="Normal 10 7 5 2" xfId="13477"/>
    <cellStyle name="Normal 10 7 2 4 2" xfId="13478"/>
    <cellStyle name="Normal 10 8 2 4 2" xfId="13479"/>
    <cellStyle name="Normal 10 9 4 2" xfId="13480"/>
    <cellStyle name="Normal 11 4 4 2" xfId="13481"/>
    <cellStyle name="Normal 11 3 4 2" xfId="13482"/>
    <cellStyle name="Normal 12 10 2" xfId="13483"/>
    <cellStyle name="Normal 12 2 2 7 2" xfId="13484"/>
    <cellStyle name="Normal 12 2 2 2 5 2" xfId="13485"/>
    <cellStyle name="Normal 12 2 2 2 2 4 2" xfId="13486"/>
    <cellStyle name="Normal 12 2 2 3 5 2" xfId="13487"/>
    <cellStyle name="Normal 12 2 2 3 2 4 2" xfId="13488"/>
    <cellStyle name="Normal 12 2 2 4 4 2" xfId="13489"/>
    <cellStyle name="Normal 12 2 3 5 2" xfId="13490"/>
    <cellStyle name="Normal 12 2 3 2 4 2" xfId="13491"/>
    <cellStyle name="Normal 12 2 4 5 2" xfId="13492"/>
    <cellStyle name="Normal 12 2 4 2 4 2" xfId="13493"/>
    <cellStyle name="Normal 12 2 5 2 4 2" xfId="13494"/>
    <cellStyle name="Normal 12 2 6 4 2" xfId="13495"/>
    <cellStyle name="Normal 12 3 7 2" xfId="13496"/>
    <cellStyle name="Normal 12 3 2 5 2" xfId="13497"/>
    <cellStyle name="Normal 12 3 2 2 4 2" xfId="13498"/>
    <cellStyle name="Normal 12 3 3 5 2" xfId="13499"/>
    <cellStyle name="Normal 12 3 3 2 4 2" xfId="13500"/>
    <cellStyle name="Normal 12 3 4 4 2" xfId="13501"/>
    <cellStyle name="Normal 12 4 7 2" xfId="13502"/>
    <cellStyle name="Normal 12 4 2 5 2" xfId="13503"/>
    <cellStyle name="Normal 12 4 2 2 4 2" xfId="13504"/>
    <cellStyle name="Normal 12 4 3 5 2" xfId="13505"/>
    <cellStyle name="Normal 12 4 3 2 4 2" xfId="13506"/>
    <cellStyle name="Normal 12 4 4 4 2" xfId="13507"/>
    <cellStyle name="Normal 12 5 5 2" xfId="13508"/>
    <cellStyle name="Normal 12 5 2 4 2" xfId="13509"/>
    <cellStyle name="Normal 12 6 5 2" xfId="13510"/>
    <cellStyle name="Normal 12 6 2 4 2" xfId="13511"/>
    <cellStyle name="Normal 12 7 4 2" xfId="13512"/>
    <cellStyle name="Normal 15 8 2" xfId="13513"/>
    <cellStyle name="Normal 15 3 4 2" xfId="13514"/>
    <cellStyle name="Normal 16 2 7 2" xfId="13515"/>
    <cellStyle name="Normal 16 2 2 5 2" xfId="13516"/>
    <cellStyle name="Normal 16 2 2 2 4 2" xfId="13517"/>
    <cellStyle name="Normal 16 2 3 5 2" xfId="13518"/>
    <cellStyle name="Normal 16 2 3 2 4 2" xfId="13519"/>
    <cellStyle name="Normal 16 2 4 4 2" xfId="13520"/>
    <cellStyle name="Normal 16 3 5 2" xfId="13521"/>
    <cellStyle name="Normal 16 3 2 4 2" xfId="13522"/>
    <cellStyle name="Normal 16 4 5 2" xfId="13523"/>
    <cellStyle name="Normal 16 4 2 4 2" xfId="13524"/>
    <cellStyle name="Normal 16 5 2 4 2" xfId="13525"/>
    <cellStyle name="Normal 16 6 4 2" xfId="13526"/>
    <cellStyle name="Normal 17 2 7 2" xfId="13527"/>
    <cellStyle name="Normal 17 2 2 5 2" xfId="13528"/>
    <cellStyle name="Normal 17 2 2 2 4 2" xfId="13529"/>
    <cellStyle name="Normal 17 2 3 5 2" xfId="13530"/>
    <cellStyle name="Normal 17 2 3 2 4 2" xfId="13531"/>
    <cellStyle name="Normal 17 2 4 4 2" xfId="13532"/>
    <cellStyle name="Normal 17 3 5 2" xfId="13533"/>
    <cellStyle name="Normal 17 3 2 4 2" xfId="13534"/>
    <cellStyle name="Normal 17 4 5 2" xfId="13535"/>
    <cellStyle name="Normal 17 4 2 4 2" xfId="13536"/>
    <cellStyle name="Normal 17 5 2 4 2" xfId="13537"/>
    <cellStyle name="Normal 17 6 4 2" xfId="13538"/>
    <cellStyle name="Normal 2 10 3 4 2" xfId="13539"/>
    <cellStyle name="Normal 2 11 3 4 2" xfId="13540"/>
    <cellStyle name="Normal 2 12 3 4 2" xfId="13541"/>
    <cellStyle name="Normal 2 13 3 4 2" xfId="13542"/>
    <cellStyle name="Normal 2 14 3 4 2" xfId="13543"/>
    <cellStyle name="Normal 2 15 3 4 2" xfId="13544"/>
    <cellStyle name="Normal 2 16 3 4 2" xfId="13545"/>
    <cellStyle name="Normal 2 17 3 4 2" xfId="13546"/>
    <cellStyle name="Normal 2 18 3 4 2" xfId="13547"/>
    <cellStyle name="Normal 2 19 3 4 2" xfId="13548"/>
    <cellStyle name="Normal 2 2 10 4 2" xfId="13549"/>
    <cellStyle name="Normal 2 2 11 4 2" xfId="13550"/>
    <cellStyle name="Normal 2 2 12 4 2" xfId="13551"/>
    <cellStyle name="Normal 2 2 13 4 2" xfId="13552"/>
    <cellStyle name="Normal 2 2 14 4 2" xfId="13553"/>
    <cellStyle name="Normal 2 2 15 4 2" xfId="13554"/>
    <cellStyle name="Normal 2 2 16 4 2" xfId="13555"/>
    <cellStyle name="Normal 2 2 17 4 2" xfId="13556"/>
    <cellStyle name="Normal 2 2 18 4 2" xfId="13557"/>
    <cellStyle name="Normal 2 2 19 4 2" xfId="13558"/>
    <cellStyle name="Normal 2 2 2 2 8 2" xfId="13559"/>
    <cellStyle name="Normal 2 2 2 2 2 5 2" xfId="13560"/>
    <cellStyle name="Normal 2 2 2 2 2 2 4 2" xfId="13561"/>
    <cellStyle name="Normal 2 2 2 2 3 4 2" xfId="13562"/>
    <cellStyle name="Normal 2 2 2 2 4 4 2" xfId="13563"/>
    <cellStyle name="Normal 2 2 2 2 5 4 2" xfId="13564"/>
    <cellStyle name="Normal 2 2 20 4 2" xfId="13565"/>
    <cellStyle name="Normal 2 2 21 4 2" xfId="13566"/>
    <cellStyle name="Normal 2 2 22 4 2" xfId="13567"/>
    <cellStyle name="Normal 2 2 3 11 2" xfId="13568"/>
    <cellStyle name="Normal 2 2 3 2 4 2" xfId="13569"/>
    <cellStyle name="Normal 2 2 3 3 4 2" xfId="13570"/>
    <cellStyle name="Normal 2 2 3 4 4 2" xfId="13571"/>
    <cellStyle name="Normal 2 2 3 5 4 2" xfId="13572"/>
    <cellStyle name="Normal 2 2 3 6 4 2" xfId="13573"/>
    <cellStyle name="Normal 2 2 4 7 2" xfId="13574"/>
    <cellStyle name="Normal 2 2 4 2 4 2" xfId="13575"/>
    <cellStyle name="Normal 2 2 5 6 2" xfId="13576"/>
    <cellStyle name="Normal 2 2 5 2 4 2" xfId="13577"/>
    <cellStyle name="Normal 2 2 6 4 2" xfId="13578"/>
    <cellStyle name="Normal 2 2 7 4 2" xfId="13579"/>
    <cellStyle name="Normal 2 2 8 4 2" xfId="13580"/>
    <cellStyle name="Normal 2 2 9 4 2" xfId="13581"/>
    <cellStyle name="Normal 2 20 4 2" xfId="13582"/>
    <cellStyle name="Normal 2 3 2 5 2" xfId="13583"/>
    <cellStyle name="Normal 2 3 3 4 2" xfId="13584"/>
    <cellStyle name="Normal 2 3 4 4 2" xfId="13585"/>
    <cellStyle name="Normal 2 3 5 4 2" xfId="13586"/>
    <cellStyle name="Normal 2 3 6 4 2" xfId="13587"/>
    <cellStyle name="Normal 2 4 5 4 2" xfId="13588"/>
    <cellStyle name="Normal 2 4 2 4 2" xfId="13589"/>
    <cellStyle name="Normal 2 5 3 4 2" xfId="13590"/>
    <cellStyle name="Normal 2 6 3 4 2" xfId="13591"/>
    <cellStyle name="Normal 2 7 3 4 2" xfId="13592"/>
    <cellStyle name="Normal 2 8 3 4 2" xfId="13593"/>
    <cellStyle name="Normal 2 9 3 4 2" xfId="13594"/>
    <cellStyle name="Normal 21 11 2" xfId="13595"/>
    <cellStyle name="Normal 21 2 9 2" xfId="13596"/>
    <cellStyle name="Normal 21 2 2 4 2" xfId="13597"/>
    <cellStyle name="Normal 21 2 3 4 2" xfId="13598"/>
    <cellStyle name="Normal 21 2 4 4 2" xfId="13599"/>
    <cellStyle name="Normal 21 2 5 4 2" xfId="13600"/>
    <cellStyle name="Normal 21 2 6 4 2" xfId="13601"/>
    <cellStyle name="Normal 21 3 5 2" xfId="13602"/>
    <cellStyle name="Normal 21 3 2 4 2" xfId="13603"/>
    <cellStyle name="Normal 21 4 4 2" xfId="13604"/>
    <cellStyle name="Normal 21 5 4 2" xfId="13605"/>
    <cellStyle name="Normal 21 6 4 2" xfId="13606"/>
    <cellStyle name="Normal 21 8 4 2" xfId="13607"/>
    <cellStyle name="Normal 22 10 2" xfId="13608"/>
    <cellStyle name="Normal 22 2 9 2" xfId="13609"/>
    <cellStyle name="Normal 22 2 2 4 2" xfId="13610"/>
    <cellStyle name="Normal 22 2 3 4 2" xfId="13611"/>
    <cellStyle name="Normal 22 2 4 4 2" xfId="13612"/>
    <cellStyle name="Normal 22 2 5 4 2" xfId="13613"/>
    <cellStyle name="Normal 22 3 4 2" xfId="13614"/>
    <cellStyle name="Normal 22 4 4 2" xfId="13615"/>
    <cellStyle name="Normal 22 5 4 2" xfId="13616"/>
    <cellStyle name="Normal 22 6 4 2" xfId="13617"/>
    <cellStyle name="Normal 23 10 2" xfId="13618"/>
    <cellStyle name="Normal 23 2 8 2" xfId="13619"/>
    <cellStyle name="Normal 23 2 2 4 2" xfId="13620"/>
    <cellStyle name="Normal 23 2 3 4 2" xfId="13621"/>
    <cellStyle name="Normal 23 2 4 4 2" xfId="13622"/>
    <cellStyle name="Normal 23 2 5 4 2" xfId="13623"/>
    <cellStyle name="Normal 23 3 4 2" xfId="13624"/>
    <cellStyle name="Normal 23 4 4 2" xfId="13625"/>
    <cellStyle name="Normal 23 5 4 2" xfId="13626"/>
    <cellStyle name="Normal 23 6 4 2" xfId="13627"/>
    <cellStyle name="Normal 24 10 2" xfId="13628"/>
    <cellStyle name="Normal 24 2 8 2" xfId="13629"/>
    <cellStyle name="Normal 24 2 2 4 2" xfId="13630"/>
    <cellStyle name="Normal 24 2 3 4 2" xfId="13631"/>
    <cellStyle name="Normal 24 2 4 4 2" xfId="13632"/>
    <cellStyle name="Normal 24 2 5 4 2" xfId="13633"/>
    <cellStyle name="Normal 24 3 4 2" xfId="13634"/>
    <cellStyle name="Normal 24 4 4 2" xfId="13635"/>
    <cellStyle name="Normal 24 5 4 2" xfId="13636"/>
    <cellStyle name="Normal 24 6 4 2" xfId="13637"/>
    <cellStyle name="Normal 26 10 2" xfId="13638"/>
    <cellStyle name="Normal 26 2 8 2" xfId="13639"/>
    <cellStyle name="Normal 26 2 2 4 2" xfId="13640"/>
    <cellStyle name="Normal 26 2 3 4 2" xfId="13641"/>
    <cellStyle name="Normal 26 2 4 4 2" xfId="13642"/>
    <cellStyle name="Normal 26 2 5 4 2" xfId="13643"/>
    <cellStyle name="Normal 26 3 4 2" xfId="13644"/>
    <cellStyle name="Normal 26 4 4 2" xfId="13645"/>
    <cellStyle name="Normal 26 5 4 2" xfId="13646"/>
    <cellStyle name="Normal 26 6 4 2" xfId="13647"/>
    <cellStyle name="Normal 3 10 4 2" xfId="13648"/>
    <cellStyle name="Normal 3 11 4 2" xfId="13649"/>
    <cellStyle name="Normal 3 12 4 2" xfId="13650"/>
    <cellStyle name="Normal 3 13 4 2" xfId="13651"/>
    <cellStyle name="Normal 3 14 4 2" xfId="13652"/>
    <cellStyle name="Normal 3 15 4 2" xfId="13653"/>
    <cellStyle name="Normal 3 16 4 2" xfId="13654"/>
    <cellStyle name="Normal 3 17 4 2" xfId="13655"/>
    <cellStyle name="Normal 3 18 4 2" xfId="13656"/>
    <cellStyle name="Normal 3 19 4 2" xfId="13657"/>
    <cellStyle name="Normal 3 2 2 4 2" xfId="13658"/>
    <cellStyle name="Normal 3 2 3 4 2" xfId="13659"/>
    <cellStyle name="Normal 3 2 4 4 2" xfId="13660"/>
    <cellStyle name="Normal 3 2 5 4 2" xfId="13661"/>
    <cellStyle name="Normal 3 2 6 4 2" xfId="13662"/>
    <cellStyle name="Normal 3 20 4 2" xfId="13663"/>
    <cellStyle name="Normal 3 21 4 2" xfId="13664"/>
    <cellStyle name="Normal 3 22 4 2" xfId="13665"/>
    <cellStyle name="Normal 3 23 4 2" xfId="13666"/>
    <cellStyle name="Normal 3 24 4 2" xfId="13667"/>
    <cellStyle name="Normal 3 3 7 2" xfId="13668"/>
    <cellStyle name="Normal 3 3 2 4 2" xfId="13669"/>
    <cellStyle name="Normal 3 3 3 4 2" xfId="13670"/>
    <cellStyle name="Normal 3 4 5 2" xfId="13671"/>
    <cellStyle name="Normal 3 4 2 4 2" xfId="13672"/>
    <cellStyle name="Normal 3 5 5 2" xfId="13673"/>
    <cellStyle name="Normal 3 5 2 4 2" xfId="13674"/>
    <cellStyle name="Normal 3 6 4 2" xfId="13675"/>
    <cellStyle name="Normal 3 7 4 2" xfId="13676"/>
    <cellStyle name="Normal 3 8 4 2" xfId="13677"/>
    <cellStyle name="Normal 3 9 4 2" xfId="13678"/>
    <cellStyle name="Normal 4 2 10 4 2" xfId="13679"/>
    <cellStyle name="Normal 4 2 11 4 2" xfId="13680"/>
    <cellStyle name="Normal 4 2 12 4 2" xfId="13681"/>
    <cellStyle name="Normal 4 2 13 4 2" xfId="13682"/>
    <cellStyle name="Normal 4 2 14 4 2" xfId="13683"/>
    <cellStyle name="Normal 4 2 15 4 2" xfId="13684"/>
    <cellStyle name="Normal 4 2 16 4 2" xfId="13685"/>
    <cellStyle name="Normal 4 2 17 4 2" xfId="13686"/>
    <cellStyle name="Normal 4 2 18 4 2" xfId="13687"/>
    <cellStyle name="Normal 4 2 19 4 2" xfId="13688"/>
    <cellStyle name="Normal 4 2 2 8 2" xfId="13689"/>
    <cellStyle name="Normal 4 2 2 2 4 2" xfId="13690"/>
    <cellStyle name="Normal 4 2 2 3 4 2" xfId="13691"/>
    <cellStyle name="Normal 4 2 2 4 4 2" xfId="13692"/>
    <cellStyle name="Normal 4 2 2 5 4 2" xfId="13693"/>
    <cellStyle name="Normal 4 2 20 4 2" xfId="13694"/>
    <cellStyle name="Normal 4 2 21 4 2" xfId="13695"/>
    <cellStyle name="Normal 4 2 22 4 2" xfId="13696"/>
    <cellStyle name="Normal 4 2 23 4 2" xfId="13697"/>
    <cellStyle name="Normal 4 2 24 4 2" xfId="13698"/>
    <cellStyle name="Normal 4 2 3 5 2" xfId="13699"/>
    <cellStyle name="Normal 4 2 3 2 4 2" xfId="13700"/>
    <cellStyle name="Normal 4 2 4 5 2" xfId="13701"/>
    <cellStyle name="Normal 4 2 4 2 4 2" xfId="13702"/>
    <cellStyle name="Normal 4 2 5 5 2" xfId="13703"/>
    <cellStyle name="Normal 4 2 5 2 4 2" xfId="13704"/>
    <cellStyle name="Normal 4 2 6 4 2" xfId="13705"/>
    <cellStyle name="Normal 4 2 7 4 2" xfId="13706"/>
    <cellStyle name="Normal 4 2 8 4 2" xfId="13707"/>
    <cellStyle name="Normal 4 2 9 4 2" xfId="13708"/>
    <cellStyle name="Normal 4 3 9 2" xfId="13709"/>
    <cellStyle name="Normal 4 3 2 8 2" xfId="13710"/>
    <cellStyle name="Normal 4 3 2 2 7 2" xfId="13711"/>
    <cellStyle name="Normal 4 3 2 2 2 5 2" xfId="13712"/>
    <cellStyle name="Normal 4 3 2 2 2 2 4 2" xfId="13713"/>
    <cellStyle name="Normal 4 3 2 2 3 5 2" xfId="13714"/>
    <cellStyle name="Normal 4 3 2 2 3 2 4 2" xfId="13715"/>
    <cellStyle name="Normal 4 3 2 2 4 4 2" xfId="13716"/>
    <cellStyle name="Normal 4 3 2 3 5 2" xfId="13717"/>
    <cellStyle name="Normal 4 3 2 3 2 4 2" xfId="13718"/>
    <cellStyle name="Normal 4 3 2 4 5 2" xfId="13719"/>
    <cellStyle name="Normal 4 3 2 4 2 4 2" xfId="13720"/>
    <cellStyle name="Normal 4 3 2 5 4 2" xfId="13721"/>
    <cellStyle name="Normal 4 3 3 7 2" xfId="13722"/>
    <cellStyle name="Normal 4 3 3 2 5 2" xfId="13723"/>
    <cellStyle name="Normal 4 3 3 2 2 4 2" xfId="13724"/>
    <cellStyle name="Normal 4 3 3 3 5 2" xfId="13725"/>
    <cellStyle name="Normal 4 3 3 3 2 4 2" xfId="13726"/>
    <cellStyle name="Normal 4 3 3 4 4 2" xfId="13727"/>
    <cellStyle name="Normal 4 3 4 5 2" xfId="13728"/>
    <cellStyle name="Normal 4 3 4 2 4 2" xfId="13729"/>
    <cellStyle name="Normal 4 3 5 5 2" xfId="13730"/>
    <cellStyle name="Normal 4 3 5 2 4 2" xfId="13731"/>
    <cellStyle name="Normal 4 3 6 4 2" xfId="13732"/>
    <cellStyle name="Normal 4 4 6 2" xfId="13733"/>
    <cellStyle name="Normal 4 4 2 4 2" xfId="13734"/>
    <cellStyle name="Normal 4 5 4 2" xfId="13735"/>
    <cellStyle name="Normal 4 6 4 2" xfId="13736"/>
    <cellStyle name="Normal 4 7 4 2" xfId="13737"/>
    <cellStyle name="Normal 4 8 4 2" xfId="13738"/>
    <cellStyle name="Normal 41 2 4 2" xfId="13739"/>
    <cellStyle name="Normal 46 4 2" xfId="13740"/>
    <cellStyle name="Normal 5 28 4 2" xfId="13741"/>
    <cellStyle name="Normal 5 2 9 2" xfId="13742"/>
    <cellStyle name="Normal 5 2 2 2 2 4 2" xfId="13743"/>
    <cellStyle name="Normal 5 2 2 3 4 2" xfId="13744"/>
    <cellStyle name="Normal 5 2 3 2 2 4 2" xfId="13745"/>
    <cellStyle name="Normal 5 2 3 3 4 2" xfId="13746"/>
    <cellStyle name="Normal 5 2 4 2 4 2" xfId="13747"/>
    <cellStyle name="Normal 5 2 6 4 2" xfId="13748"/>
    <cellStyle name="Normal 5 24 4 2" xfId="13749"/>
    <cellStyle name="Normal 5 3 5 2" xfId="13750"/>
    <cellStyle name="Normal 5 4 5 2" xfId="13751"/>
    <cellStyle name="Normal 5 5 5 2" xfId="13752"/>
    <cellStyle name="Normal 5 6 5 2" xfId="13753"/>
    <cellStyle name="Normal 5 7 5 2" xfId="13754"/>
    <cellStyle name="Normal 7 25 4 2" xfId="13755"/>
    <cellStyle name="Normal 7 10 4 2" xfId="13756"/>
    <cellStyle name="Normal 7 11 4 2" xfId="13757"/>
    <cellStyle name="Normal 7 12 4 2" xfId="13758"/>
    <cellStyle name="Normal 7 13 4 2" xfId="13759"/>
    <cellStyle name="Normal 7 14 4 2" xfId="13760"/>
    <cellStyle name="Normal 7 15 4 2" xfId="13761"/>
    <cellStyle name="Normal 7 16 4 2" xfId="13762"/>
    <cellStyle name="Normal 7 17 4 2" xfId="13763"/>
    <cellStyle name="Normal 7 18 4 2" xfId="13764"/>
    <cellStyle name="Normal 7 19 4 2" xfId="13765"/>
    <cellStyle name="Normal 7 2 8 2" xfId="13766"/>
    <cellStyle name="Normal 7 2 2 4 2" xfId="13767"/>
    <cellStyle name="Normal 7 2 3 4 2" xfId="13768"/>
    <cellStyle name="Normal 7 2 4 4 2" xfId="13769"/>
    <cellStyle name="Normal 7 2 5 4 2" xfId="13770"/>
    <cellStyle name="Normal 7 20 4 2" xfId="13771"/>
    <cellStyle name="Normal 7 22 4 2" xfId="13772"/>
    <cellStyle name="Normal 7 3 8 2" xfId="13773"/>
    <cellStyle name="Normal 7 3 2 4 2" xfId="13774"/>
    <cellStyle name="Normal 7 3 3 4 2" xfId="13775"/>
    <cellStyle name="Normal 7 3 4 4 2" xfId="13776"/>
    <cellStyle name="Normal 7 3 5 4 2" xfId="13777"/>
    <cellStyle name="Normal 7 4 4 2" xfId="13778"/>
    <cellStyle name="Normal 7 5 4 2" xfId="13779"/>
    <cellStyle name="Normal 7 6 4 2" xfId="13780"/>
    <cellStyle name="Normal 7 7 4 2" xfId="13781"/>
    <cellStyle name="Normal 7 8 4 2" xfId="13782"/>
    <cellStyle name="Normal 7 9 4 2" xfId="13783"/>
    <cellStyle name="Normal 8 25 4 2" xfId="13784"/>
    <cellStyle name="Normal 8 10 4 2" xfId="13785"/>
    <cellStyle name="Normal 8 11 4 2" xfId="13786"/>
    <cellStyle name="Normal 8 12 4 2" xfId="13787"/>
    <cellStyle name="Normal 8 13 4 2" xfId="13788"/>
    <cellStyle name="Normal 8 14 4 2" xfId="13789"/>
    <cellStyle name="Normal 8 15 4 2" xfId="13790"/>
    <cellStyle name="Normal 8 16 4 2" xfId="13791"/>
    <cellStyle name="Normal 8 17 4 2" xfId="13792"/>
    <cellStyle name="Normal 8 18 4 2" xfId="13793"/>
    <cellStyle name="Normal 8 19 4 2" xfId="13794"/>
    <cellStyle name="Normal 8 2 6 4 2" xfId="13795"/>
    <cellStyle name="Normal 8 2 2 2 4 2" xfId="13796"/>
    <cellStyle name="Normal 8 2 3 4 2" xfId="13797"/>
    <cellStyle name="Normal 8 2 4 4 2" xfId="13798"/>
    <cellStyle name="Normal 8 2 5 4 2" xfId="13799"/>
    <cellStyle name="Normal 8 20 4 2" xfId="13800"/>
    <cellStyle name="Normal 8 22 4 2" xfId="13801"/>
    <cellStyle name="Normal 8 3 6 4 2" xfId="13802"/>
    <cellStyle name="Normal 8 3 2 4 2" xfId="13803"/>
    <cellStyle name="Normal 8 3 3 4 2" xfId="13804"/>
    <cellStyle name="Normal 8 3 4 4 2" xfId="13805"/>
    <cellStyle name="Normal 8 3 5 4 2" xfId="13806"/>
    <cellStyle name="Normal 8 4 4 2" xfId="13807"/>
    <cellStyle name="Normal 8 5 4 2" xfId="13808"/>
    <cellStyle name="Normal 8 6 4 2" xfId="13809"/>
    <cellStyle name="Normal 8 7 4 2" xfId="13810"/>
    <cellStyle name="Normal 8 8 4 2" xfId="13811"/>
    <cellStyle name="Normal 8 9 4 2" xfId="13812"/>
    <cellStyle name="Normal 9 25 4 2" xfId="13813"/>
    <cellStyle name="Normal 9 10 4 2" xfId="13814"/>
    <cellStyle name="Normal 9 11 4 2" xfId="13815"/>
    <cellStyle name="Normal 9 12 4 2" xfId="13816"/>
    <cellStyle name="Normal 9 13 4 2" xfId="13817"/>
    <cellStyle name="Normal 9 14 4 2" xfId="13818"/>
    <cellStyle name="Normal 9 15 4 2" xfId="13819"/>
    <cellStyle name="Normal 9 16 4 2" xfId="13820"/>
    <cellStyle name="Normal 9 17 4 2" xfId="13821"/>
    <cellStyle name="Normal 9 18 4 2" xfId="13822"/>
    <cellStyle name="Normal 9 19 4 2" xfId="13823"/>
    <cellStyle name="Normal 9 2 8 2" xfId="13824"/>
    <cellStyle name="Normal 9 2 2 4 2" xfId="13825"/>
    <cellStyle name="Normal 9 2 3 4 2" xfId="13826"/>
    <cellStyle name="Normal 9 2 4 4 2" xfId="13827"/>
    <cellStyle name="Normal 9 2 5 4 2" xfId="13828"/>
    <cellStyle name="Normal 9 20 4 2" xfId="13829"/>
    <cellStyle name="Normal 9 22 4 2" xfId="13830"/>
    <cellStyle name="Normal 9 3 8 2" xfId="13831"/>
    <cellStyle name="Normal 9 3 2 4 2" xfId="13832"/>
    <cellStyle name="Normal 9 3 3 4 2" xfId="13833"/>
    <cellStyle name="Normal 9 3 4 4 2" xfId="13834"/>
    <cellStyle name="Normal 9 3 5 4 2" xfId="13835"/>
    <cellStyle name="Normal 9 4 4 2" xfId="13836"/>
    <cellStyle name="Normal 9 5 4 2" xfId="13837"/>
    <cellStyle name="Normal 9 6 4 2" xfId="13838"/>
    <cellStyle name="Normal 9 7 4 2" xfId="13839"/>
    <cellStyle name="Normal 9 8 4 2" xfId="13840"/>
    <cellStyle name="Normal 9 9 4 2" xfId="13841"/>
    <cellStyle name="Note 2 4 2 2" xfId="13842"/>
    <cellStyle name="Note 3 4 2" xfId="13843"/>
    <cellStyle name="Note 4 4 2" xfId="13844"/>
    <cellStyle name="Note 7 4 2" xfId="13845"/>
    <cellStyle name="Percent 120 4 2" xfId="13846"/>
    <cellStyle name="Percent 121 4 2" xfId="13847"/>
    <cellStyle name="Percent 122 4 2" xfId="13848"/>
    <cellStyle name="Percent 123 4 2" xfId="13849"/>
    <cellStyle name="Percent 124 4 2" xfId="13850"/>
    <cellStyle name="Percent 125 4 2" xfId="13851"/>
    <cellStyle name="Percent 126 4 2" xfId="13852"/>
    <cellStyle name="Percent 127 4 2" xfId="13853"/>
    <cellStyle name="Percent 128 4 2" xfId="13854"/>
    <cellStyle name="Percent 129 4 2" xfId="13855"/>
    <cellStyle name="Percent 130 4 2" xfId="13856"/>
    <cellStyle name="Percent 159 4 2" xfId="13857"/>
    <cellStyle name="Percent 2 22 4 2" xfId="13858"/>
    <cellStyle name="Percent 25 2 5 2" xfId="13859"/>
    <cellStyle name="Percent 25 2 2 4 2" xfId="13860"/>
    <cellStyle name="Percent 25 3 5 2" xfId="13861"/>
    <cellStyle name="Percent 25 3 2 4 2" xfId="13862"/>
    <cellStyle name="Percent 25 4 2 4 2" xfId="13863"/>
    <cellStyle name="Percent 25 5 4 2" xfId="13864"/>
    <cellStyle name="Percent 26 2 5 2" xfId="13865"/>
    <cellStyle name="Percent 26 2 2 4 2" xfId="13866"/>
    <cellStyle name="Percent 26 3 5 2" xfId="13867"/>
    <cellStyle name="Percent 26 3 2 4 2" xfId="13868"/>
    <cellStyle name="Percent 26 4 2 4 2" xfId="13869"/>
    <cellStyle name="Percent 26 5 4 2" xfId="13870"/>
    <cellStyle name="Percent 27 2 5 2" xfId="13871"/>
    <cellStyle name="Percent 27 2 2 4 2" xfId="13872"/>
    <cellStyle name="Percent 27 3 5 2" xfId="13873"/>
    <cellStyle name="Percent 27 3 2 4 2" xfId="13874"/>
    <cellStyle name="Percent 27 4 2 4 2" xfId="13875"/>
    <cellStyle name="Percent 27 5 4 2" xfId="13876"/>
    <cellStyle name="Percent 28 2 5 2" xfId="13877"/>
    <cellStyle name="Percent 28 2 2 4 2" xfId="13878"/>
    <cellStyle name="Percent 28 3 5 2" xfId="13879"/>
    <cellStyle name="Percent 28 3 2 4 2" xfId="13880"/>
    <cellStyle name="Percent 28 4 2 4 2" xfId="13881"/>
    <cellStyle name="Percent 28 5 4 2" xfId="13882"/>
    <cellStyle name="Percent 29 2 5 2" xfId="13883"/>
    <cellStyle name="Percent 29 2 2 4 2" xfId="13884"/>
    <cellStyle name="Percent 29 3 5 2" xfId="13885"/>
    <cellStyle name="Percent 29 3 2 4 2" xfId="13886"/>
    <cellStyle name="Percent 29 4 2 4 2" xfId="13887"/>
    <cellStyle name="Percent 29 5 4 2" xfId="13888"/>
    <cellStyle name="Percent 3 10 4 2" xfId="13889"/>
    <cellStyle name="Percent 3 11 4 2" xfId="13890"/>
    <cellStyle name="Percent 3 12 4 2" xfId="13891"/>
    <cellStyle name="Percent 3 13 4 2" xfId="13892"/>
    <cellStyle name="Percent 3 14 4 2" xfId="13893"/>
    <cellStyle name="Percent 3 15 4 2" xfId="13894"/>
    <cellStyle name="Percent 3 16 4 2" xfId="13895"/>
    <cellStyle name="Percent 3 17 4 2" xfId="13896"/>
    <cellStyle name="Percent 3 18 4 2" xfId="13897"/>
    <cellStyle name="Percent 3 19 4 2" xfId="13898"/>
    <cellStyle name="Percent 3 2 25 2" xfId="13899"/>
    <cellStyle name="Percent 3 2 10 4 2" xfId="13900"/>
    <cellStyle name="Percent 3 2 11 4 2" xfId="13901"/>
    <cellStyle name="Percent 3 2 12 4 2" xfId="13902"/>
    <cellStyle name="Percent 3 2 13 4 2" xfId="13903"/>
    <cellStyle name="Percent 3 2 14 4 2" xfId="13904"/>
    <cellStyle name="Percent 3 2 15 4 2" xfId="13905"/>
    <cellStyle name="Percent 3 2 16 4 2" xfId="13906"/>
    <cellStyle name="Percent 3 2 17 4 2" xfId="13907"/>
    <cellStyle name="Percent 3 2 18 4 2" xfId="13908"/>
    <cellStyle name="Percent 3 2 19 4 2" xfId="13909"/>
    <cellStyle name="Percent 3 2 2 2 4 2" xfId="13910"/>
    <cellStyle name="Percent 3 2 2 3 4 2" xfId="13911"/>
    <cellStyle name="Percent 3 2 2 4 4 2" xfId="13912"/>
    <cellStyle name="Percent 3 2 2 5 4 2" xfId="13913"/>
    <cellStyle name="Percent 3 2 20 4 2" xfId="13914"/>
    <cellStyle name="Percent 3 2 21 2 4 2" xfId="13915"/>
    <cellStyle name="Percent 3 2 3 8 2" xfId="13916"/>
    <cellStyle name="Percent 3 2 3 2 4 2" xfId="13917"/>
    <cellStyle name="Percent 3 2 3 3 4 2" xfId="13918"/>
    <cellStyle name="Percent 3 2 3 4 4 2" xfId="13919"/>
    <cellStyle name="Percent 3 2 3 5 4 2" xfId="13920"/>
    <cellStyle name="Percent 3 2 4 5 2" xfId="13921"/>
    <cellStyle name="Percent 3 2 4 2 4 2" xfId="13922"/>
    <cellStyle name="Percent 3 2 5 5 2" xfId="13923"/>
    <cellStyle name="Percent 3 2 5 2 4 2" xfId="13924"/>
    <cellStyle name="Percent 3 2 6 5 2" xfId="13925"/>
    <cellStyle name="Percent 3 2 6 2 4 2" xfId="13926"/>
    <cellStyle name="Percent 3 2 7 4 2" xfId="13927"/>
    <cellStyle name="Percent 3 2 8 4 2" xfId="13928"/>
    <cellStyle name="Percent 3 2 9 4 2" xfId="13929"/>
    <cellStyle name="Percent 3 20 4 2" xfId="13930"/>
    <cellStyle name="Percent 3 21 4 2" xfId="13931"/>
    <cellStyle name="Percent 3 3 2 4 2" xfId="13932"/>
    <cellStyle name="Percent 3 3 3 4 2" xfId="13933"/>
    <cellStyle name="Percent 3 3 4 4 2" xfId="13934"/>
    <cellStyle name="Percent 3 3 5 4 2" xfId="13935"/>
    <cellStyle name="Percent 3 4 8 2" xfId="13936"/>
    <cellStyle name="Percent 3 4 2 4 2" xfId="13937"/>
    <cellStyle name="Percent 3 4 3 4 2" xfId="13938"/>
    <cellStyle name="Percent 3 4 4 4 2" xfId="13939"/>
    <cellStyle name="Percent 3 4 5 4 2" xfId="13940"/>
    <cellStyle name="Percent 3 5 5 2" xfId="13941"/>
    <cellStyle name="Percent 3 5 2 4 2" xfId="13942"/>
    <cellStyle name="Percent 3 6 5 2" xfId="13943"/>
    <cellStyle name="Percent 3 6 2 4 2" xfId="13944"/>
    <cellStyle name="Percent 3 7 5 2" xfId="13945"/>
    <cellStyle name="Percent 3 7 2 4 2" xfId="13946"/>
    <cellStyle name="Percent 3 8 4 2" xfId="13947"/>
    <cellStyle name="Percent 3 9 4 2" xfId="13948"/>
    <cellStyle name="Percent 30 2 5 2" xfId="13949"/>
    <cellStyle name="Percent 30 2 2 4 2" xfId="13950"/>
    <cellStyle name="Percent 30 3 5 2" xfId="13951"/>
    <cellStyle name="Percent 30 3 2 4 2" xfId="13952"/>
    <cellStyle name="Percent 30 4 2 4 2" xfId="13953"/>
    <cellStyle name="Percent 30 5 4 2" xfId="13954"/>
    <cellStyle name="Percent 31 2 5 2" xfId="13955"/>
    <cellStyle name="Percent 31 2 2 4 2" xfId="13956"/>
    <cellStyle name="Percent 31 3 5 2" xfId="13957"/>
    <cellStyle name="Percent 31 3 2 4 2" xfId="13958"/>
    <cellStyle name="Percent 31 4 2 4 2" xfId="13959"/>
    <cellStyle name="Percent 31 5 4 2" xfId="13960"/>
    <cellStyle name="Percent 32 2 5 2" xfId="13961"/>
    <cellStyle name="Percent 32 2 2 4 2" xfId="13962"/>
    <cellStyle name="Percent 32 3 5 2" xfId="13963"/>
    <cellStyle name="Percent 32 3 2 4 2" xfId="13964"/>
    <cellStyle name="Percent 32 4 2 4 2" xfId="13965"/>
    <cellStyle name="Percent 32 5 4 2" xfId="13966"/>
    <cellStyle name="Percent 33 2 5 2" xfId="13967"/>
    <cellStyle name="Percent 33 2 2 4 2" xfId="13968"/>
    <cellStyle name="Percent 33 3 5 2" xfId="13969"/>
    <cellStyle name="Percent 33 3 2 4 2" xfId="13970"/>
    <cellStyle name="Percent 33 4 2 4 2" xfId="13971"/>
    <cellStyle name="Percent 33 5 4 2" xfId="13972"/>
    <cellStyle name="Percent 34 2 5 2" xfId="13973"/>
    <cellStyle name="Percent 34 2 2 4 2" xfId="13974"/>
    <cellStyle name="Percent 34 3 5 2" xfId="13975"/>
    <cellStyle name="Percent 34 3 2 4 2" xfId="13976"/>
    <cellStyle name="Percent 34 4 2 4 2" xfId="13977"/>
    <cellStyle name="Percent 34 5 4 2" xfId="13978"/>
    <cellStyle name="Percent 35 2 5 2" xfId="13979"/>
    <cellStyle name="Percent 35 2 2 4 2" xfId="13980"/>
    <cellStyle name="Percent 35 3 5 2" xfId="13981"/>
    <cellStyle name="Percent 35 3 2 4 2" xfId="13982"/>
    <cellStyle name="Percent 35 4 2 4 2" xfId="13983"/>
    <cellStyle name="Percent 35 5 4 2" xfId="13984"/>
    <cellStyle name="Currency 5 4 4 2" xfId="13985"/>
    <cellStyle name="Comma 5 7 4 2" xfId="13986"/>
    <cellStyle name="Percent 5 4 4 2" xfId="13987"/>
    <cellStyle name="Comma 6 5 4 2" xfId="13988"/>
    <cellStyle name="Currency 5 2 4 4 2" xfId="13989"/>
    <cellStyle name="Comma 5 2 4 4 2" xfId="13990"/>
    <cellStyle name="Percent 5 2 4 4 2" xfId="13991"/>
    <cellStyle name="Comma 6 2 3 4 2" xfId="13992"/>
    <cellStyle name="Currency 5 3 2 4 2" xfId="13993"/>
    <cellStyle name="Comma 5 3 2 4 2" xfId="13994"/>
    <cellStyle name="Percent 5 3 2 4 2" xfId="13995"/>
    <cellStyle name="Comma 6 3 4 4 2" xfId="13996"/>
    <cellStyle name="Normal 11 2 2 4 2" xfId="13997"/>
    <cellStyle name="Currency 5 2 2 2 4 2" xfId="13998"/>
    <cellStyle name="Comma 5 2 2 2 4 2" xfId="13999"/>
    <cellStyle name="Percent 5 2 2 2 4 2" xfId="14000"/>
    <cellStyle name="Comma 6 2 2 2 4 2" xfId="14001"/>
    <cellStyle name="Normal 51 4 2" xfId="14002"/>
    <cellStyle name="Comma 187 4 2" xfId="14003"/>
    <cellStyle name="Percent 163 4 2" xfId="14004"/>
    <cellStyle name="Currency 162 4 2" xfId="14005"/>
    <cellStyle name="Currency 5 6 3 2" xfId="14006"/>
    <cellStyle name="Currency 179 3 2" xfId="14007"/>
    <cellStyle name="Percent 180 3 2" xfId="14008"/>
    <cellStyle name="Comma 204 3 2" xfId="14009"/>
    <cellStyle name="Normal 8 26 3 2" xfId="14010"/>
    <cellStyle name="Comma 5 9 3 2" xfId="14011"/>
    <cellStyle name="Percent 5 6 3 2" xfId="14012"/>
    <cellStyle name="Comma 6 7 3 2" xfId="14013"/>
    <cellStyle name="Normal 11 5 3 2" xfId="14014"/>
    <cellStyle name="Currency 5 2 6 3 2" xfId="14015"/>
    <cellStyle name="Normal 8 2 7 3 2" xfId="14016"/>
    <cellStyle name="Comma 5 2 6 3 2" xfId="14017"/>
    <cellStyle name="Percent 5 2 6 3 2" xfId="14018"/>
    <cellStyle name="Comma 6 2 5 3 2" xfId="14019"/>
    <cellStyle name="Currency 5 3 4 3 2" xfId="14020"/>
    <cellStyle name="Normal 8 3 7 3 2" xfId="14021"/>
    <cellStyle name="Comma 5 3 4 3 2" xfId="14022"/>
    <cellStyle name="Percent 5 3 4 3 2" xfId="14023"/>
    <cellStyle name="Comma 6 3 6 3 2" xfId="14024"/>
    <cellStyle name="Normal 11 2 4 3 2" xfId="14025"/>
    <cellStyle name="Currency 5 2 2 4 3 2" xfId="14026"/>
    <cellStyle name="Normal 8 2 2 3 3 2" xfId="14027"/>
    <cellStyle name="Comma 5 2 2 4 3 2" xfId="14028"/>
    <cellStyle name="Percent 5 2 2 4 3 2" xfId="14029"/>
    <cellStyle name="Comma 6 2 2 3 3 2" xfId="14030"/>
    <cellStyle name="Normal 50 2 3 2" xfId="14031"/>
    <cellStyle name="Comma 186 2 3 2" xfId="14032"/>
    <cellStyle name="Percent 162 2 3 2" xfId="14033"/>
    <cellStyle name="Normal 2 24 2 3 2" xfId="14034"/>
    <cellStyle name="20% - Accent1 2 2 3 2" xfId="14035"/>
    <cellStyle name="20% - Accent1 3 2 3 2" xfId="14036"/>
    <cellStyle name="20% - Accent1 4 2 3 2" xfId="14037"/>
    <cellStyle name="20% - Accent1 5 2 3 2" xfId="14038"/>
    <cellStyle name="20% - Accent2 2 2 3 2" xfId="14039"/>
    <cellStyle name="20% - Accent2 3 2 3 2" xfId="14040"/>
    <cellStyle name="20% - Accent2 4 2 3 2" xfId="14041"/>
    <cellStyle name="20% - Accent2 5 2 3 2" xfId="14042"/>
    <cellStyle name="20% - Accent3 2 2 3 2" xfId="14043"/>
    <cellStyle name="20% - Accent3 3 2 3 2" xfId="14044"/>
    <cellStyle name="20% - Accent3 4 2 3 2" xfId="14045"/>
    <cellStyle name="20% - Accent3 5 2 3 2" xfId="14046"/>
    <cellStyle name="20% - Accent4 2 2 3 2" xfId="14047"/>
    <cellStyle name="20% - Accent4 3 2 3 2" xfId="14048"/>
    <cellStyle name="20% - Accent4 4 2 3 2" xfId="14049"/>
    <cellStyle name="20% - Accent4 5 2 3 2" xfId="14050"/>
    <cellStyle name="20% - Accent5 2 2 3 2" xfId="14051"/>
    <cellStyle name="20% - Accent5 3 2 3 2" xfId="14052"/>
    <cellStyle name="20% - Accent5 4 2 3 2" xfId="14053"/>
    <cellStyle name="20% - Accent6 2 2 3 2" xfId="14054"/>
    <cellStyle name="20% - Accent6 3 2 3 2" xfId="14055"/>
    <cellStyle name="20% - Accent6 4 2 3 2" xfId="14056"/>
    <cellStyle name="40% - Accent1 2 2 3 2" xfId="14057"/>
    <cellStyle name="40% - Accent1 3 2 3 2" xfId="14058"/>
    <cellStyle name="40% - Accent1 4 2 3 2" xfId="14059"/>
    <cellStyle name="40% - Accent1 5 2 3 2" xfId="14060"/>
    <cellStyle name="40% - Accent2 2 2 3 2" xfId="14061"/>
    <cellStyle name="40% - Accent2 3 2 3 2" xfId="14062"/>
    <cellStyle name="40% - Accent2 4 2 3 2" xfId="14063"/>
    <cellStyle name="40% - Accent3 2 2 3 2" xfId="14064"/>
    <cellStyle name="40% - Accent3 3 2 3 2" xfId="14065"/>
    <cellStyle name="40% - Accent3 4 2 3 2" xfId="14066"/>
    <cellStyle name="40% - Accent3 5 2 3 2" xfId="14067"/>
    <cellStyle name="40% - Accent4 2 2 3 2" xfId="14068"/>
    <cellStyle name="40% - Accent4 3 2 3 2" xfId="14069"/>
    <cellStyle name="40% - Accent4 4 2 3 2" xfId="14070"/>
    <cellStyle name="40% - Accent4 5 2 3 2" xfId="14071"/>
    <cellStyle name="40% - Accent5 2 2 3 2" xfId="14072"/>
    <cellStyle name="40% - Accent5 3 2 3 2" xfId="14073"/>
    <cellStyle name="40% - Accent5 4 2 3 2" xfId="14074"/>
    <cellStyle name="40% - Accent6 2 2 3 2" xfId="14075"/>
    <cellStyle name="40% - Accent6 3 2 3 2" xfId="14076"/>
    <cellStyle name="40% - Accent6 4 2 3 2" xfId="14077"/>
    <cellStyle name="40% - Accent6 5 2 3 2" xfId="14078"/>
    <cellStyle name="Comma 143 2 3 2" xfId="14079"/>
    <cellStyle name="Comma 144 2 3 2" xfId="14080"/>
    <cellStyle name="Comma 145 2 3 2" xfId="14081"/>
    <cellStyle name="Comma 146 2 3 2" xfId="14082"/>
    <cellStyle name="Comma 147 2 3 2" xfId="14083"/>
    <cellStyle name="Comma 148 2 3 2" xfId="14084"/>
    <cellStyle name="Comma 149 2 3 2" xfId="14085"/>
    <cellStyle name="Comma 150 2 3 2" xfId="14086"/>
    <cellStyle name="Comma 151 2 3 2" xfId="14087"/>
    <cellStyle name="Comma 152 2 3 2" xfId="14088"/>
    <cellStyle name="Comma 153 2 3 2" xfId="14089"/>
    <cellStyle name="Comma 182 2 3 2" xfId="14090"/>
    <cellStyle name="Comma 2 23 2 3 2" xfId="14091"/>
    <cellStyle name="Comma 2 2 10 2 3 2" xfId="14092"/>
    <cellStyle name="Comma 2 2 11 2 3 2" xfId="14093"/>
    <cellStyle name="Comma 2 2 12 2 3 2" xfId="14094"/>
    <cellStyle name="Comma 2 2 13 2 3 2" xfId="14095"/>
    <cellStyle name="Comma 2 2 14 2 3 2" xfId="14096"/>
    <cellStyle name="Comma 2 2 15 2 3 2" xfId="14097"/>
    <cellStyle name="Comma 2 2 16 2 3 2" xfId="14098"/>
    <cellStyle name="Comma 2 2 17 2 3 2" xfId="14099"/>
    <cellStyle name="Comma 2 2 2 2 6 3 2" xfId="14100"/>
    <cellStyle name="Comma 2 2 2 2 2 2 3 2" xfId="14101"/>
    <cellStyle name="Comma 2 2 2 2 3 2 3 2" xfId="14102"/>
    <cellStyle name="Comma 2 2 2 2 4 2 3 2" xfId="14103"/>
    <cellStyle name="Comma 2 2 2 2 5 2 3 2" xfId="14104"/>
    <cellStyle name="Comma 2 2 2 3 2 3 2" xfId="14105"/>
    <cellStyle name="Comma 2 2 2 4 2 3 2" xfId="14106"/>
    <cellStyle name="Comma 2 2 2 5 2 3 2" xfId="14107"/>
    <cellStyle name="Comma 2 2 2 6 2 3 2" xfId="14108"/>
    <cellStyle name="Comma 2 2 3 6 3 2" xfId="14109"/>
    <cellStyle name="Comma 2 2 3 2 2 2 3 2" xfId="14110"/>
    <cellStyle name="Comma 2 2 3 2 3 2 3 2" xfId="14111"/>
    <cellStyle name="Comma 2 2 3 2 4 2 3 2" xfId="14112"/>
    <cellStyle name="Comma 2 2 3 2 5 2 3 2" xfId="14113"/>
    <cellStyle name="Comma 2 2 3 3 2 3 2" xfId="14114"/>
    <cellStyle name="Comma 2 2 4 2 2 3 2" xfId="14115"/>
    <cellStyle name="Comma 2 2 5 2 3 2" xfId="14116"/>
    <cellStyle name="Comma 2 2 6 2 3 2" xfId="14117"/>
    <cellStyle name="Comma 2 2 7 2 3 2" xfId="14118"/>
    <cellStyle name="Comma 2 2 8 2 3 2" xfId="14119"/>
    <cellStyle name="Comma 2 2 9 2 3 2" xfId="14120"/>
    <cellStyle name="Comma 3 10 2 3 2" xfId="14121"/>
    <cellStyle name="Comma 3 11 2 3 2" xfId="14122"/>
    <cellStyle name="Comma 3 12 2 3 2" xfId="14123"/>
    <cellStyle name="Comma 3 13 2 3 2" xfId="14124"/>
    <cellStyle name="Comma 3 14 2 3 2" xfId="14125"/>
    <cellStyle name="Comma 3 15 2 3 2" xfId="14126"/>
    <cellStyle name="Comma 3 16 2 3 2" xfId="14127"/>
    <cellStyle name="Comma 3 17 2 3 2" xfId="14128"/>
    <cellStyle name="Comma 3 18 2 3 2" xfId="14129"/>
    <cellStyle name="Comma 3 19 2 3 2" xfId="14130"/>
    <cellStyle name="Comma 3 2 2 2 3 2" xfId="14131"/>
    <cellStyle name="Comma 3 2 3 2 3 2" xfId="14132"/>
    <cellStyle name="Comma 3 2 4 2 3 2" xfId="14133"/>
    <cellStyle name="Comma 3 2 5 2 3 2" xfId="14134"/>
    <cellStyle name="Comma 3 20 2 3 2" xfId="14135"/>
    <cellStyle name="Comma 3 21 2 3 2" xfId="14136"/>
    <cellStyle name="Comma 3 3 6 3 2" xfId="14137"/>
    <cellStyle name="Comma 3 3 2 2 3 2" xfId="14138"/>
    <cellStyle name="Comma 3 3 3 2 3 2" xfId="14139"/>
    <cellStyle name="Comma 3 3 4 2 3 2" xfId="14140"/>
    <cellStyle name="Comma 3 3 5 2 3 2" xfId="14141"/>
    <cellStyle name="Comma 3 4 3 3 2" xfId="14142"/>
    <cellStyle name="Comma 3 4 2 2 3 2" xfId="14143"/>
    <cellStyle name="Comma 3 5 3 3 2" xfId="14144"/>
    <cellStyle name="Comma 3 5 2 2 3 2" xfId="14145"/>
    <cellStyle name="Comma 3 6 3 3 2" xfId="14146"/>
    <cellStyle name="Comma 3 6 2 2 3 2" xfId="14147"/>
    <cellStyle name="Comma 3 7 2 3 2" xfId="14148"/>
    <cellStyle name="Comma 3 8 2 3 2" xfId="14149"/>
    <cellStyle name="Comma 3 9 2 3 2" xfId="14150"/>
    <cellStyle name="Currency 120 2 3 2" xfId="14151"/>
    <cellStyle name="Currency 121 2 3 2" xfId="14152"/>
    <cellStyle name="Currency 122 2 3 2" xfId="14153"/>
    <cellStyle name="Currency 123 2 3 2" xfId="14154"/>
    <cellStyle name="Currency 124 2 3 2" xfId="14155"/>
    <cellStyle name="Currency 125 2 3 2" xfId="14156"/>
    <cellStyle name="Currency 126 2 3 2" xfId="14157"/>
    <cellStyle name="Currency 127 2 3 2" xfId="14158"/>
    <cellStyle name="Currency 128 2 3 2" xfId="14159"/>
    <cellStyle name="Currency 129 2 3 2" xfId="14160"/>
    <cellStyle name="Currency 130 2 3 2" xfId="14161"/>
    <cellStyle name="Currency 159 2 3 2" xfId="14162"/>
    <cellStyle name="Currency 2 27 2 3 2" xfId="14163"/>
    <cellStyle name="Currency 2 2 20 2 3 2" xfId="14164"/>
    <cellStyle name="Currency 2 2 10 2 3 2" xfId="14165"/>
    <cellStyle name="Currency 2 2 11 2 3 2" xfId="14166"/>
    <cellStyle name="Currency 2 2 12 2 3 2" xfId="14167"/>
    <cellStyle name="Currency 2 2 13 2 3 2" xfId="14168"/>
    <cellStyle name="Currency 2 2 14 2 3 2" xfId="14169"/>
    <cellStyle name="Currency 2 2 15 2 3 2" xfId="14170"/>
    <cellStyle name="Currency 2 2 16 2 3 2" xfId="14171"/>
    <cellStyle name="Currency 2 2 17 2 3 2" xfId="14172"/>
    <cellStyle name="Currency 2 2 18 2 3 2" xfId="14173"/>
    <cellStyle name="Currency 2 2 2 2 2 3 2" xfId="14174"/>
    <cellStyle name="Currency 2 2 2 3 2 3 2" xfId="14175"/>
    <cellStyle name="Currency 2 2 2 4 2 3 2" xfId="14176"/>
    <cellStyle name="Currency 2 2 2 5 2 3 2" xfId="14177"/>
    <cellStyle name="Currency 2 2 3 6 3 2" xfId="14178"/>
    <cellStyle name="Currency 2 2 3 2 2 3 2" xfId="14179"/>
    <cellStyle name="Currency 2 2 3 3 2 3 2" xfId="14180"/>
    <cellStyle name="Currency 2 2 3 4 2 3 2" xfId="14181"/>
    <cellStyle name="Currency 2 2 3 5 2 3 2" xfId="14182"/>
    <cellStyle name="Currency 2 2 4 2 3 2" xfId="14183"/>
    <cellStyle name="Currency 2 2 5 2 3 2" xfId="14184"/>
    <cellStyle name="Currency 2 2 6 2 3 2" xfId="14185"/>
    <cellStyle name="Currency 2 2 7 2 3 2" xfId="14186"/>
    <cellStyle name="Currency 2 2 8 2 3 2" xfId="14187"/>
    <cellStyle name="Currency 2 2 9 2 3 2" xfId="14188"/>
    <cellStyle name="Currency 3 10 2 3 2" xfId="14189"/>
    <cellStyle name="Currency 3 11 2 3 2" xfId="14190"/>
    <cellStyle name="Currency 3 12 2 3 2" xfId="14191"/>
    <cellStyle name="Currency 3 13 2 3 2" xfId="14192"/>
    <cellStyle name="Currency 3 14 2 3 2" xfId="14193"/>
    <cellStyle name="Currency 3 15 2 3 2" xfId="14194"/>
    <cellStyle name="Currency 3 16 2 3 2" xfId="14195"/>
    <cellStyle name="Currency 3 17 2 3 2" xfId="14196"/>
    <cellStyle name="Currency 3 18 2 3 2" xfId="14197"/>
    <cellStyle name="Currency 3 19 2 3 2" xfId="14198"/>
    <cellStyle name="Currency 3 2 2 2 3 2" xfId="14199"/>
    <cellStyle name="Currency 3 2 3 2 3 2" xfId="14200"/>
    <cellStyle name="Currency 3 2 4 2 3 2" xfId="14201"/>
    <cellStyle name="Currency 3 2 5 2 3 2" xfId="14202"/>
    <cellStyle name="Currency 3 20 2 3 2" xfId="14203"/>
    <cellStyle name="Currency 3 21 2 3 2" xfId="14204"/>
    <cellStyle name="Currency 3 3 8 3 2" xfId="14205"/>
    <cellStyle name="Currency 3 3 2 2 3 2" xfId="14206"/>
    <cellStyle name="Currency 3 3 3 2 3 2" xfId="14207"/>
    <cellStyle name="Currency 3 3 4 2 3 2" xfId="14208"/>
    <cellStyle name="Currency 3 3 5 2 3 2" xfId="14209"/>
    <cellStyle name="Currency 3 3 6 2 3 2" xfId="14210"/>
    <cellStyle name="Currency 3 4 3 3 2" xfId="14211"/>
    <cellStyle name="Currency 3 4 2 2 3 2" xfId="14212"/>
    <cellStyle name="Currency 3 5 3 3 2" xfId="14213"/>
    <cellStyle name="Currency 3 5 2 2 3 2" xfId="14214"/>
    <cellStyle name="Currency 3 6 3 3 2" xfId="14215"/>
    <cellStyle name="Currency 3 6 2 2 3 2" xfId="14216"/>
    <cellStyle name="Currency 3 7 2 3 2" xfId="14217"/>
    <cellStyle name="Currency 3 8 2 3 2" xfId="14218"/>
    <cellStyle name="Currency 3 9 2 3 2" xfId="14219"/>
    <cellStyle name="Normal 10 3 6 3 2" xfId="14220"/>
    <cellStyle name="Normal 10 3 2 5 3 2" xfId="14221"/>
    <cellStyle name="Normal 10 3 2 2 3 3 2" xfId="14222"/>
    <cellStyle name="Normal 10 3 2 2 2 2 3 2" xfId="14223"/>
    <cellStyle name="Normal 10 3 2 3 3 3 2" xfId="14224"/>
    <cellStyle name="Normal 10 3 2 3 2 2 3 2" xfId="14225"/>
    <cellStyle name="Normal 10 3 2 4 2 3 2" xfId="14226"/>
    <cellStyle name="Normal 10 3 3 3 3 2" xfId="14227"/>
    <cellStyle name="Normal 10 3 3 2 2 3 2" xfId="14228"/>
    <cellStyle name="Normal 10 3 4 3 3 2" xfId="14229"/>
    <cellStyle name="Normal 10 3 4 2 2 3 2" xfId="14230"/>
    <cellStyle name="Normal 10 3 5 2 3 2" xfId="14231"/>
    <cellStyle name="Normal 10 4 5 3 2" xfId="14232"/>
    <cellStyle name="Normal 10 4 2 3 3 2" xfId="14233"/>
    <cellStyle name="Normal 10 4 2 2 2 3 2" xfId="14234"/>
    <cellStyle name="Normal 10 4 3 3 3 2" xfId="14235"/>
    <cellStyle name="Normal 10 4 3 2 2 3 2" xfId="14236"/>
    <cellStyle name="Normal 10 4 4 2 3 2" xfId="14237"/>
    <cellStyle name="Normal 10 5 5 3 2" xfId="14238"/>
    <cellStyle name="Normal 10 5 2 3 3 2" xfId="14239"/>
    <cellStyle name="Normal 10 5 2 2 2 3 2" xfId="14240"/>
    <cellStyle name="Normal 10 5 3 3 3 2" xfId="14241"/>
    <cellStyle name="Normal 10 5 3 2 2 3 2" xfId="14242"/>
    <cellStyle name="Normal 10 5 4 2 3 2" xfId="14243"/>
    <cellStyle name="Normal 10 6 3 3 2" xfId="14244"/>
    <cellStyle name="Normal 10 6 2 2 3 2" xfId="14245"/>
    <cellStyle name="Normal 10 7 3 3 2" xfId="14246"/>
    <cellStyle name="Normal 10 7 2 2 3 2" xfId="14247"/>
    <cellStyle name="Normal 10 8 2 2 3 2" xfId="14248"/>
    <cellStyle name="Normal 10 9 2 3 2" xfId="14249"/>
    <cellStyle name="Normal 11 4 2 3 2" xfId="14250"/>
    <cellStyle name="Normal 11 3 2 3 2" xfId="14251"/>
    <cellStyle name="Normal 12 8 3 2" xfId="14252"/>
    <cellStyle name="Normal 12 2 2 5 3 2" xfId="14253"/>
    <cellStyle name="Normal 12 2 2 2 3 3 2" xfId="14254"/>
    <cellStyle name="Normal 12 2 2 2 2 2 3 2" xfId="14255"/>
    <cellStyle name="Normal 12 2 2 3 3 3 2" xfId="14256"/>
    <cellStyle name="Normal 12 2 2 3 2 2 3 2" xfId="14257"/>
    <cellStyle name="Normal 12 2 2 4 2 3 2" xfId="14258"/>
    <cellStyle name="Normal 12 2 3 3 3 2" xfId="14259"/>
    <cellStyle name="Normal 12 2 3 2 2 3 2" xfId="14260"/>
    <cellStyle name="Normal 12 2 4 3 3 2" xfId="14261"/>
    <cellStyle name="Normal 12 2 4 2 2 3 2" xfId="14262"/>
    <cellStyle name="Normal 12 2 5 2 2 3 2" xfId="14263"/>
    <cellStyle name="Normal 12 2 6 2 3 2" xfId="14264"/>
    <cellStyle name="Normal 12 3 5 3 2" xfId="14265"/>
    <cellStyle name="Normal 12 3 2 3 3 2" xfId="14266"/>
    <cellStyle name="Normal 12 3 2 2 2 3 2" xfId="14267"/>
    <cellStyle name="Normal 12 3 3 3 3 2" xfId="14268"/>
    <cellStyle name="Normal 12 3 3 2 2 3 2" xfId="14269"/>
    <cellStyle name="Normal 12 3 4 2 3 2" xfId="14270"/>
    <cellStyle name="Normal 12 4 5 3 2" xfId="14271"/>
    <cellStyle name="Normal 12 4 2 3 3 2" xfId="14272"/>
    <cellStyle name="Normal 12 4 2 2 2 3 2" xfId="14273"/>
    <cellStyle name="Normal 12 4 3 3 3 2" xfId="14274"/>
    <cellStyle name="Normal 12 4 3 2 2 3 2" xfId="14275"/>
    <cellStyle name="Normal 12 4 4 2 3 2" xfId="14276"/>
    <cellStyle name="Normal 12 5 3 3 2" xfId="14277"/>
    <cellStyle name="Normal 12 5 2 2 3 2" xfId="14278"/>
    <cellStyle name="Normal 12 6 3 3 2" xfId="14279"/>
    <cellStyle name="Normal 12 6 2 2 3 2" xfId="14280"/>
    <cellStyle name="Normal 12 7 2 3 2" xfId="14281"/>
    <cellStyle name="Normal 15 6 3 2" xfId="14282"/>
    <cellStyle name="Normal 15 3 2 3 2" xfId="14283"/>
    <cellStyle name="Normal 16 2 5 3 2" xfId="14284"/>
    <cellStyle name="Normal 16 2 2 3 3 2" xfId="14285"/>
    <cellStyle name="Normal 16 2 2 2 2 3 2" xfId="14286"/>
    <cellStyle name="Normal 16 2 3 3 3 2" xfId="14287"/>
    <cellStyle name="Normal 16 2 3 2 2 3 2" xfId="14288"/>
    <cellStyle name="Normal 16 2 4 2 3 2" xfId="14289"/>
    <cellStyle name="Normal 16 3 3 3 2" xfId="14290"/>
    <cellStyle name="Normal 16 3 2 2 3 2" xfId="14291"/>
    <cellStyle name="Normal 16 4 3 3 2" xfId="14292"/>
    <cellStyle name="Normal 16 4 2 2 3 2" xfId="14293"/>
    <cellStyle name="Normal 16 5 2 2 3 2" xfId="14294"/>
    <cellStyle name="Normal 16 6 2 3 2" xfId="14295"/>
    <cellStyle name="Normal 17 2 5 3 2" xfId="14296"/>
    <cellStyle name="Normal 17 2 2 3 3 2" xfId="14297"/>
    <cellStyle name="Normal 17 2 2 2 2 3 2" xfId="14298"/>
    <cellStyle name="Normal 17 2 3 3 3 2" xfId="14299"/>
    <cellStyle name="Normal 17 2 3 2 2 3 2" xfId="14300"/>
    <cellStyle name="Normal 17 2 4 2 3 2" xfId="14301"/>
    <cellStyle name="Normal 17 3 3 3 2" xfId="14302"/>
    <cellStyle name="Normal 17 3 2 2 3 2" xfId="14303"/>
    <cellStyle name="Normal 17 4 3 3 2" xfId="14304"/>
    <cellStyle name="Normal 17 4 2 2 3 2" xfId="14305"/>
    <cellStyle name="Normal 17 5 2 2 3 2" xfId="14306"/>
    <cellStyle name="Normal 17 6 2 3 2" xfId="14307"/>
    <cellStyle name="Normal 2 10 3 2 3 2" xfId="14308"/>
    <cellStyle name="Normal 2 11 3 2 3 2" xfId="14309"/>
    <cellStyle name="Normal 2 12 3 2 3 2" xfId="14310"/>
    <cellStyle name="Normal 2 13 3 2 3 2" xfId="14311"/>
    <cellStyle name="Normal 2 14 3 2 3 2" xfId="14312"/>
    <cellStyle name="Normal 2 15 3 2 3 2" xfId="14313"/>
    <cellStyle name="Normal 2 16 3 2 3 2" xfId="14314"/>
    <cellStyle name="Normal 2 17 3 2 3 2" xfId="14315"/>
    <cellStyle name="Normal 2 18 3 2 3 2" xfId="14316"/>
    <cellStyle name="Normal 2 19 3 2 3 2" xfId="14317"/>
    <cellStyle name="Normal 2 2 10 2 3 2" xfId="14318"/>
    <cellStyle name="Normal 2 2 11 2 3 2" xfId="14319"/>
    <cellStyle name="Normal 2 2 12 2 3 2" xfId="14320"/>
    <cellStyle name="Normal 2 2 13 2 3 2" xfId="14321"/>
    <cellStyle name="Normal 2 2 14 2 3 2" xfId="14322"/>
    <cellStyle name="Normal 2 2 15 2 3 2" xfId="14323"/>
    <cellStyle name="Normal 2 2 16 2 3 2" xfId="14324"/>
    <cellStyle name="Normal 2 2 17 2 3 2" xfId="14325"/>
    <cellStyle name="Normal 2 2 18 2 3 2" xfId="14326"/>
    <cellStyle name="Normal 2 2 19 2 3 2" xfId="14327"/>
    <cellStyle name="Normal 2 2 2 2 6 3 2" xfId="14328"/>
    <cellStyle name="Normal 2 2 2 2 2 3 3 2" xfId="14329"/>
    <cellStyle name="Normal 2 2 2 2 2 2 2 3 2" xfId="14330"/>
    <cellStyle name="Normal 2 2 2 2 3 2 3 2" xfId="14331"/>
    <cellStyle name="Normal 2 2 2 2 4 2 3 2" xfId="14332"/>
    <cellStyle name="Normal 2 2 2 2 5 2 3 2" xfId="14333"/>
    <cellStyle name="Normal 2 2 20 2 3 2" xfId="14334"/>
    <cellStyle name="Normal 2 2 21 2 3 2" xfId="14335"/>
    <cellStyle name="Normal 2 2 22 2 3 2" xfId="14336"/>
    <cellStyle name="Normal 2 2 3 9 3 2" xfId="14337"/>
    <cellStyle name="Normal 2 2 3 2 2 3 2" xfId="14338"/>
    <cellStyle name="Normal 2 2 3 3 2 3 2" xfId="14339"/>
    <cellStyle name="Normal 2 2 3 4 2 3 2" xfId="14340"/>
    <cellStyle name="Normal 2 2 3 5 2 3 2" xfId="14341"/>
    <cellStyle name="Normal 2 2 3 6 2 3 2" xfId="14342"/>
    <cellStyle name="Normal 2 2 4 5 3 2" xfId="14343"/>
    <cellStyle name="Normal 2 2 4 2 2 3 2" xfId="14344"/>
    <cellStyle name="Normal 2 2 5 4 3 2" xfId="14345"/>
    <cellStyle name="Normal 2 2 5 2 2 3 2" xfId="14346"/>
    <cellStyle name="Normal 2 2 6 2 3 2" xfId="14347"/>
    <cellStyle name="Normal 2 2 7 2 3 2" xfId="14348"/>
    <cellStyle name="Normal 2 2 8 2 3 2" xfId="14349"/>
    <cellStyle name="Normal 2 2 9 2 3 2" xfId="14350"/>
    <cellStyle name="Normal 2 20 2 3 2" xfId="14351"/>
    <cellStyle name="Normal 2 3 2 3 3 2" xfId="14352"/>
    <cellStyle name="Normal 2 3 3 2 3 2" xfId="14353"/>
    <cellStyle name="Normal 2 3 4 2 3 2" xfId="14354"/>
    <cellStyle name="Normal 2 3 5 2 3 2" xfId="14355"/>
    <cellStyle name="Normal 2 3 6 2 3 2" xfId="14356"/>
    <cellStyle name="Normal 2 4 5 2 3 2" xfId="14357"/>
    <cellStyle name="Normal 2 4 2 2 3 2" xfId="14358"/>
    <cellStyle name="Normal 2 5 3 2 3 2" xfId="14359"/>
    <cellStyle name="Normal 2 6 3 2 3 2" xfId="14360"/>
    <cellStyle name="Normal 2 7 3 2 3 2" xfId="14361"/>
    <cellStyle name="Normal 2 8 3 2 3 2" xfId="14362"/>
    <cellStyle name="Normal 2 9 3 2 3 2" xfId="14363"/>
    <cellStyle name="Normal 21 9 3 2" xfId="14364"/>
    <cellStyle name="Normal 21 2 7 3 2" xfId="14365"/>
    <cellStyle name="Normal 21 2 2 2 3 2" xfId="14366"/>
    <cellStyle name="Normal 21 2 3 2 3 2" xfId="14367"/>
    <cellStyle name="Normal 21 2 4 2 3 2" xfId="14368"/>
    <cellStyle name="Normal 21 2 5 2 3 2" xfId="14369"/>
    <cellStyle name="Normal 21 2 6 2 3 2" xfId="14370"/>
    <cellStyle name="Normal 21 3 3 3 2" xfId="14371"/>
    <cellStyle name="Normal 21 3 2 2 3 2" xfId="14372"/>
    <cellStyle name="Normal 21 4 2 3 2" xfId="14373"/>
    <cellStyle name="Normal 21 5 2 3 2" xfId="14374"/>
    <cellStyle name="Normal 21 6 2 3 2" xfId="14375"/>
    <cellStyle name="Normal 21 8 2 3 2" xfId="14376"/>
    <cellStyle name="Normal 22 8 3 2" xfId="14377"/>
    <cellStyle name="Normal 22 2 7 3 2" xfId="14378"/>
    <cellStyle name="Normal 22 2 2 2 3 2" xfId="14379"/>
    <cellStyle name="Normal 22 2 3 2 3 2" xfId="14380"/>
    <cellStyle name="Normal 22 2 4 2 3 2" xfId="14381"/>
    <cellStyle name="Normal 22 2 5 2 3 2" xfId="14382"/>
    <cellStyle name="Normal 22 3 2 3 2" xfId="14383"/>
    <cellStyle name="Normal 22 4 2 3 2" xfId="14384"/>
    <cellStyle name="Normal 22 5 2 3 2" xfId="14385"/>
    <cellStyle name="Normal 22 6 2 3 2" xfId="14386"/>
    <cellStyle name="Normal 23 8 3 2" xfId="14387"/>
    <cellStyle name="Normal 23 2 6 3 2" xfId="14388"/>
    <cellStyle name="Normal 23 2 2 2 3 2" xfId="14389"/>
    <cellStyle name="Normal 23 2 3 2 3 2" xfId="14390"/>
    <cellStyle name="Normal 23 2 4 2 3 2" xfId="14391"/>
    <cellStyle name="Normal 23 2 5 2 3 2" xfId="14392"/>
    <cellStyle name="Normal 23 3 2 3 2" xfId="14393"/>
    <cellStyle name="Normal 23 4 2 3 2" xfId="14394"/>
    <cellStyle name="Normal 23 5 2 3 2" xfId="14395"/>
    <cellStyle name="Normal 23 6 2 3 2" xfId="14396"/>
    <cellStyle name="Normal 24 8 3 2" xfId="14397"/>
    <cellStyle name="Normal 24 2 6 3 2" xfId="14398"/>
    <cellStyle name="Normal 24 2 2 2 3 2" xfId="14399"/>
    <cellStyle name="Normal 24 2 3 2 3 2" xfId="14400"/>
    <cellStyle name="Normal 24 2 4 2 3 2" xfId="14401"/>
    <cellStyle name="Normal 24 2 5 2 3 2" xfId="14402"/>
    <cellStyle name="Normal 24 3 2 3 2" xfId="14403"/>
    <cellStyle name="Normal 24 4 2 3 2" xfId="14404"/>
    <cellStyle name="Normal 24 5 2 3 2" xfId="14405"/>
    <cellStyle name="Normal 24 6 2 3 2" xfId="14406"/>
    <cellStyle name="Normal 26 8 3 2" xfId="14407"/>
    <cellStyle name="Normal 26 2 6 3 2" xfId="14408"/>
    <cellStyle name="Normal 26 2 2 2 3 2" xfId="14409"/>
    <cellStyle name="Normal 26 2 3 2 3 2" xfId="14410"/>
    <cellStyle name="Normal 26 2 4 2 3 2" xfId="14411"/>
    <cellStyle name="Normal 26 2 5 2 3 2" xfId="14412"/>
    <cellStyle name="Normal 26 3 2 3 2" xfId="14413"/>
    <cellStyle name="Normal 26 4 2 3 2" xfId="14414"/>
    <cellStyle name="Normal 26 5 2 3 2" xfId="14415"/>
    <cellStyle name="Normal 26 6 2 3 2" xfId="14416"/>
    <cellStyle name="Normal 3 10 2 3 2" xfId="14417"/>
    <cellStyle name="Normal 3 11 2 3 2" xfId="14418"/>
    <cellStyle name="Normal 3 12 2 3 2" xfId="14419"/>
    <cellStyle name="Normal 3 13 2 3 2" xfId="14420"/>
    <cellStyle name="Normal 3 14 2 3 2" xfId="14421"/>
    <cellStyle name="Normal 3 15 2 3 2" xfId="14422"/>
    <cellStyle name="Normal 3 16 2 3 2" xfId="14423"/>
    <cellStyle name="Normal 3 17 2 3 2" xfId="14424"/>
    <cellStyle name="Normal 3 18 2 3 2" xfId="14425"/>
    <cellStyle name="Normal 3 19 2 3 2" xfId="14426"/>
    <cellStyle name="Normal 3 2 2 2 3 2" xfId="14427"/>
    <cellStyle name="Normal 3 2 3 2 3 2" xfId="14428"/>
    <cellStyle name="Normal 3 2 4 2 3 2" xfId="14429"/>
    <cellStyle name="Normal 3 2 5 2 3 2" xfId="14430"/>
    <cellStyle name="Normal 3 2 6 2 3 2" xfId="14431"/>
    <cellStyle name="Normal 3 20 2 3 2" xfId="14432"/>
    <cellStyle name="Normal 3 21 2 3 2" xfId="14433"/>
    <cellStyle name="Normal 3 22 2 3 2" xfId="14434"/>
    <cellStyle name="Normal 3 23 2 3 2" xfId="14435"/>
    <cellStyle name="Normal 3 24 2 3 2" xfId="14436"/>
    <cellStyle name="Normal 3 3 5 3 2" xfId="14437"/>
    <cellStyle name="Normal 3 3 2 2 3 2" xfId="14438"/>
    <cellStyle name="Normal 3 3 3 2 3 2" xfId="14439"/>
    <cellStyle name="Normal 3 4 3 3 2" xfId="14440"/>
    <cellStyle name="Normal 3 4 2 2 3 2" xfId="14441"/>
    <cellStyle name="Normal 3 5 3 3 2" xfId="14442"/>
    <cellStyle name="Normal 3 5 2 2 3 2" xfId="14443"/>
    <cellStyle name="Normal 3 6 2 3 2" xfId="14444"/>
    <cellStyle name="Normal 3 7 2 3 2" xfId="14445"/>
    <cellStyle name="Normal 3 8 2 3 2" xfId="14446"/>
    <cellStyle name="Normal 3 9 2 3 2" xfId="14447"/>
    <cellStyle name="Normal 4 2 10 2 3 2" xfId="14448"/>
    <cellStyle name="Normal 4 2 11 2 3 2" xfId="14449"/>
    <cellStyle name="Normal 4 2 12 2 3 2" xfId="14450"/>
    <cellStyle name="Normal 4 2 13 2 3 2" xfId="14451"/>
    <cellStyle name="Normal 4 2 14 2 3 2" xfId="14452"/>
    <cellStyle name="Normal 4 2 15 2 3 2" xfId="14453"/>
    <cellStyle name="Normal 4 2 16 2 3 2" xfId="14454"/>
    <cellStyle name="Normal 4 2 17 2 3 2" xfId="14455"/>
    <cellStyle name="Normal 4 2 18 2 3 2" xfId="14456"/>
    <cellStyle name="Normal 4 2 19 2 3 2" xfId="14457"/>
    <cellStyle name="Normal 4 2 2 6 3 2" xfId="14458"/>
    <cellStyle name="Normal 4 2 2 2 2 3 2" xfId="14459"/>
    <cellStyle name="Normal 4 2 2 3 2 3 2" xfId="14460"/>
    <cellStyle name="Normal 4 2 2 4 2 3 2" xfId="14461"/>
    <cellStyle name="Normal 4 2 2 5 2 3 2" xfId="14462"/>
    <cellStyle name="Normal 4 2 20 2 3 2" xfId="14463"/>
    <cellStyle name="Normal 4 2 21 2 3 2" xfId="14464"/>
    <cellStyle name="Normal 4 2 22 2 3 2" xfId="14465"/>
    <cellStyle name="Normal 4 2 23 2 3 2" xfId="14466"/>
    <cellStyle name="Normal 4 2 24 2 3 2" xfId="14467"/>
    <cellStyle name="Normal 4 2 3 3 3 2" xfId="14468"/>
    <cellStyle name="Normal 4 2 3 2 2 3 2" xfId="14469"/>
    <cellStyle name="Normal 4 2 4 3 3 2" xfId="14470"/>
    <cellStyle name="Normal 4 2 4 2 2 3 2" xfId="14471"/>
    <cellStyle name="Normal 4 2 5 3 3 2" xfId="14472"/>
    <cellStyle name="Normal 4 2 5 2 2 3 2" xfId="14473"/>
    <cellStyle name="Normal 4 2 6 2 3 2" xfId="14474"/>
    <cellStyle name="Normal 4 2 7 2 3 2" xfId="14475"/>
    <cellStyle name="Normal 4 2 8 2 3 2" xfId="14476"/>
    <cellStyle name="Normal 4 2 9 2 3 2" xfId="14477"/>
    <cellStyle name="Normal 4 3 7 3 2" xfId="14478"/>
    <cellStyle name="Normal 4 3 2 6 3 2" xfId="14479"/>
    <cellStyle name="Normal 4 3 2 2 5 3 2" xfId="14480"/>
    <cellStyle name="Normal 4 3 2 2 2 3 3 2" xfId="14481"/>
    <cellStyle name="Normal 4 3 2 2 2 2 2 3 2" xfId="14482"/>
    <cellStyle name="Normal 4 3 2 2 3 3 3 2" xfId="14483"/>
    <cellStyle name="Normal 4 3 2 2 3 2 2 3 2" xfId="14484"/>
    <cellStyle name="Normal 4 3 2 2 4 2 3 2" xfId="14485"/>
    <cellStyle name="Normal 4 3 2 3 3 3 2" xfId="14486"/>
    <cellStyle name="Normal 4 3 2 3 2 2 3 2" xfId="14487"/>
    <cellStyle name="Normal 4 3 2 4 3 3 2" xfId="14488"/>
    <cellStyle name="Normal 4 3 2 4 2 2 3 2" xfId="14489"/>
    <cellStyle name="Normal 4 3 2 5 2 3 2" xfId="14490"/>
    <cellStyle name="Normal 4 3 3 5 3 2" xfId="14491"/>
    <cellStyle name="Normal 4 3 3 2 3 3 2" xfId="14492"/>
    <cellStyle name="Normal 4 3 3 2 2 2 3 2" xfId="14493"/>
    <cellStyle name="Normal 4 3 3 3 3 3 2" xfId="14494"/>
    <cellStyle name="Normal 4 3 3 3 2 2 3 2" xfId="14495"/>
    <cellStyle name="Normal 4 3 3 4 2 3 2" xfId="14496"/>
    <cellStyle name="Normal 4 3 4 3 3 2" xfId="14497"/>
    <cellStyle name="Normal 4 3 4 2 2 3 2" xfId="14498"/>
    <cellStyle name="Normal 4 3 5 3 3 2" xfId="14499"/>
    <cellStyle name="Normal 4 3 5 2 2 3 2" xfId="14500"/>
    <cellStyle name="Normal 4 3 6 2 3 2" xfId="14501"/>
    <cellStyle name="Normal 4 4 4 3 2" xfId="14502"/>
    <cellStyle name="Normal 4 4 2 2 3 2" xfId="14503"/>
    <cellStyle name="Normal 4 5 2 3 2" xfId="14504"/>
    <cellStyle name="Normal 4 6 2 3 2" xfId="14505"/>
    <cellStyle name="Normal 4 7 2 3 2" xfId="14506"/>
    <cellStyle name="Normal 4 8 2 3 2" xfId="14507"/>
    <cellStyle name="Normal 41 2 2 3 2" xfId="14508"/>
    <cellStyle name="Normal 46 2 3 2" xfId="14509"/>
    <cellStyle name="Normal 5 28 2 3 2" xfId="14510"/>
    <cellStyle name="Normal 5 2 7 3 2" xfId="14511"/>
    <cellStyle name="Normal 5 2 2 2 2 2 3 2" xfId="14512"/>
    <cellStyle name="Normal 5 2 2 3 2 3 2" xfId="14513"/>
    <cellStyle name="Normal 5 2 3 2 2 2 3 2" xfId="14514"/>
    <cellStyle name="Normal 5 2 3 3 2 3 2" xfId="14515"/>
    <cellStyle name="Normal 5 2 4 2 2 3 2" xfId="14516"/>
    <cellStyle name="Normal 5 2 6 2 3 2" xfId="14517"/>
    <cellStyle name="Normal 5 24 2 3 2" xfId="14518"/>
    <cellStyle name="Normal 5 3 3 3 2" xfId="14519"/>
    <cellStyle name="Normal 5 4 3 3 2" xfId="14520"/>
    <cellStyle name="Normal 5 5 3 3 2" xfId="14521"/>
    <cellStyle name="Normal 5 6 3 3 2" xfId="14522"/>
    <cellStyle name="Normal 5 7 3 3 2" xfId="14523"/>
    <cellStyle name="Normal 7 25 2 3 2" xfId="14524"/>
    <cellStyle name="Normal 7 10 2 3 2" xfId="14525"/>
    <cellStyle name="Normal 7 11 2 3 2" xfId="14526"/>
    <cellStyle name="Normal 7 12 2 3 2" xfId="14527"/>
    <cellStyle name="Normal 7 13 2 3 2" xfId="14528"/>
    <cellStyle name="Normal 7 14 2 3 2" xfId="14529"/>
    <cellStyle name="Normal 7 15 2 3 2" xfId="14530"/>
    <cellStyle name="Normal 7 16 2 3 2" xfId="14531"/>
    <cellStyle name="Normal 7 17 2 3 2" xfId="14532"/>
    <cellStyle name="Normal 7 18 2 3 2" xfId="14533"/>
    <cellStyle name="Normal 7 19 2 3 2" xfId="14534"/>
    <cellStyle name="Normal 7 2 6 3 2" xfId="14535"/>
    <cellStyle name="Normal 7 2 2 2 3 2" xfId="14536"/>
    <cellStyle name="Normal 7 2 3 2 3 2" xfId="14537"/>
    <cellStyle name="Normal 7 2 4 2 3 2" xfId="14538"/>
    <cellStyle name="Normal 7 2 5 2 3 2" xfId="14539"/>
    <cellStyle name="Normal 7 20 2 3 2" xfId="14540"/>
    <cellStyle name="Normal 7 22 2 3 2" xfId="14541"/>
    <cellStyle name="Normal 7 3 6 3 2" xfId="14542"/>
    <cellStyle name="Normal 7 3 2 2 3 2" xfId="14543"/>
    <cellStyle name="Normal 7 3 3 2 3 2" xfId="14544"/>
    <cellStyle name="Normal 7 3 4 2 3 2" xfId="14545"/>
    <cellStyle name="Normal 7 3 5 2 3 2" xfId="14546"/>
    <cellStyle name="Normal 7 4 2 3 2" xfId="14547"/>
    <cellStyle name="Normal 7 5 2 3 2" xfId="14548"/>
    <cellStyle name="Normal 7 6 2 3 2" xfId="14549"/>
    <cellStyle name="Normal 7 7 2 3 2" xfId="14550"/>
    <cellStyle name="Normal 7 8 2 3 2" xfId="14551"/>
    <cellStyle name="Normal 7 9 2 3 2" xfId="14552"/>
    <cellStyle name="Normal 8 25 2 3 2" xfId="14553"/>
    <cellStyle name="Normal 8 10 2 3 2" xfId="14554"/>
    <cellStyle name="Normal 8 11 2 3 2" xfId="14555"/>
    <cellStyle name="Normal 8 12 2 3 2" xfId="14556"/>
    <cellStyle name="Normal 8 13 2 3 2" xfId="14557"/>
    <cellStyle name="Normal 8 14 2 3 2" xfId="14558"/>
    <cellStyle name="Normal 8 15 2 3 2" xfId="14559"/>
    <cellStyle name="Normal 8 16 2 3 2" xfId="14560"/>
    <cellStyle name="Normal 8 17 2 3 2" xfId="14561"/>
    <cellStyle name="Normal 8 18 2 3 2" xfId="14562"/>
    <cellStyle name="Normal 8 19 2 3 2" xfId="14563"/>
    <cellStyle name="Normal 8 2 6 2 3 2" xfId="14564"/>
    <cellStyle name="Normal 8 2 2 2 2 3 2" xfId="14565"/>
    <cellStyle name="Normal 8 2 3 2 3 2" xfId="14566"/>
    <cellStyle name="Normal 8 2 4 2 3 2" xfId="14567"/>
    <cellStyle name="Normal 8 2 5 2 3 2" xfId="14568"/>
    <cellStyle name="Normal 8 20 2 3 2" xfId="14569"/>
    <cellStyle name="Normal 8 22 2 3 2" xfId="14570"/>
    <cellStyle name="Normal 8 3 6 2 3 2" xfId="14571"/>
    <cellStyle name="Normal 8 3 2 2 3 2" xfId="14572"/>
    <cellStyle name="Normal 8 3 3 2 3 2" xfId="14573"/>
    <cellStyle name="Normal 8 3 4 2 3 2" xfId="14574"/>
    <cellStyle name="Normal 8 3 5 2 3 2" xfId="14575"/>
    <cellStyle name="Normal 8 4 2 3 2" xfId="14576"/>
    <cellStyle name="Normal 8 5 2 3 2" xfId="14577"/>
    <cellStyle name="Normal 8 6 2 3 2" xfId="14578"/>
    <cellStyle name="Normal 8 7 2 3 2" xfId="14579"/>
    <cellStyle name="Normal 8 8 2 3 2" xfId="14580"/>
    <cellStyle name="Normal 8 9 2 3 2" xfId="14581"/>
    <cellStyle name="Normal 9 25 2 3 2" xfId="14582"/>
    <cellStyle name="Normal 9 10 2 3 2" xfId="14583"/>
    <cellStyle name="Normal 9 11 2 3 2" xfId="14584"/>
    <cellStyle name="Normal 9 12 2 3 2" xfId="14585"/>
    <cellStyle name="Normal 9 13 2 3 2" xfId="14586"/>
    <cellStyle name="Normal 9 14 2 3 2" xfId="14587"/>
    <cellStyle name="Normal 9 15 2 3 2" xfId="14588"/>
    <cellStyle name="Normal 9 16 2 3 2" xfId="14589"/>
    <cellStyle name="Normal 9 17 2 3 2" xfId="14590"/>
    <cellStyle name="Normal 9 18 2 3 2" xfId="14591"/>
    <cellStyle name="Normal 9 19 2 3 2" xfId="14592"/>
    <cellStyle name="Normal 9 2 6 3 2" xfId="14593"/>
    <cellStyle name="Normal 9 2 2 2 3 2" xfId="14594"/>
    <cellStyle name="Normal 9 2 3 2 3 2" xfId="14595"/>
    <cellStyle name="Normal 9 2 4 2 3 2" xfId="14596"/>
    <cellStyle name="Normal 9 2 5 2 3 2" xfId="14597"/>
    <cellStyle name="Normal 9 20 2 3 2" xfId="14598"/>
    <cellStyle name="Normal 9 22 2 3 2" xfId="14599"/>
    <cellStyle name="Normal 9 3 6 3 2" xfId="14600"/>
    <cellStyle name="Normal 9 3 2 2 3 2" xfId="14601"/>
    <cellStyle name="Normal 9 3 3 2 3 2" xfId="14602"/>
    <cellStyle name="Normal 9 3 4 2 3 2" xfId="14603"/>
    <cellStyle name="Normal 9 3 5 2 3 2" xfId="14604"/>
    <cellStyle name="Normal 9 4 2 3 2" xfId="14605"/>
    <cellStyle name="Normal 9 5 2 3 2" xfId="14606"/>
    <cellStyle name="Normal 9 6 2 3 2" xfId="14607"/>
    <cellStyle name="Normal 9 7 2 3 2" xfId="14608"/>
    <cellStyle name="Normal 9 8 2 3 2" xfId="14609"/>
    <cellStyle name="Normal 9 9 2 3 2" xfId="14610"/>
    <cellStyle name="Note 2 2 3 2" xfId="14611"/>
    <cellStyle name="Note 3 2 3 2" xfId="14612"/>
    <cellStyle name="Note 4 2 3 2" xfId="14613"/>
    <cellStyle name="Note 7 2 3 2" xfId="14614"/>
    <cellStyle name="Percent 120 2 3 2" xfId="14615"/>
    <cellStyle name="Percent 121 2 3 2" xfId="14616"/>
    <cellStyle name="Percent 122 2 3 2" xfId="14617"/>
    <cellStyle name="Percent 123 2 3 2" xfId="14618"/>
    <cellStyle name="Percent 124 2 3 2" xfId="14619"/>
    <cellStyle name="Percent 125 2 3 2" xfId="14620"/>
    <cellStyle name="Percent 126 2 3 2" xfId="14621"/>
    <cellStyle name="Percent 127 2 3 2" xfId="14622"/>
    <cellStyle name="Percent 128 2 3 2" xfId="14623"/>
    <cellStyle name="Percent 129 2 3 2" xfId="14624"/>
    <cellStyle name="Percent 130 2 3 2" xfId="14625"/>
    <cellStyle name="Percent 159 2 3 2" xfId="14626"/>
    <cellStyle name="Percent 2 22 2 3 2" xfId="14627"/>
    <cellStyle name="Percent 25 2 3 3 2" xfId="14628"/>
    <cellStyle name="Percent 25 2 2 2 3 2" xfId="14629"/>
    <cellStyle name="Percent 25 3 3 3 2" xfId="14630"/>
    <cellStyle name="Percent 25 3 2 2 3 2" xfId="14631"/>
    <cellStyle name="Percent 25 4 2 2 3 2" xfId="14632"/>
    <cellStyle name="Percent 25 5 2 3 2" xfId="14633"/>
    <cellStyle name="Percent 26 2 3 3 2" xfId="14634"/>
    <cellStyle name="Percent 26 2 2 2 3 2" xfId="14635"/>
    <cellStyle name="Percent 26 3 3 3 2" xfId="14636"/>
    <cellStyle name="Percent 26 3 2 2 3 2" xfId="14637"/>
    <cellStyle name="Percent 26 4 2 2 3 2" xfId="14638"/>
    <cellStyle name="Percent 26 5 2 3 2" xfId="14639"/>
    <cellStyle name="Percent 27 2 3 3 2" xfId="14640"/>
    <cellStyle name="Percent 27 2 2 2 3 2" xfId="14641"/>
    <cellStyle name="Percent 27 3 3 3 2" xfId="14642"/>
    <cellStyle name="Percent 27 3 2 2 3 2" xfId="14643"/>
    <cellStyle name="Percent 27 4 2 2 3 2" xfId="14644"/>
    <cellStyle name="Percent 27 5 2 3 2" xfId="14645"/>
    <cellStyle name="Percent 28 2 3 3 2" xfId="14646"/>
    <cellStyle name="Percent 28 2 2 2 3 2" xfId="14647"/>
    <cellStyle name="Percent 28 3 3 3 2" xfId="14648"/>
    <cellStyle name="Percent 28 3 2 2 3 2" xfId="14649"/>
    <cellStyle name="Percent 28 4 2 2 3 2" xfId="14650"/>
    <cellStyle name="Percent 28 5 2 3 2" xfId="14651"/>
    <cellStyle name="Percent 29 2 3 3 2" xfId="14652"/>
    <cellStyle name="Percent 29 2 2 2 3 2" xfId="14653"/>
    <cellStyle name="Percent 29 3 3 3 2" xfId="14654"/>
    <cellStyle name="Percent 29 3 2 2 3 2" xfId="14655"/>
    <cellStyle name="Percent 29 4 2 2 3 2" xfId="14656"/>
    <cellStyle name="Percent 29 5 2 3 2" xfId="14657"/>
    <cellStyle name="Percent 3 10 2 3 2" xfId="14658"/>
    <cellStyle name="Percent 3 11 2 3 2" xfId="14659"/>
    <cellStyle name="Percent 3 12 2 3 2" xfId="14660"/>
    <cellStyle name="Percent 3 13 2 3 2" xfId="14661"/>
    <cellStyle name="Percent 3 14 2 3 2" xfId="14662"/>
    <cellStyle name="Percent 3 15 2 3 2" xfId="14663"/>
    <cellStyle name="Percent 3 16 2 3 2" xfId="14664"/>
    <cellStyle name="Percent 3 17 2 3 2" xfId="14665"/>
    <cellStyle name="Percent 3 18 2 3 2" xfId="14666"/>
    <cellStyle name="Percent 3 19 2 3 2" xfId="14667"/>
    <cellStyle name="Percent 3 2 23 3 2" xfId="14668"/>
    <cellStyle name="Percent 3 2 10 2 3 2" xfId="14669"/>
    <cellStyle name="Percent 3 2 11 2 3 2" xfId="14670"/>
    <cellStyle name="Percent 3 2 12 2 3 2" xfId="14671"/>
    <cellStyle name="Percent 3 2 13 2 3 2" xfId="14672"/>
    <cellStyle name="Percent 3 2 14 2 3 2" xfId="14673"/>
    <cellStyle name="Percent 3 2 15 2 3 2" xfId="14674"/>
    <cellStyle name="Percent 3 2 16 2 3 2" xfId="14675"/>
    <cellStyle name="Percent 3 2 17 2 3 2" xfId="14676"/>
    <cellStyle name="Percent 3 2 18 2 3 2" xfId="14677"/>
    <cellStyle name="Percent 3 2 19 2 3 2" xfId="14678"/>
    <cellStyle name="Percent 3 2 2 2 2 3 2" xfId="14679"/>
    <cellStyle name="Percent 3 2 2 3 2 3 2" xfId="14680"/>
    <cellStyle name="Percent 3 2 2 4 2 3 2" xfId="14681"/>
    <cellStyle name="Percent 3 2 2 5 2 3 2" xfId="14682"/>
    <cellStyle name="Percent 3 2 20 2 3 2" xfId="14683"/>
    <cellStyle name="Percent 3 2 21 2 2 3 2" xfId="14684"/>
    <cellStyle name="Percent 3 2 3 6 3 2" xfId="14685"/>
    <cellStyle name="Percent 3 2 3 2 2 3 2" xfId="14686"/>
    <cellStyle name="Percent 3 2 3 3 2 3 2" xfId="14687"/>
    <cellStyle name="Percent 3 2 3 4 2 3 2" xfId="14688"/>
    <cellStyle name="Percent 3 2 3 5 2 3 2" xfId="14689"/>
    <cellStyle name="Percent 3 2 4 3 3 2" xfId="14690"/>
    <cellStyle name="Percent 3 2 4 2 2 3 2" xfId="14691"/>
    <cellStyle name="Percent 3 2 5 3 3 2" xfId="14692"/>
    <cellStyle name="Percent 3 2 5 2 2 3 2" xfId="14693"/>
    <cellStyle name="Percent 3 2 6 3 3 2" xfId="14694"/>
    <cellStyle name="Percent 3 2 6 2 2 3 2" xfId="14695"/>
    <cellStyle name="Percent 3 2 7 2 3 2" xfId="14696"/>
    <cellStyle name="Percent 3 2 8 2 3 2" xfId="14697"/>
    <cellStyle name="Percent 3 2 9 2 3 2" xfId="14698"/>
    <cellStyle name="Percent 3 20 2 3 2" xfId="14699"/>
    <cellStyle name="Percent 3 21 2 3 2" xfId="14700"/>
    <cellStyle name="Percent 3 3 2 2 3 2" xfId="14701"/>
    <cellStyle name="Percent 3 3 3 2 3 2" xfId="14702"/>
    <cellStyle name="Percent 3 3 4 2 3 2" xfId="14703"/>
    <cellStyle name="Percent 3 3 5 2 3 2" xfId="14704"/>
    <cellStyle name="Percent 3 4 6 3 2" xfId="14705"/>
    <cellStyle name="Percent 3 4 2 2 3 2" xfId="14706"/>
    <cellStyle name="Percent 3 4 3 2 3 2" xfId="14707"/>
    <cellStyle name="Percent 3 4 4 2 3 2" xfId="14708"/>
    <cellStyle name="Percent 3 4 5 2 3 2" xfId="14709"/>
    <cellStyle name="Percent 3 5 3 3 2" xfId="14710"/>
    <cellStyle name="Percent 3 5 2 2 3 2" xfId="14711"/>
    <cellStyle name="Percent 3 6 3 3 2" xfId="14712"/>
    <cellStyle name="Percent 3 6 2 2 3 2" xfId="14713"/>
    <cellStyle name="Percent 3 7 3 3 2" xfId="14714"/>
    <cellStyle name="Percent 3 7 2 2 3 2" xfId="14715"/>
    <cellStyle name="Percent 3 8 2 3 2" xfId="14716"/>
    <cellStyle name="Percent 3 9 2 3 2" xfId="14717"/>
    <cellStyle name="Percent 30 2 3 3 2" xfId="14718"/>
    <cellStyle name="Percent 30 2 2 2 3 2" xfId="14719"/>
    <cellStyle name="Percent 30 3 3 3 2" xfId="14720"/>
    <cellStyle name="Percent 30 3 2 2 3 2" xfId="14721"/>
    <cellStyle name="Percent 30 4 2 2 3 2" xfId="14722"/>
    <cellStyle name="Percent 30 5 2 3 2" xfId="14723"/>
    <cellStyle name="Percent 31 2 3 3 2" xfId="14724"/>
    <cellStyle name="Percent 31 2 2 2 3 2" xfId="14725"/>
    <cellStyle name="Percent 31 3 3 3 2" xfId="14726"/>
    <cellStyle name="Percent 31 3 2 2 3 2" xfId="14727"/>
    <cellStyle name="Percent 31 4 2 2 3 2" xfId="14728"/>
    <cellStyle name="Percent 31 5 2 3 2" xfId="14729"/>
    <cellStyle name="Percent 32 2 3 3 2" xfId="14730"/>
    <cellStyle name="Percent 32 2 2 2 3 2" xfId="14731"/>
    <cellStyle name="Percent 32 3 3 3 2" xfId="14732"/>
    <cellStyle name="Percent 32 3 2 2 3 2" xfId="14733"/>
    <cellStyle name="Percent 32 4 2 2 3 2" xfId="14734"/>
    <cellStyle name="Percent 32 5 2 3 2" xfId="14735"/>
    <cellStyle name="Percent 33 2 3 3 2" xfId="14736"/>
    <cellStyle name="Percent 33 2 2 2 3 2" xfId="14737"/>
    <cellStyle name="Percent 33 3 3 3 2" xfId="14738"/>
    <cellStyle name="Percent 33 3 2 2 3 2" xfId="14739"/>
    <cellStyle name="Percent 33 4 2 2 3 2" xfId="14740"/>
    <cellStyle name="Percent 33 5 2 3 2" xfId="14741"/>
    <cellStyle name="Percent 34 2 3 3 2" xfId="14742"/>
    <cellStyle name="Percent 34 2 2 2 3 2" xfId="14743"/>
    <cellStyle name="Percent 34 3 3 3 2" xfId="14744"/>
    <cellStyle name="Percent 34 3 2 2 3 2" xfId="14745"/>
    <cellStyle name="Percent 34 4 2 2 3 2" xfId="14746"/>
    <cellStyle name="Percent 34 5 2 3 2" xfId="14747"/>
    <cellStyle name="Percent 35 2 3 3 2" xfId="14748"/>
    <cellStyle name="Percent 35 2 2 2 3 2" xfId="14749"/>
    <cellStyle name="Percent 35 3 3 3 2" xfId="14750"/>
    <cellStyle name="Percent 35 3 2 2 3 2" xfId="14751"/>
    <cellStyle name="Percent 35 4 2 2 3 2" xfId="14752"/>
    <cellStyle name="Percent 35 5 2 3 2" xfId="14753"/>
    <cellStyle name="Currency 5 4 2 3 2" xfId="14754"/>
    <cellStyle name="Comma 5 7 2 3 2" xfId="14755"/>
    <cellStyle name="Percent 5 4 2 3 2" xfId="14756"/>
    <cellStyle name="Comma 6 5 2 3 2" xfId="14757"/>
    <cellStyle name="Currency 5 2 4 2 3 2" xfId="14758"/>
    <cellStyle name="Comma 5 2 4 2 3 2" xfId="14759"/>
    <cellStyle name="Percent 5 2 4 2 3 2" xfId="14760"/>
    <cellStyle name="Comma 6 2 3 2 3 2" xfId="14761"/>
    <cellStyle name="Currency 5 3 2 2 3 2" xfId="14762"/>
    <cellStyle name="Comma 5 3 2 2 3 2" xfId="14763"/>
    <cellStyle name="Percent 5 3 2 2 3 2" xfId="14764"/>
    <cellStyle name="Comma 6 3 4 2 3 2" xfId="14765"/>
    <cellStyle name="Normal 11 2 2 2 3 2" xfId="14766"/>
    <cellStyle name="Currency 5 2 2 2 2 3 2" xfId="14767"/>
    <cellStyle name="Comma 5 2 2 2 2 3 2" xfId="14768"/>
    <cellStyle name="Percent 5 2 2 2 2 3 2" xfId="14769"/>
    <cellStyle name="Comma 6 2 2 2 2 3 2" xfId="14770"/>
    <cellStyle name="Normal 52 2 2" xfId="14771"/>
    <cellStyle name="Comma 205 2 2" xfId="14772"/>
    <cellStyle name="Comma 206 2 2" xfId="14773"/>
    <cellStyle name="Currency 5 7 2 2" xfId="14774"/>
    <cellStyle name="Normal 8 27 2 2" xfId="14775"/>
    <cellStyle name="Comma 5 10 2 2" xfId="14776"/>
    <cellStyle name="Percent 5 7 2 2" xfId="14777"/>
    <cellStyle name="Comma 6 8 2 2" xfId="14778"/>
    <cellStyle name="Normal 11 6 2 2" xfId="14779"/>
    <cellStyle name="Currency 5 2 7 2 2" xfId="14780"/>
    <cellStyle name="Normal 8 2 8 2 2" xfId="14781"/>
    <cellStyle name="Comma 5 2 7 2 2" xfId="14782"/>
    <cellStyle name="Percent 5 2 7 2 2" xfId="14783"/>
    <cellStyle name="Comma 6 2 6 2 2" xfId="14784"/>
    <cellStyle name="Currency 5 3 5 2 2" xfId="14785"/>
    <cellStyle name="Normal 8 3 8 2 2" xfId="14786"/>
    <cellStyle name="Comma 5 3 5 2 2" xfId="14787"/>
    <cellStyle name="Percent 5 3 5 2 2" xfId="14788"/>
    <cellStyle name="Comma 6 3 7 2 2" xfId="14789"/>
    <cellStyle name="Normal 11 2 5 2 2" xfId="14790"/>
    <cellStyle name="Currency 5 2 2 5 2 2" xfId="14791"/>
    <cellStyle name="Normal 8 2 2 4 2 2" xfId="14792"/>
    <cellStyle name="Comma 5 2 2 5 2 2" xfId="14793"/>
    <cellStyle name="Percent 5 2 2 5 2 2" xfId="14794"/>
    <cellStyle name="Comma 6 2 2 4 2 2" xfId="14795"/>
    <cellStyle name="Normal 50 3 2 2" xfId="14796"/>
    <cellStyle name="Comma 186 3 2 2" xfId="14797"/>
    <cellStyle name="Percent 162 3 2 2" xfId="14798"/>
    <cellStyle name="Normal 2 24 3 2 2" xfId="14799"/>
    <cellStyle name="20% - Accent1 2 3 2 2" xfId="14800"/>
    <cellStyle name="20% - Accent1 3 3 2 2" xfId="14801"/>
    <cellStyle name="20% - Accent1 4 3 2 2" xfId="14802"/>
    <cellStyle name="20% - Accent1 5 3 2 2" xfId="14803"/>
    <cellStyle name="20% - Accent2 2 3 2 2" xfId="14804"/>
    <cellStyle name="20% - Accent2 3 3 2 2" xfId="14805"/>
    <cellStyle name="20% - Accent2 4 3 2 2" xfId="14806"/>
    <cellStyle name="20% - Accent2 5 3 2 2" xfId="14807"/>
    <cellStyle name="20% - Accent3 2 3 2 2" xfId="14808"/>
    <cellStyle name="20% - Accent3 3 3 2 2" xfId="14809"/>
    <cellStyle name="20% - Accent3 4 3 2 2" xfId="14810"/>
    <cellStyle name="20% - Accent3 5 3 2 2" xfId="14811"/>
    <cellStyle name="20% - Accent4 2 3 2 2" xfId="14812"/>
    <cellStyle name="20% - Accent4 3 3 2 2" xfId="14813"/>
    <cellStyle name="20% - Accent4 4 3 2 2" xfId="14814"/>
    <cellStyle name="20% - Accent4 5 3 2 2" xfId="14815"/>
    <cellStyle name="20% - Accent5 2 3 2 2" xfId="14816"/>
    <cellStyle name="20% - Accent5 3 3 2 2" xfId="14817"/>
    <cellStyle name="20% - Accent5 4 3 2 2" xfId="14818"/>
    <cellStyle name="20% - Accent6 2 3 2 2" xfId="14819"/>
    <cellStyle name="20% - Accent6 3 3 2 2" xfId="14820"/>
    <cellStyle name="20% - Accent6 4 3 2 2" xfId="14821"/>
    <cellStyle name="40% - Accent1 2 3 2 2" xfId="14822"/>
    <cellStyle name="40% - Accent1 3 3 2 2" xfId="14823"/>
    <cellStyle name="40% - Accent1 4 3 2 2" xfId="14824"/>
    <cellStyle name="40% - Accent1 5 3 2 2" xfId="14825"/>
    <cellStyle name="40% - Accent2 2 3 2 2" xfId="14826"/>
    <cellStyle name="40% - Accent2 3 3 2 2" xfId="14827"/>
    <cellStyle name="40% - Accent2 4 3 2 2" xfId="14828"/>
    <cellStyle name="40% - Accent3 2 3 2 2" xfId="14829"/>
    <cellStyle name="40% - Accent3 3 3 2 2" xfId="14830"/>
    <cellStyle name="40% - Accent3 4 3 2 2" xfId="14831"/>
    <cellStyle name="40% - Accent3 5 3 2 2" xfId="14832"/>
    <cellStyle name="40% - Accent4 2 3 2 2" xfId="14833"/>
    <cellStyle name="40% - Accent4 3 3 2 2" xfId="14834"/>
    <cellStyle name="40% - Accent4 4 3 2 2" xfId="14835"/>
    <cellStyle name="40% - Accent4 5 3 2 2" xfId="14836"/>
    <cellStyle name="40% - Accent5 2 3 2 2" xfId="14837"/>
    <cellStyle name="40% - Accent5 3 3 2 2" xfId="14838"/>
    <cellStyle name="40% - Accent5 4 3 2 2" xfId="14839"/>
    <cellStyle name="40% - Accent6 2 3 2 2" xfId="14840"/>
    <cellStyle name="40% - Accent6 3 3 2 2" xfId="14841"/>
    <cellStyle name="40% - Accent6 4 3 2 2" xfId="14842"/>
    <cellStyle name="40% - Accent6 5 3 2 2" xfId="14843"/>
    <cellStyle name="Comma 143 3 2 2" xfId="14844"/>
    <cellStyle name="Comma 144 3 2 2" xfId="14845"/>
    <cellStyle name="Comma 145 3 2 2" xfId="14846"/>
    <cellStyle name="Comma 146 3 2 2" xfId="14847"/>
    <cellStyle name="Comma 147 3 2 2" xfId="14848"/>
    <cellStyle name="Comma 148 3 2 2" xfId="14849"/>
    <cellStyle name="Comma 149 3 2 2" xfId="14850"/>
    <cellStyle name="Comma 150 3 2 2" xfId="14851"/>
    <cellStyle name="Comma 151 3 2 2" xfId="14852"/>
    <cellStyle name="Comma 152 3 2 2" xfId="14853"/>
    <cellStyle name="Comma 153 3 2 2" xfId="14854"/>
    <cellStyle name="Comma 182 3 2 2" xfId="14855"/>
    <cellStyle name="Comma 2 23 3 2 2" xfId="14856"/>
    <cellStyle name="Comma 2 2 10 3 2 2" xfId="14857"/>
    <cellStyle name="Comma 2 2 11 3 2 2" xfId="14858"/>
    <cellStyle name="Comma 2 2 12 3 2 2" xfId="14859"/>
    <cellStyle name="Comma 2 2 13 3 2 2" xfId="14860"/>
    <cellStyle name="Comma 2 2 14 3 2 2" xfId="14861"/>
    <cellStyle name="Comma 2 2 15 3 2 2" xfId="14862"/>
    <cellStyle name="Comma 2 2 16 3 2 2" xfId="14863"/>
    <cellStyle name="Comma 2 2 17 3 2 2" xfId="14864"/>
    <cellStyle name="Comma 2 2 2 2 7 2 2" xfId="14865"/>
    <cellStyle name="Comma 2 2 2 2 2 3 2 2" xfId="14866"/>
    <cellStyle name="Comma 2 2 2 2 3 3 2 2" xfId="14867"/>
    <cellStyle name="Comma 2 2 2 2 4 3 2 2" xfId="14868"/>
    <cellStyle name="Comma 2 2 2 2 5 3 2 2" xfId="14869"/>
    <cellStyle name="Comma 2 2 2 3 3 2 2" xfId="14870"/>
    <cellStyle name="Comma 2 2 2 4 3 2 2" xfId="14871"/>
    <cellStyle name="Comma 2 2 2 5 3 2 2" xfId="14872"/>
    <cellStyle name="Comma 2 2 2 6 3 2 2" xfId="14873"/>
    <cellStyle name="Comma 2 2 3 7 2 2" xfId="14874"/>
    <cellStyle name="Comma 2 2 3 2 2 3 2 2" xfId="14875"/>
    <cellStyle name="Comma 2 2 3 2 3 3 2 2" xfId="14876"/>
    <cellStyle name="Comma 2 2 3 2 4 3 2 2" xfId="14877"/>
    <cellStyle name="Comma 2 2 3 2 5 3 2 2" xfId="14878"/>
    <cellStyle name="Comma 2 2 3 3 3 2 2" xfId="14879"/>
    <cellStyle name="Comma 2 2 4 2 3 2 2" xfId="14880"/>
    <cellStyle name="Comma 2 2 5 3 2 2" xfId="14881"/>
    <cellStyle name="Comma 2 2 6 3 2 2" xfId="14882"/>
    <cellStyle name="Comma 2 2 7 3 2 2" xfId="14883"/>
    <cellStyle name="Comma 2 2 8 3 2 2" xfId="14884"/>
    <cellStyle name="Comma 2 2 9 3 2 2" xfId="14885"/>
    <cellStyle name="Comma 3 10 3 2 2" xfId="14886"/>
    <cellStyle name="Comma 3 11 3 2 2" xfId="14887"/>
    <cellStyle name="Comma 3 12 3 2 2" xfId="14888"/>
    <cellStyle name="Comma 3 13 3 2 2" xfId="14889"/>
    <cellStyle name="Comma 3 14 3 2 2" xfId="14890"/>
    <cellStyle name="Comma 3 15 3 2 2" xfId="14891"/>
    <cellStyle name="Comma 3 16 3 2 2" xfId="14892"/>
    <cellStyle name="Comma 3 17 3 2 2" xfId="14893"/>
    <cellStyle name="Comma 3 18 3 2 2" xfId="14894"/>
    <cellStyle name="Comma 3 19 3 2 2" xfId="14895"/>
    <cellStyle name="Comma 3 2 2 3 2 2" xfId="14896"/>
    <cellStyle name="Comma 3 2 3 3 2 2" xfId="14897"/>
    <cellStyle name="Comma 3 2 4 3 2 2" xfId="14898"/>
    <cellStyle name="Comma 3 2 5 3 2 2" xfId="14899"/>
    <cellStyle name="Comma 3 20 3 2 2" xfId="14900"/>
    <cellStyle name="Comma 3 21 3 2 2" xfId="14901"/>
    <cellStyle name="Comma 3 3 7 2 2" xfId="14902"/>
    <cellStyle name="Comma 3 3 2 3 2 2" xfId="14903"/>
    <cellStyle name="Comma 3 3 3 3 2 2" xfId="14904"/>
    <cellStyle name="Comma 3 3 4 3 2 2" xfId="14905"/>
    <cellStyle name="Comma 3 3 5 3 2 2" xfId="14906"/>
    <cellStyle name="Comma 3 4 4 2 2" xfId="14907"/>
    <cellStyle name="Comma 3 4 2 3 2 2" xfId="14908"/>
    <cellStyle name="Comma 3 5 4 2 2" xfId="14909"/>
    <cellStyle name="Comma 3 5 2 3 2 2" xfId="14910"/>
    <cellStyle name="Comma 3 6 4 2 2" xfId="14911"/>
    <cellStyle name="Comma 3 6 2 3 2 2" xfId="14912"/>
    <cellStyle name="Comma 3 7 3 2 2" xfId="14913"/>
    <cellStyle name="Comma 3 8 3 2 2" xfId="14914"/>
    <cellStyle name="Comma 3 9 3 2 2" xfId="14915"/>
    <cellStyle name="Currency 120 3 2 2" xfId="14916"/>
    <cellStyle name="Currency 121 3 2 2" xfId="14917"/>
    <cellStyle name="Currency 122 3 2 2" xfId="14918"/>
    <cellStyle name="Currency 123 3 2 2" xfId="14919"/>
    <cellStyle name="Currency 124 3 2 2" xfId="14920"/>
    <cellStyle name="Currency 125 3 2 2" xfId="14921"/>
    <cellStyle name="Currency 126 3 2 2" xfId="14922"/>
    <cellStyle name="Currency 127 3 2 2" xfId="14923"/>
    <cellStyle name="Currency 128 3 2 2" xfId="14924"/>
    <cellStyle name="Currency 129 3 2 2" xfId="14925"/>
    <cellStyle name="Currency 130 3 2 2" xfId="14926"/>
    <cellStyle name="Currency 159 3 2 2" xfId="14927"/>
    <cellStyle name="Currency 2 27 3 2 2" xfId="14928"/>
    <cellStyle name="Currency 2 2 20 3 2 2" xfId="14929"/>
    <cellStyle name="Currency 2 2 10 3 2 2" xfId="14930"/>
    <cellStyle name="Currency 2 2 11 3 2 2" xfId="14931"/>
    <cellStyle name="Currency 2 2 12 3 2 2" xfId="14932"/>
    <cellStyle name="Currency 2 2 13 3 2 2" xfId="14933"/>
    <cellStyle name="Currency 2 2 14 3 2 2" xfId="14934"/>
    <cellStyle name="Currency 2 2 15 3 2 2" xfId="14935"/>
    <cellStyle name="Currency 2 2 16 3 2 2" xfId="14936"/>
    <cellStyle name="Currency 2 2 17 3 2 2" xfId="14937"/>
    <cellStyle name="Currency 2 2 18 3 2 2" xfId="14938"/>
    <cellStyle name="Currency 2 2 2 2 3 2 2" xfId="14939"/>
    <cellStyle name="Currency 2 2 2 3 3 2 2" xfId="14940"/>
    <cellStyle name="Currency 2 2 2 4 3 2 2" xfId="14941"/>
    <cellStyle name="Currency 2 2 2 5 3 2 2" xfId="14942"/>
    <cellStyle name="Currency 2 2 3 7 2 2" xfId="14943"/>
    <cellStyle name="Currency 2 2 3 2 3 2 2" xfId="14944"/>
    <cellStyle name="Currency 2 2 3 3 3 2 2" xfId="14945"/>
    <cellStyle name="Currency 2 2 3 4 3 2 2" xfId="14946"/>
    <cellStyle name="Currency 2 2 3 5 3 2 2" xfId="14947"/>
    <cellStyle name="Currency 2 2 4 3 2 2" xfId="14948"/>
    <cellStyle name="Currency 2 2 5 3 2 2" xfId="14949"/>
    <cellStyle name="Currency 2 2 6 3 2 2" xfId="14950"/>
    <cellStyle name="Currency 2 2 7 3 2 2" xfId="14951"/>
    <cellStyle name="Currency 2 2 8 3 2 2" xfId="14952"/>
    <cellStyle name="Currency 2 2 9 3 2 2" xfId="14953"/>
    <cellStyle name="Currency 3 10 3 2 2" xfId="14954"/>
    <cellStyle name="Currency 3 11 3 2 2" xfId="14955"/>
    <cellStyle name="Currency 3 12 3 2 2" xfId="14956"/>
    <cellStyle name="Currency 3 13 3 2 2" xfId="14957"/>
    <cellStyle name="Currency 3 14 3 2 2" xfId="14958"/>
    <cellStyle name="Currency 3 15 3 2 2" xfId="14959"/>
    <cellStyle name="Currency 3 16 3 2 2" xfId="14960"/>
    <cellStyle name="Currency 3 17 3 2 2" xfId="14961"/>
    <cellStyle name="Currency 3 18 3 2 2" xfId="14962"/>
    <cellStyle name="Currency 3 19 3 2 2" xfId="14963"/>
    <cellStyle name="Currency 3 2 2 3 2 2" xfId="14964"/>
    <cellStyle name="Currency 3 2 3 3 2 2" xfId="14965"/>
    <cellStyle name="Currency 3 2 4 3 2 2" xfId="14966"/>
    <cellStyle name="Currency 3 2 5 3 2 2" xfId="14967"/>
    <cellStyle name="Currency 3 20 3 2 2" xfId="14968"/>
    <cellStyle name="Currency 3 21 3 2 2" xfId="14969"/>
    <cellStyle name="Currency 3 3 9 2 2" xfId="14970"/>
    <cellStyle name="Currency 3 3 2 3 2 2" xfId="14971"/>
    <cellStyle name="Currency 3 3 3 3 2 2" xfId="14972"/>
    <cellStyle name="Currency 3 3 4 3 2 2" xfId="14973"/>
    <cellStyle name="Currency 3 3 5 3 2 2" xfId="14974"/>
    <cellStyle name="Currency 3 3 6 3 2 2" xfId="14975"/>
    <cellStyle name="Currency 3 4 4 2 2" xfId="14976"/>
    <cellStyle name="Currency 3 4 2 3 2 2" xfId="14977"/>
    <cellStyle name="Currency 3 5 4 2 2" xfId="14978"/>
    <cellStyle name="Currency 3 5 2 3 2 2" xfId="14979"/>
    <cellStyle name="Currency 3 6 4 2 2" xfId="14980"/>
    <cellStyle name="Currency 3 6 2 3 2 2" xfId="14981"/>
    <cellStyle name="Currency 3 7 3 2 2" xfId="14982"/>
    <cellStyle name="Currency 3 8 3 2 2" xfId="14983"/>
    <cellStyle name="Currency 3 9 3 2 2" xfId="14984"/>
    <cellStyle name="Normal 10 3 7 2 2" xfId="14985"/>
    <cellStyle name="Normal 10 3 2 6 2 2" xfId="14986"/>
    <cellStyle name="Normal 10 3 2 2 4 2 2" xfId="14987"/>
    <cellStyle name="Normal 10 3 2 2 2 3 2 2" xfId="14988"/>
    <cellStyle name="Normal 10 3 2 3 4 2 2" xfId="14989"/>
    <cellStyle name="Normal 10 3 2 3 2 3 2 2" xfId="14990"/>
    <cellStyle name="Normal 10 3 2 4 3 2 2" xfId="14991"/>
    <cellStyle name="Normal 10 3 3 4 2 2" xfId="14992"/>
    <cellStyle name="Normal 10 3 3 2 3 2 2" xfId="14993"/>
    <cellStyle name="Normal 10 3 4 4 2 2" xfId="14994"/>
    <cellStyle name="Normal 10 3 4 2 3 2 2" xfId="14995"/>
    <cellStyle name="Normal 10 3 5 3 2 2" xfId="14996"/>
    <cellStyle name="Normal 10 4 6 2 2" xfId="14997"/>
    <cellStyle name="Normal 10 4 2 4 2 2" xfId="14998"/>
    <cellStyle name="Normal 10 4 2 2 3 2 2" xfId="14999"/>
    <cellStyle name="Normal 10 4 3 4 2 2" xfId="15000"/>
    <cellStyle name="Normal 10 4 3 2 3 2 2" xfId="15001"/>
    <cellStyle name="Normal 10 4 4 3 2 2" xfId="15002"/>
    <cellStyle name="Normal 10 5 6 2 2" xfId="15003"/>
    <cellStyle name="Normal 10 5 2 4 2 2" xfId="15004"/>
    <cellStyle name="Normal 10 5 2 2 3 2 2" xfId="15005"/>
    <cellStyle name="Normal 10 5 3 4 2 2" xfId="15006"/>
    <cellStyle name="Normal 10 5 3 2 3 2 2" xfId="15007"/>
    <cellStyle name="Normal 10 5 4 3 2 2" xfId="15008"/>
    <cellStyle name="Normal 10 6 4 2 2" xfId="15009"/>
    <cellStyle name="Normal 10 6 2 3 2 2" xfId="15010"/>
    <cellStyle name="Normal 10 7 4 2 2" xfId="15011"/>
    <cellStyle name="Normal 10 7 2 3 2 2" xfId="15012"/>
    <cellStyle name="Normal 10 8 2 3 2 2" xfId="15013"/>
    <cellStyle name="Normal 10 9 3 2 2" xfId="15014"/>
    <cellStyle name="Normal 11 4 3 2 2" xfId="15015"/>
    <cellStyle name="Normal 11 3 3 2 2" xfId="15016"/>
    <cellStyle name="Normal 12 9 2 2" xfId="15017"/>
    <cellStyle name="Normal 12 2 2 6 2 2" xfId="15018"/>
    <cellStyle name="Normal 12 2 2 2 4 2 2" xfId="15019"/>
    <cellStyle name="Normal 12 2 2 2 2 3 2 2" xfId="15020"/>
    <cellStyle name="Normal 12 2 2 3 4 2 2" xfId="15021"/>
    <cellStyle name="Normal 12 2 2 3 2 3 2 2" xfId="15022"/>
    <cellStyle name="Normal 12 2 2 4 3 2 2" xfId="15023"/>
    <cellStyle name="Normal 12 2 3 4 2 2" xfId="15024"/>
    <cellStyle name="Normal 12 2 3 2 3 2 2" xfId="15025"/>
    <cellStyle name="Normal 12 2 4 4 2 2" xfId="15026"/>
    <cellStyle name="Normal 12 2 4 2 3 2 2" xfId="15027"/>
    <cellStyle name="Normal 12 2 5 2 3 2 2" xfId="15028"/>
    <cellStyle name="Normal 12 2 6 3 2 2" xfId="15029"/>
    <cellStyle name="Normal 12 3 6 2 2" xfId="15030"/>
    <cellStyle name="Normal 12 3 2 4 2 2" xfId="15031"/>
    <cellStyle name="Normal 12 3 2 2 3 2 2" xfId="15032"/>
    <cellStyle name="Normal 12 3 3 4 2 2" xfId="15033"/>
    <cellStyle name="Normal 12 3 3 2 3 2 2" xfId="15034"/>
    <cellStyle name="Normal 12 3 4 3 2 2" xfId="15035"/>
    <cellStyle name="Normal 12 4 6 2 2" xfId="15036"/>
    <cellStyle name="Normal 12 4 2 4 2 2" xfId="15037"/>
    <cellStyle name="Normal 12 4 2 2 3 2 2" xfId="15038"/>
    <cellStyle name="Normal 12 4 3 4 2 2" xfId="15039"/>
    <cellStyle name="Normal 12 4 3 2 3 2 2" xfId="15040"/>
    <cellStyle name="Normal 12 4 4 3 2 2" xfId="15041"/>
    <cellStyle name="Normal 12 5 4 2 2" xfId="15042"/>
    <cellStyle name="Normal 12 5 2 3 2 2" xfId="15043"/>
    <cellStyle name="Normal 12 6 4 2 2" xfId="15044"/>
    <cellStyle name="Normal 12 6 2 3 2 2" xfId="15045"/>
    <cellStyle name="Normal 12 7 3 2 2" xfId="15046"/>
    <cellStyle name="Normal 15 7 2 2" xfId="15047"/>
    <cellStyle name="Normal 15 3 3 2 2" xfId="15048"/>
    <cellStyle name="Normal 16 2 6 2 2" xfId="15049"/>
    <cellStyle name="Normal 16 2 2 4 2 2" xfId="15050"/>
    <cellStyle name="Normal 16 2 2 2 3 2 2" xfId="15051"/>
    <cellStyle name="Normal 16 2 3 4 2 2" xfId="15052"/>
    <cellStyle name="Normal 16 2 3 2 3 2 2" xfId="15053"/>
    <cellStyle name="Normal 16 2 4 3 2 2" xfId="15054"/>
    <cellStyle name="Normal 16 3 4 2 2" xfId="15055"/>
    <cellStyle name="Normal 16 3 2 3 2 2" xfId="15056"/>
    <cellStyle name="Normal 16 4 4 2 2" xfId="15057"/>
    <cellStyle name="Normal 16 4 2 3 2 2" xfId="15058"/>
    <cellStyle name="Normal 16 5 2 3 2 2" xfId="15059"/>
    <cellStyle name="Normal 16 6 3 2 2" xfId="15060"/>
    <cellStyle name="Normal 17 2 6 2 2" xfId="15061"/>
    <cellStyle name="Normal 17 2 2 4 2 2" xfId="15062"/>
    <cellStyle name="Normal 17 2 2 2 3 2 2" xfId="15063"/>
    <cellStyle name="Normal 17 2 3 4 2 2" xfId="15064"/>
    <cellStyle name="Normal 17 2 3 2 3 2 2" xfId="15065"/>
    <cellStyle name="Normal 17 2 4 3 2 2" xfId="15066"/>
    <cellStyle name="Normal 17 3 4 2 2" xfId="15067"/>
    <cellStyle name="Normal 17 3 2 3 2 2" xfId="15068"/>
    <cellStyle name="Normal 17 4 4 2 2" xfId="15069"/>
    <cellStyle name="Normal 17 4 2 3 2 2" xfId="15070"/>
    <cellStyle name="Normal 17 5 2 3 2 2" xfId="15071"/>
    <cellStyle name="Normal 17 6 3 2 2" xfId="15072"/>
    <cellStyle name="Normal 2 10 3 3 2 2" xfId="15073"/>
    <cellStyle name="Normal 2 11 3 3 2 2" xfId="15074"/>
    <cellStyle name="Normal 2 12 3 3 2 2" xfId="15075"/>
    <cellStyle name="Normal 2 13 3 3 2 2" xfId="15076"/>
    <cellStyle name="Normal 2 14 3 3 2 2" xfId="15077"/>
    <cellStyle name="Normal 2 15 3 3 2 2" xfId="15078"/>
    <cellStyle name="Normal 2 16 3 3 2 2" xfId="15079"/>
    <cellStyle name="Normal 2 17 3 3 2 2" xfId="15080"/>
    <cellStyle name="Normal 2 18 3 3 2 2" xfId="15081"/>
    <cellStyle name="Normal 2 19 3 3 2 2" xfId="15082"/>
    <cellStyle name="Normal 2 2 10 3 2 2" xfId="15083"/>
    <cellStyle name="Normal 2 2 11 3 2 2" xfId="15084"/>
    <cellStyle name="Normal 2 2 12 3 2 2" xfId="15085"/>
    <cellStyle name="Normal 2 2 13 3 2 2" xfId="15086"/>
    <cellStyle name="Normal 2 2 14 3 2 2" xfId="15087"/>
    <cellStyle name="Normal 2 2 15 3 2 2" xfId="15088"/>
    <cellStyle name="Normal 2 2 16 3 2 2" xfId="15089"/>
    <cellStyle name="Normal 2 2 17 3 2 2" xfId="15090"/>
    <cellStyle name="Normal 2 2 18 3 2 2" xfId="15091"/>
    <cellStyle name="Normal 2 2 19 3 2 2" xfId="15092"/>
    <cellStyle name="Normal 2 2 2 2 7 2 2" xfId="15093"/>
    <cellStyle name="Normal 2 2 2 2 2 4 2 2" xfId="15094"/>
    <cellStyle name="Normal 2 2 2 2 2 2 3 2 2" xfId="15095"/>
    <cellStyle name="Normal 2 2 2 2 3 3 2 2" xfId="15096"/>
    <cellStyle name="Normal 2 2 2 2 4 3 2 2" xfId="15097"/>
    <cellStyle name="Normal 2 2 2 2 5 3 2 2" xfId="15098"/>
    <cellStyle name="Normal 2 2 20 3 2 2" xfId="15099"/>
    <cellStyle name="Normal 2 2 21 3 2 2" xfId="15100"/>
    <cellStyle name="Normal 2 2 22 3 2 2" xfId="15101"/>
    <cellStyle name="Normal 2 2 3 10 2 2" xfId="15102"/>
    <cellStyle name="Normal 2 2 3 2 3 2 2" xfId="15103"/>
    <cellStyle name="Normal 2 2 3 3 3 2 2" xfId="15104"/>
    <cellStyle name="Normal 2 2 3 4 3 2 2" xfId="15105"/>
    <cellStyle name="Normal 2 2 3 5 3 2 2" xfId="15106"/>
    <cellStyle name="Normal 2 2 3 6 3 2 2" xfId="15107"/>
    <cellStyle name="Normal 2 2 4 6 2 2" xfId="15108"/>
    <cellStyle name="Normal 2 2 4 2 3 2 2" xfId="15109"/>
    <cellStyle name="Normal 2 2 5 5 2 2" xfId="15110"/>
    <cellStyle name="Normal 2 2 5 2 3 2 2" xfId="15111"/>
    <cellStyle name="Normal 2 2 6 3 2 2" xfId="15112"/>
    <cellStyle name="Normal 2 2 7 3 2 2" xfId="15113"/>
    <cellStyle name="Normal 2 2 8 3 2 2" xfId="15114"/>
    <cellStyle name="Normal 2 2 9 3 2 2" xfId="15115"/>
    <cellStyle name="Normal 2 20 3 2 2" xfId="15116"/>
    <cellStyle name="Normal 2 3 2 4 2 2" xfId="15117"/>
    <cellStyle name="Normal 2 3 3 3 2 2" xfId="15118"/>
    <cellStyle name="Normal 2 3 4 3 2 2" xfId="15119"/>
    <cellStyle name="Normal 2 3 5 3 2 2" xfId="15120"/>
    <cellStyle name="Normal 2 3 6 3 2 2" xfId="15121"/>
    <cellStyle name="Normal 2 4 5 3 2 2" xfId="15122"/>
    <cellStyle name="Normal 2 4 2 3 2 2" xfId="15123"/>
    <cellStyle name="Normal 2 5 3 3 2 2" xfId="15124"/>
    <cellStyle name="Normal 2 6 3 3 2 2" xfId="15125"/>
    <cellStyle name="Normal 2 7 3 3 2 2" xfId="15126"/>
    <cellStyle name="Normal 2 8 3 3 2 2" xfId="15127"/>
    <cellStyle name="Normal 2 9 3 3 2 2" xfId="15128"/>
    <cellStyle name="Normal 21 10 2 2" xfId="15129"/>
    <cellStyle name="Normal 21 2 8 2 2" xfId="15130"/>
    <cellStyle name="Normal 21 2 2 3 2 2" xfId="15131"/>
    <cellStyle name="Normal 21 2 3 3 2 2" xfId="15132"/>
    <cellStyle name="Normal 21 2 4 3 2 2" xfId="15133"/>
    <cellStyle name="Normal 21 2 5 3 2 2" xfId="15134"/>
    <cellStyle name="Normal 21 2 6 3 2 2" xfId="15135"/>
    <cellStyle name="Normal 21 3 4 2 2" xfId="15136"/>
    <cellStyle name="Normal 21 3 2 3 2 2" xfId="15137"/>
    <cellStyle name="Normal 21 4 3 2 2" xfId="15138"/>
    <cellStyle name="Normal 21 5 3 2 2" xfId="15139"/>
    <cellStyle name="Normal 21 6 3 2 2" xfId="15140"/>
    <cellStyle name="Normal 21 8 3 2 2" xfId="15141"/>
    <cellStyle name="Normal 22 9 2 2" xfId="15142"/>
    <cellStyle name="Normal 22 2 8 2 2" xfId="15143"/>
    <cellStyle name="Normal 22 2 2 3 2 2" xfId="15144"/>
    <cellStyle name="Normal 22 2 3 3 2 2" xfId="15145"/>
    <cellStyle name="Normal 22 2 4 3 2 2" xfId="15146"/>
    <cellStyle name="Normal 22 2 5 3 2 2" xfId="15147"/>
    <cellStyle name="Normal 22 3 3 2 2" xfId="15148"/>
    <cellStyle name="Normal 22 4 3 2 2" xfId="15149"/>
    <cellStyle name="Normal 22 5 3 2 2" xfId="15150"/>
    <cellStyle name="Normal 22 6 3 2 2" xfId="15151"/>
    <cellStyle name="Normal 23 9 2 2" xfId="15152"/>
    <cellStyle name="Normal 23 2 7 2 2" xfId="15153"/>
    <cellStyle name="Normal 23 2 2 3 2 2" xfId="15154"/>
    <cellStyle name="Normal 23 2 3 3 2 2" xfId="15155"/>
    <cellStyle name="Normal 23 2 4 3 2 2" xfId="15156"/>
    <cellStyle name="Normal 23 2 5 3 2 2" xfId="15157"/>
    <cellStyle name="Normal 23 3 3 2 2" xfId="15158"/>
    <cellStyle name="Normal 23 4 3 2 2" xfId="15159"/>
    <cellStyle name="Normal 23 5 3 2 2" xfId="15160"/>
    <cellStyle name="Normal 23 6 3 2 2" xfId="15161"/>
    <cellStyle name="Normal 24 9 2 2" xfId="15162"/>
    <cellStyle name="Normal 24 2 7 2 2" xfId="15163"/>
    <cellStyle name="Normal 24 2 2 3 2 2" xfId="15164"/>
    <cellStyle name="Normal 24 2 3 3 2 2" xfId="15165"/>
    <cellStyle name="Normal 24 2 4 3 2 2" xfId="15166"/>
    <cellStyle name="Normal 24 2 5 3 2 2" xfId="15167"/>
    <cellStyle name="Normal 24 3 3 2 2" xfId="15168"/>
    <cellStyle name="Normal 24 4 3 2 2" xfId="15169"/>
    <cellStyle name="Normal 24 5 3 2 2" xfId="15170"/>
    <cellStyle name="Normal 24 6 3 2 2" xfId="15171"/>
    <cellStyle name="Normal 26 9 2 2" xfId="15172"/>
    <cellStyle name="Normal 26 2 7 2 2" xfId="15173"/>
    <cellStyle name="Normal 26 2 2 3 2 2" xfId="15174"/>
    <cellStyle name="Normal 26 2 3 3 2 2" xfId="15175"/>
    <cellStyle name="Normal 26 2 4 3 2 2" xfId="15176"/>
    <cellStyle name="Normal 26 2 5 3 2 2" xfId="15177"/>
    <cellStyle name="Normal 26 3 3 2 2" xfId="15178"/>
    <cellStyle name="Normal 26 4 3 2 2" xfId="15179"/>
    <cellStyle name="Normal 26 5 3 2 2" xfId="15180"/>
    <cellStyle name="Normal 26 6 3 2 2" xfId="15181"/>
    <cellStyle name="Normal 3 10 3 2 2" xfId="15182"/>
    <cellStyle name="Normal 3 11 3 2 2" xfId="15183"/>
    <cellStyle name="Normal 3 12 3 2 2" xfId="15184"/>
    <cellStyle name="Normal 3 13 3 2 2" xfId="15185"/>
    <cellStyle name="Normal 3 14 3 2 2" xfId="15186"/>
    <cellStyle name="Normal 3 15 3 2 2" xfId="15187"/>
    <cellStyle name="Normal 3 16 3 2 2" xfId="15188"/>
    <cellStyle name="Normal 3 17 3 2 2" xfId="15189"/>
    <cellStyle name="Normal 3 18 3 2 2" xfId="15190"/>
    <cellStyle name="Normal 3 19 3 2 2" xfId="15191"/>
    <cellStyle name="Normal 3 2 2 3 2 2" xfId="15192"/>
    <cellStyle name="Normal 3 2 3 3 2 2" xfId="15193"/>
    <cellStyle name="Normal 3 2 4 3 2 2" xfId="15194"/>
    <cellStyle name="Normal 3 2 5 3 2 2" xfId="15195"/>
    <cellStyle name="Normal 3 2 6 3 2 2" xfId="15196"/>
    <cellStyle name="Normal 3 20 3 2 2" xfId="15197"/>
    <cellStyle name="Normal 3 21 3 2 2" xfId="15198"/>
    <cellStyle name="Normal 3 22 3 2 2" xfId="15199"/>
    <cellStyle name="Normal 3 23 3 2 2" xfId="15200"/>
    <cellStyle name="Normal 3 24 3 2 2" xfId="15201"/>
    <cellStyle name="Normal 3 3 6 2 2" xfId="15202"/>
    <cellStyle name="Normal 3 3 2 3 2 2" xfId="15203"/>
    <cellStyle name="Normal 3 3 3 3 2 2" xfId="15204"/>
    <cellStyle name="Normal 3 4 4 2 2" xfId="15205"/>
    <cellStyle name="Normal 3 4 2 3 2 2" xfId="15206"/>
    <cellStyle name="Normal 3 5 4 2 2" xfId="15207"/>
    <cellStyle name="Normal 3 5 2 3 2 2" xfId="15208"/>
    <cellStyle name="Normal 3 6 3 2 2" xfId="15209"/>
    <cellStyle name="Normal 3 7 3 2 2" xfId="15210"/>
    <cellStyle name="Normal 3 8 3 2 2" xfId="15211"/>
    <cellStyle name="Normal 3 9 3 2 2" xfId="15212"/>
    <cellStyle name="Normal 4 2 10 3 2 2" xfId="15213"/>
    <cellStyle name="Normal 4 2 11 3 2 2" xfId="15214"/>
    <cellStyle name="Normal 4 2 12 3 2 2" xfId="15215"/>
    <cellStyle name="Normal 4 2 13 3 2 2" xfId="15216"/>
    <cellStyle name="Normal 4 2 14 3 2 2" xfId="15217"/>
    <cellStyle name="Normal 4 2 15 3 2 2" xfId="15218"/>
    <cellStyle name="Normal 4 2 16 3 2 2" xfId="15219"/>
    <cellStyle name="Normal 4 2 17 3 2 2" xfId="15220"/>
    <cellStyle name="Normal 4 2 18 3 2 2" xfId="15221"/>
    <cellStyle name="Normal 4 2 19 3 2 2" xfId="15222"/>
    <cellStyle name="Normal 4 2 2 7 2 2" xfId="15223"/>
    <cellStyle name="Normal 4 2 2 2 3 2 2" xfId="15224"/>
    <cellStyle name="Normal 4 2 2 3 3 2 2" xfId="15225"/>
    <cellStyle name="Normal 4 2 2 4 3 2 2" xfId="15226"/>
    <cellStyle name="Normal 4 2 2 5 3 2 2" xfId="15227"/>
    <cellStyle name="Normal 4 2 20 3 2 2" xfId="15228"/>
    <cellStyle name="Normal 4 2 21 3 2 2" xfId="15229"/>
    <cellStyle name="Normal 4 2 22 3 2 2" xfId="15230"/>
    <cellStyle name="Normal 4 2 23 3 2 2" xfId="15231"/>
    <cellStyle name="Normal 4 2 24 3 2 2" xfId="15232"/>
    <cellStyle name="Normal 4 2 3 4 2 2" xfId="15233"/>
    <cellStyle name="Normal 4 2 3 2 3 2 2" xfId="15234"/>
    <cellStyle name="Normal 4 2 4 4 2 2" xfId="15235"/>
    <cellStyle name="Normal 4 2 4 2 3 2 2" xfId="15236"/>
    <cellStyle name="Normal 4 2 5 4 2 2" xfId="15237"/>
    <cellStyle name="Normal 4 2 5 2 3 2 2" xfId="15238"/>
    <cellStyle name="Normal 4 2 6 3 2 2" xfId="15239"/>
    <cellStyle name="Normal 4 2 7 3 2 2" xfId="15240"/>
    <cellStyle name="Normal 4 2 8 3 2 2" xfId="15241"/>
    <cellStyle name="Normal 4 2 9 3 2 2" xfId="15242"/>
    <cellStyle name="Normal 4 3 8 2 2" xfId="15243"/>
    <cellStyle name="Normal 4 3 2 7 2 2" xfId="15244"/>
    <cellStyle name="Normal 4 3 2 2 6 2 2" xfId="15245"/>
    <cellStyle name="Normal 4 3 2 2 2 4 2 2" xfId="15246"/>
    <cellStyle name="Normal 4 3 2 2 2 2 3 2 2" xfId="15247"/>
    <cellStyle name="Normal 4 3 2 2 3 4 2 2" xfId="15248"/>
    <cellStyle name="Normal 4 3 2 2 3 2 3 2 2" xfId="15249"/>
    <cellStyle name="Normal 4 3 2 2 4 3 2 2" xfId="15250"/>
    <cellStyle name="Normal 4 3 2 3 4 2 2" xfId="15251"/>
    <cellStyle name="Normal 4 3 2 3 2 3 2 2" xfId="15252"/>
    <cellStyle name="Normal 4 3 2 4 4 2 2" xfId="15253"/>
    <cellStyle name="Normal 4 3 2 4 2 3 2 2" xfId="15254"/>
    <cellStyle name="Normal 4 3 2 5 3 2 2" xfId="15255"/>
    <cellStyle name="Normal 4 3 3 6 2 2" xfId="15256"/>
    <cellStyle name="Normal 4 3 3 2 4 2 2" xfId="15257"/>
    <cellStyle name="Normal 4 3 3 2 2 3 2 2" xfId="15258"/>
    <cellStyle name="Normal 4 3 3 3 4 2 2" xfId="15259"/>
    <cellStyle name="Normal 4 3 3 3 2 3 2 2" xfId="15260"/>
    <cellStyle name="Normal 4 3 3 4 3 2 2" xfId="15261"/>
    <cellStyle name="Normal 4 3 4 4 2 2" xfId="15262"/>
    <cellStyle name="Normal 4 3 4 2 3 2 2" xfId="15263"/>
    <cellStyle name="Normal 4 3 5 4 2 2" xfId="15264"/>
    <cellStyle name="Normal 4 3 5 2 3 2 2" xfId="15265"/>
    <cellStyle name="Normal 4 3 6 3 2 2" xfId="15266"/>
    <cellStyle name="Normal 4 4 5 2 2" xfId="15267"/>
    <cellStyle name="Normal 4 4 2 3 2 2" xfId="15268"/>
    <cellStyle name="Normal 4 5 3 2 2" xfId="15269"/>
    <cellStyle name="Normal 4 6 3 2 2" xfId="15270"/>
    <cellStyle name="Normal 4 7 3 2 2" xfId="15271"/>
    <cellStyle name="Normal 4 8 3 2 2" xfId="15272"/>
    <cellStyle name="Normal 41 2 3 2 2" xfId="15273"/>
    <cellStyle name="Normal 46 3 2 2" xfId="15274"/>
    <cellStyle name="Normal 5 28 3 2 2" xfId="15275"/>
    <cellStyle name="Normal 5 2 8 2 2" xfId="15276"/>
    <cellStyle name="Normal 5 2 2 2 2 3 2 2" xfId="15277"/>
    <cellStyle name="Normal 5 2 2 3 3 2 2" xfId="15278"/>
    <cellStyle name="Normal 5 2 3 2 2 3 2 2" xfId="15279"/>
    <cellStyle name="Normal 5 2 3 3 3 2 2" xfId="15280"/>
    <cellStyle name="Normal 5 2 4 2 3 2 2" xfId="15281"/>
    <cellStyle name="Normal 5 2 6 3 2 2" xfId="15282"/>
    <cellStyle name="Normal 5 24 3 2 2" xfId="15283"/>
    <cellStyle name="Normal 5 3 4 2 2" xfId="15284"/>
    <cellStyle name="Normal 5 4 4 2 2" xfId="15285"/>
    <cellStyle name="Normal 5 5 4 2 2" xfId="15286"/>
    <cellStyle name="Normal 5 6 4 2 2" xfId="15287"/>
    <cellStyle name="Normal 5 7 4 2 2" xfId="15288"/>
    <cellStyle name="Normal 7 25 3 2 2" xfId="15289"/>
    <cellStyle name="Normal 7 10 3 2 2" xfId="15290"/>
    <cellStyle name="Normal 7 11 3 2 2" xfId="15291"/>
    <cellStyle name="Normal 7 12 3 2 2" xfId="15292"/>
    <cellStyle name="Normal 7 13 3 2 2" xfId="15293"/>
    <cellStyle name="Normal 7 14 3 2 2" xfId="15294"/>
    <cellStyle name="Normal 7 15 3 2 2" xfId="15295"/>
    <cellStyle name="Normal 7 16 3 2 2" xfId="15296"/>
    <cellStyle name="Normal 7 17 3 2 2" xfId="15297"/>
    <cellStyle name="Normal 7 18 3 2 2" xfId="15298"/>
    <cellStyle name="Normal 7 19 3 2 2" xfId="15299"/>
    <cellStyle name="Normal 7 2 7 2 2" xfId="15300"/>
    <cellStyle name="Normal 7 2 2 3 2 2" xfId="15301"/>
    <cellStyle name="Normal 7 2 3 3 2 2" xfId="15302"/>
    <cellStyle name="Normal 7 2 4 3 2 2" xfId="15303"/>
    <cellStyle name="Normal 7 2 5 3 2 2" xfId="15304"/>
    <cellStyle name="Normal 7 20 3 2 2" xfId="15305"/>
    <cellStyle name="Normal 7 22 3 2 2" xfId="15306"/>
    <cellStyle name="Normal 7 3 7 2 2" xfId="15307"/>
    <cellStyle name="Normal 7 3 2 3 2 2" xfId="15308"/>
    <cellStyle name="Normal 7 3 3 3 2 2" xfId="15309"/>
    <cellStyle name="Normal 7 3 4 3 2 2" xfId="15310"/>
    <cellStyle name="Normal 7 3 5 3 2 2" xfId="15311"/>
    <cellStyle name="Normal 7 4 3 2 2" xfId="15312"/>
    <cellStyle name="Normal 7 5 3 2 2" xfId="15313"/>
    <cellStyle name="Normal 7 6 3 2 2" xfId="15314"/>
    <cellStyle name="Normal 7 7 3 2 2" xfId="15315"/>
    <cellStyle name="Normal 7 8 3 2 2" xfId="15316"/>
    <cellStyle name="Normal 7 9 3 2 2" xfId="15317"/>
    <cellStyle name="Normal 8 25 3 2 2" xfId="15318"/>
    <cellStyle name="Normal 8 10 3 2 2" xfId="15319"/>
    <cellStyle name="Normal 8 11 3 2 2" xfId="15320"/>
    <cellStyle name="Normal 8 12 3 2 2" xfId="15321"/>
    <cellStyle name="Normal 8 13 3 2 2" xfId="15322"/>
    <cellStyle name="Normal 8 14 3 2 2" xfId="15323"/>
    <cellStyle name="Normal 8 15 3 2 2" xfId="15324"/>
    <cellStyle name="Normal 8 16 3 2 2" xfId="15325"/>
    <cellStyle name="Normal 8 17 3 2 2" xfId="15326"/>
    <cellStyle name="Normal 8 18 3 2 2" xfId="15327"/>
    <cellStyle name="Normal 8 19 3 2 2" xfId="15328"/>
    <cellStyle name="Normal 8 2 6 3 2 2" xfId="15329"/>
    <cellStyle name="Normal 8 2 2 2 3 2 2" xfId="15330"/>
    <cellStyle name="Normal 8 2 3 3 2 2" xfId="15331"/>
    <cellStyle name="Normal 8 2 4 3 2 2" xfId="15332"/>
    <cellStyle name="Normal 8 2 5 3 2 2" xfId="15333"/>
    <cellStyle name="Normal 8 20 3 2 2" xfId="15334"/>
    <cellStyle name="Normal 8 22 3 2 2" xfId="15335"/>
    <cellStyle name="Normal 8 3 6 3 2 2" xfId="15336"/>
    <cellStyle name="Normal 8 3 2 3 2 2" xfId="15337"/>
    <cellStyle name="Normal 8 3 3 3 2 2" xfId="15338"/>
    <cellStyle name="Normal 8 3 4 3 2 2" xfId="15339"/>
    <cellStyle name="Normal 8 3 5 3 2 2" xfId="15340"/>
    <cellStyle name="Normal 8 4 3 2 2" xfId="15341"/>
    <cellStyle name="Normal 8 5 3 2 2" xfId="15342"/>
    <cellStyle name="Normal 8 6 3 2 2" xfId="15343"/>
    <cellStyle name="Normal 8 7 3 2 2" xfId="15344"/>
    <cellStyle name="Normal 8 8 3 2 2" xfId="15345"/>
    <cellStyle name="Normal 8 9 3 2 2" xfId="15346"/>
    <cellStyle name="Normal 9 25 3 2 2" xfId="15347"/>
    <cellStyle name="Normal 9 10 3 2 2" xfId="15348"/>
    <cellStyle name="Normal 9 11 3 2 2" xfId="15349"/>
    <cellStyle name="Normal 9 12 3 2 2" xfId="15350"/>
    <cellStyle name="Normal 9 13 3 2 2" xfId="15351"/>
    <cellStyle name="Normal 9 14 3 2 2" xfId="15352"/>
    <cellStyle name="Normal 9 15 3 2 2" xfId="15353"/>
    <cellStyle name="Normal 9 16 3 2 2" xfId="15354"/>
    <cellStyle name="Normal 9 17 3 2 2" xfId="15355"/>
    <cellStyle name="Normal 9 18 3 2 2" xfId="15356"/>
    <cellStyle name="Normal 9 19 3 2 2" xfId="15357"/>
    <cellStyle name="Normal 9 2 7 2 2" xfId="15358"/>
    <cellStyle name="Normal 9 2 2 3 2 2" xfId="15359"/>
    <cellStyle name="Normal 9 2 3 3 2 2" xfId="15360"/>
    <cellStyle name="Normal 9 2 4 3 2 2" xfId="15361"/>
    <cellStyle name="Normal 9 2 5 3 2 2" xfId="15362"/>
    <cellStyle name="Normal 9 20 3 2 2" xfId="15363"/>
    <cellStyle name="Normal 9 22 3 2 2" xfId="15364"/>
    <cellStyle name="Normal 9 3 7 2 2" xfId="15365"/>
    <cellStyle name="Normal 9 3 2 3 2 2" xfId="15366"/>
    <cellStyle name="Normal 9 3 3 3 2 2" xfId="15367"/>
    <cellStyle name="Normal 9 3 4 3 2 2" xfId="15368"/>
    <cellStyle name="Normal 9 3 5 3 2 2" xfId="15369"/>
    <cellStyle name="Normal 9 4 3 2 2" xfId="15370"/>
    <cellStyle name="Normal 9 5 3 2 2" xfId="15371"/>
    <cellStyle name="Normal 9 6 3 2 2" xfId="15372"/>
    <cellStyle name="Normal 9 7 3 2 2" xfId="15373"/>
    <cellStyle name="Normal 9 8 3 2 2" xfId="15374"/>
    <cellStyle name="Normal 9 9 3 2 2" xfId="15375"/>
    <cellStyle name="Note 2 3 2 2" xfId="15376"/>
    <cellStyle name="Note 3 3 2 2" xfId="15377"/>
    <cellStyle name="Note 4 3 2 2" xfId="15378"/>
    <cellStyle name="Note 7 3 2 2" xfId="15379"/>
    <cellStyle name="Percent 120 3 2 2" xfId="15380"/>
    <cellStyle name="Percent 121 3 2 2" xfId="15381"/>
    <cellStyle name="Percent 122 3 2 2" xfId="15382"/>
    <cellStyle name="Percent 123 3 2 2" xfId="15383"/>
    <cellStyle name="Percent 124 3 2 2" xfId="15384"/>
    <cellStyle name="Percent 125 3 2 2" xfId="15385"/>
    <cellStyle name="Percent 126 3 2 2" xfId="15386"/>
    <cellStyle name="Percent 127 3 2 2" xfId="15387"/>
    <cellStyle name="Percent 128 3 2 2" xfId="15388"/>
    <cellStyle name="Percent 129 3 2 2" xfId="15389"/>
    <cellStyle name="Percent 130 3 2 2" xfId="15390"/>
    <cellStyle name="Percent 159 3 2 2" xfId="15391"/>
    <cellStyle name="Percent 2 22 3 2 2" xfId="15392"/>
    <cellStyle name="Percent 25 2 4 2 2" xfId="15393"/>
    <cellStyle name="Percent 25 2 2 3 2 2" xfId="15394"/>
    <cellStyle name="Percent 25 3 4 2 2" xfId="15395"/>
    <cellStyle name="Percent 25 3 2 3 2 2" xfId="15396"/>
    <cellStyle name="Percent 25 4 2 3 2 2" xfId="15397"/>
    <cellStyle name="Percent 25 5 3 2 2" xfId="15398"/>
    <cellStyle name="Percent 26 2 4 2 2" xfId="15399"/>
    <cellStyle name="Percent 26 2 2 3 2 2" xfId="15400"/>
    <cellStyle name="Percent 26 3 4 2 2" xfId="15401"/>
    <cellStyle name="Percent 26 3 2 3 2 2" xfId="15402"/>
    <cellStyle name="Percent 26 4 2 3 2 2" xfId="15403"/>
    <cellStyle name="Percent 26 5 3 2 2" xfId="15404"/>
    <cellStyle name="Percent 27 2 4 2 2" xfId="15405"/>
    <cellStyle name="Percent 27 2 2 3 2 2" xfId="15406"/>
    <cellStyle name="Percent 27 3 4 2 2" xfId="15407"/>
    <cellStyle name="Percent 27 3 2 3 2 2" xfId="15408"/>
    <cellStyle name="Percent 27 4 2 3 2 2" xfId="15409"/>
    <cellStyle name="Percent 27 5 3 2 2" xfId="15410"/>
    <cellStyle name="Percent 28 2 4 2 2" xfId="15411"/>
    <cellStyle name="Percent 28 2 2 3 2 2" xfId="15412"/>
    <cellStyle name="Percent 28 3 4 2 2" xfId="15413"/>
    <cellStyle name="Percent 28 3 2 3 2 2" xfId="15414"/>
    <cellStyle name="Percent 28 4 2 3 2 2" xfId="15415"/>
    <cellStyle name="Percent 28 5 3 2 2" xfId="15416"/>
    <cellStyle name="Percent 29 2 4 2 2" xfId="15417"/>
    <cellStyle name="Percent 29 2 2 3 2 2" xfId="15418"/>
    <cellStyle name="Percent 29 3 4 2 2" xfId="15419"/>
    <cellStyle name="Percent 29 3 2 3 2 2" xfId="15420"/>
    <cellStyle name="Percent 29 4 2 3 2 2" xfId="15421"/>
    <cellStyle name="Percent 29 5 3 2 2" xfId="15422"/>
    <cellStyle name="Percent 3 10 3 2 2" xfId="15423"/>
    <cellStyle name="Percent 3 11 3 2 2" xfId="15424"/>
    <cellStyle name="Percent 3 12 3 2 2" xfId="15425"/>
    <cellStyle name="Percent 3 13 3 2 2" xfId="15426"/>
    <cellStyle name="Percent 3 14 3 2 2" xfId="15427"/>
    <cellStyle name="Percent 3 15 3 2 2" xfId="15428"/>
    <cellStyle name="Percent 3 16 3 2 2" xfId="15429"/>
    <cellStyle name="Percent 3 17 3 2 2" xfId="15430"/>
    <cellStyle name="Percent 3 18 3 2 2" xfId="15431"/>
    <cellStyle name="Percent 3 19 3 2 2" xfId="15432"/>
    <cellStyle name="Percent 3 2 24 2 2" xfId="15433"/>
    <cellStyle name="Percent 3 2 10 3 2 2" xfId="15434"/>
    <cellStyle name="Percent 3 2 11 3 2 2" xfId="15435"/>
    <cellStyle name="Percent 3 2 12 3 2 2" xfId="15436"/>
    <cellStyle name="Percent 3 2 13 3 2 2" xfId="15437"/>
    <cellStyle name="Percent 3 2 14 3 2 2" xfId="15438"/>
    <cellStyle name="Percent 3 2 15 3 2 2" xfId="15439"/>
    <cellStyle name="Percent 3 2 16 3 2 2" xfId="15440"/>
    <cellStyle name="Percent 3 2 17 3 2 2" xfId="15441"/>
    <cellStyle name="Percent 3 2 18 3 2 2" xfId="15442"/>
    <cellStyle name="Percent 3 2 19 3 2 2" xfId="15443"/>
    <cellStyle name="Percent 3 2 2 2 3 2 2" xfId="15444"/>
    <cellStyle name="Percent 3 2 2 3 3 2 2" xfId="15445"/>
    <cellStyle name="Percent 3 2 2 4 3 2 2" xfId="15446"/>
    <cellStyle name="Percent 3 2 2 5 3 2 2" xfId="15447"/>
    <cellStyle name="Percent 3 2 20 3 2 2" xfId="15448"/>
    <cellStyle name="Percent 3 2 21 2 3 2 2" xfId="15449"/>
    <cellStyle name="Percent 3 2 3 7 2 2" xfId="15450"/>
    <cellStyle name="Percent 3 2 3 2 3 2 2" xfId="15451"/>
    <cellStyle name="Percent 3 2 3 3 3 2 2" xfId="15452"/>
    <cellStyle name="Percent 3 2 3 4 3 2 2" xfId="15453"/>
    <cellStyle name="Percent 3 2 3 5 3 2 2" xfId="15454"/>
    <cellStyle name="Percent 3 2 4 4 2 2" xfId="15455"/>
    <cellStyle name="Percent 3 2 4 2 3 2 2" xfId="15456"/>
    <cellStyle name="Percent 3 2 5 4 2 2" xfId="15457"/>
    <cellStyle name="Percent 3 2 5 2 3 2 2" xfId="15458"/>
    <cellStyle name="Percent 3 2 6 4 2 2" xfId="15459"/>
    <cellStyle name="Percent 3 2 6 2 3 2 2" xfId="15460"/>
    <cellStyle name="Percent 3 2 7 3 2 2" xfId="15461"/>
    <cellStyle name="Percent 3 2 8 3 2 2" xfId="15462"/>
    <cellStyle name="Percent 3 2 9 3 2 2" xfId="15463"/>
    <cellStyle name="Percent 3 20 3 2 2" xfId="15464"/>
    <cellStyle name="Percent 3 21 3 2 2" xfId="15465"/>
    <cellStyle name="Percent 3 3 2 3 2 2" xfId="15466"/>
    <cellStyle name="Percent 3 3 3 3 2 2" xfId="15467"/>
    <cellStyle name="Percent 3 3 4 3 2 2" xfId="15468"/>
    <cellStyle name="Percent 3 3 5 3 2 2" xfId="15469"/>
    <cellStyle name="Percent 3 4 7 2 2" xfId="15470"/>
    <cellStyle name="Percent 3 4 2 3 2 2" xfId="15471"/>
    <cellStyle name="Percent 3 4 3 3 2 2" xfId="15472"/>
    <cellStyle name="Percent 3 4 4 3 2 2" xfId="15473"/>
    <cellStyle name="Percent 3 4 5 3 2 2" xfId="15474"/>
    <cellStyle name="Percent 3 5 4 2 2" xfId="15475"/>
    <cellStyle name="Percent 3 5 2 3 2 2" xfId="15476"/>
    <cellStyle name="Percent 3 6 4 2 2" xfId="15477"/>
    <cellStyle name="Percent 3 6 2 3 2 2" xfId="15478"/>
    <cellStyle name="Percent 3 7 4 2 2" xfId="15479"/>
    <cellStyle name="Percent 3 7 2 3 2 2" xfId="15480"/>
    <cellStyle name="Percent 3 8 3 2 2" xfId="15481"/>
    <cellStyle name="Percent 3 9 3 2 2" xfId="15482"/>
    <cellStyle name="Percent 30 2 4 2 2" xfId="15483"/>
    <cellStyle name="Percent 30 2 2 3 2 2" xfId="15484"/>
    <cellStyle name="Percent 30 3 4 2 2" xfId="15485"/>
    <cellStyle name="Percent 30 3 2 3 2 2" xfId="15486"/>
    <cellStyle name="Percent 30 4 2 3 2 2" xfId="15487"/>
    <cellStyle name="Percent 30 5 3 2 2" xfId="15488"/>
    <cellStyle name="Percent 31 2 4 2 2" xfId="15489"/>
    <cellStyle name="Percent 31 2 2 3 2 2" xfId="15490"/>
    <cellStyle name="Percent 31 3 4 2 2" xfId="15491"/>
    <cellStyle name="Percent 31 3 2 3 2 2" xfId="15492"/>
    <cellStyle name="Percent 31 4 2 3 2 2" xfId="15493"/>
    <cellStyle name="Percent 31 5 3 2 2" xfId="15494"/>
    <cellStyle name="Percent 32 2 4 2 2" xfId="15495"/>
    <cellStyle name="Percent 32 2 2 3 2 2" xfId="15496"/>
    <cellStyle name="Percent 32 3 4 2 2" xfId="15497"/>
    <cellStyle name="Percent 32 3 2 3 2 2" xfId="15498"/>
    <cellStyle name="Percent 32 4 2 3 2 2" xfId="15499"/>
    <cellStyle name="Percent 32 5 3 2 2" xfId="15500"/>
    <cellStyle name="Percent 33 2 4 2 2" xfId="15501"/>
    <cellStyle name="Percent 33 2 2 3 2 2" xfId="15502"/>
    <cellStyle name="Percent 33 3 4 2 2" xfId="15503"/>
    <cellStyle name="Percent 33 3 2 3 2 2" xfId="15504"/>
    <cellStyle name="Percent 33 4 2 3 2 2" xfId="15505"/>
    <cellStyle name="Percent 33 5 3 2 2" xfId="15506"/>
    <cellStyle name="Percent 34 2 4 2 2" xfId="15507"/>
    <cellStyle name="Percent 34 2 2 3 2 2" xfId="15508"/>
    <cellStyle name="Percent 34 3 4 2 2" xfId="15509"/>
    <cellStyle name="Percent 34 3 2 3 2 2" xfId="15510"/>
    <cellStyle name="Percent 34 4 2 3 2 2" xfId="15511"/>
    <cellStyle name="Percent 34 5 3 2 2" xfId="15512"/>
    <cellStyle name="Percent 35 2 4 2 2" xfId="15513"/>
    <cellStyle name="Percent 35 2 2 3 2 2" xfId="15514"/>
    <cellStyle name="Percent 35 3 4 2 2" xfId="15515"/>
    <cellStyle name="Percent 35 3 2 3 2 2" xfId="15516"/>
    <cellStyle name="Percent 35 4 2 3 2 2" xfId="15517"/>
    <cellStyle name="Percent 35 5 3 2 2" xfId="15518"/>
    <cellStyle name="Currency 5 4 3 2 2" xfId="15519"/>
    <cellStyle name="Comma 5 7 3 2 2" xfId="15520"/>
    <cellStyle name="Percent 5 4 3 2 2" xfId="15521"/>
    <cellStyle name="Comma 6 5 3 2 2" xfId="15522"/>
    <cellStyle name="Currency 5 2 4 3 2 2" xfId="15523"/>
    <cellStyle name="Comma 5 2 4 3 2 2" xfId="15524"/>
    <cellStyle name="Percent 5 2 4 3 2 2" xfId="15525"/>
    <cellStyle name="Comma 6 2 3 3 2 2" xfId="15526"/>
    <cellStyle name="Currency 5 3 2 3 2 2" xfId="15527"/>
    <cellStyle name="Comma 5 3 2 3 2 2" xfId="15528"/>
    <cellStyle name="Percent 5 3 2 3 2 2" xfId="15529"/>
    <cellStyle name="Comma 6 3 4 3 2 2" xfId="15530"/>
    <cellStyle name="Normal 11 2 2 3 2 2" xfId="15531"/>
    <cellStyle name="Currency 5 2 2 2 3 2 2" xfId="15532"/>
    <cellStyle name="Comma 5 2 2 2 3 2 2" xfId="15533"/>
    <cellStyle name="Percent 5 2 2 2 3 2 2" xfId="15534"/>
    <cellStyle name="Comma 6 2 2 2 3 2 2" xfId="15535"/>
    <cellStyle name="Normal 51 3 2 2" xfId="15536"/>
    <cellStyle name="Comma 187 3 2 2" xfId="15537"/>
    <cellStyle name="Percent 163 3 2 2" xfId="15538"/>
    <cellStyle name="Currency 162 3 2 2" xfId="15539"/>
    <cellStyle name="Currency 5 6 2 2 2" xfId="15540"/>
    <cellStyle name="Currency 179 2 2 2" xfId="15541"/>
    <cellStyle name="Percent 180 2 2 2" xfId="15542"/>
    <cellStyle name="Comma 204 2 2 2" xfId="15543"/>
    <cellStyle name="Normal 8 26 2 2 2" xfId="15544"/>
    <cellStyle name="Comma 5 9 2 2 2" xfId="15545"/>
    <cellStyle name="Percent 5 6 2 2 2" xfId="15546"/>
    <cellStyle name="Comma 6 7 2 2 2" xfId="15547"/>
    <cellStyle name="Normal 11 5 2 2 2" xfId="15548"/>
    <cellStyle name="Currency 5 2 6 2 2 2" xfId="15549"/>
    <cellStyle name="Normal 8 2 7 2 2 2" xfId="15550"/>
    <cellStyle name="Comma 5 2 6 2 2 2" xfId="15551"/>
    <cellStyle name="Percent 5 2 6 2 2 2" xfId="15552"/>
    <cellStyle name="Comma 6 2 5 2 2 2" xfId="15553"/>
    <cellStyle name="Currency 5 3 4 2 2 2" xfId="15554"/>
    <cellStyle name="Normal 8 3 7 2 2 2" xfId="15555"/>
    <cellStyle name="Comma 5 3 4 2 2 2" xfId="15556"/>
    <cellStyle name="Percent 5 3 4 2 2 2" xfId="15557"/>
    <cellStyle name="Comma 6 3 6 2 2 2" xfId="15558"/>
    <cellStyle name="Normal 11 2 4 2 2 2" xfId="15559"/>
    <cellStyle name="Currency 5 2 2 4 2 2 2" xfId="15560"/>
    <cellStyle name="Normal 8 2 2 3 2 2 2" xfId="15561"/>
    <cellStyle name="Comma 5 2 2 4 2 2 2" xfId="15562"/>
    <cellStyle name="Percent 5 2 2 4 2 2 2" xfId="15563"/>
    <cellStyle name="Comma 6 2 2 3 2 2 2" xfId="15564"/>
    <cellStyle name="Normal 50 2 2 2 2" xfId="15565"/>
    <cellStyle name="Comma 186 2 2 2 2" xfId="15566"/>
    <cellStyle name="Percent 162 2 2 2 2" xfId="15567"/>
    <cellStyle name="Normal 2 24 2 2 2 2" xfId="15568"/>
    <cellStyle name="20% - Accent1 2 2 2 2 2" xfId="15569"/>
    <cellStyle name="20% - Accent1 3 2 2 2 2" xfId="15570"/>
    <cellStyle name="20% - Accent1 4 2 2 2 2" xfId="15571"/>
    <cellStyle name="20% - Accent1 5 2 2 2 2" xfId="15572"/>
    <cellStyle name="20% - Accent2 2 2 2 2 2" xfId="15573"/>
    <cellStyle name="20% - Accent2 3 2 2 2 2" xfId="15574"/>
    <cellStyle name="20% - Accent2 4 2 2 2 2" xfId="15575"/>
    <cellStyle name="20% - Accent2 5 2 2 2 2" xfId="15576"/>
    <cellStyle name="20% - Accent3 2 2 2 2 2" xfId="15577"/>
    <cellStyle name="20% - Accent3 3 2 2 2 2" xfId="15578"/>
    <cellStyle name="20% - Accent3 4 2 2 2 2" xfId="15579"/>
    <cellStyle name="20% - Accent3 5 2 2 2 2" xfId="15580"/>
    <cellStyle name="20% - Accent4 2 2 2 2 2" xfId="15581"/>
    <cellStyle name="20% - Accent4 3 2 2 2 2" xfId="15582"/>
    <cellStyle name="20% - Accent4 4 2 2 2 2" xfId="15583"/>
    <cellStyle name="20% - Accent4 5 2 2 2 2" xfId="15584"/>
    <cellStyle name="20% - Accent5 2 2 2 2 2" xfId="15585"/>
    <cellStyle name="20% - Accent5 3 2 2 2 2" xfId="15586"/>
    <cellStyle name="20% - Accent5 4 2 2 2 2" xfId="15587"/>
    <cellStyle name="20% - Accent6 2 2 2 2 2" xfId="15588"/>
    <cellStyle name="20% - Accent6 3 2 2 2 2" xfId="15589"/>
    <cellStyle name="20% - Accent6 4 2 2 2 2" xfId="15590"/>
    <cellStyle name="40% - Accent1 2 2 2 2 2" xfId="15591"/>
    <cellStyle name="40% - Accent1 3 2 2 2 2" xfId="15592"/>
    <cellStyle name="40% - Accent1 4 2 2 2 2" xfId="15593"/>
    <cellStyle name="40% - Accent1 5 2 2 2 2" xfId="15594"/>
    <cellStyle name="40% - Accent2 2 2 2 2 2" xfId="15595"/>
    <cellStyle name="40% - Accent2 3 2 2 2 2" xfId="15596"/>
    <cellStyle name="40% - Accent2 4 2 2 2 2" xfId="15597"/>
    <cellStyle name="40% - Accent3 2 2 2 2 2" xfId="15598"/>
    <cellStyle name="40% - Accent3 3 2 2 2 2" xfId="15599"/>
    <cellStyle name="40% - Accent3 4 2 2 2 2" xfId="15600"/>
    <cellStyle name="40% - Accent3 5 2 2 2 2" xfId="15601"/>
    <cellStyle name="40% - Accent4 2 2 2 2 2" xfId="15602"/>
    <cellStyle name="40% - Accent4 3 2 2 2 2" xfId="15603"/>
    <cellStyle name="40% - Accent4 4 2 2 2 2" xfId="15604"/>
    <cellStyle name="40% - Accent4 5 2 2 2 2" xfId="15605"/>
    <cellStyle name="40% - Accent5 2 2 2 2 2" xfId="15606"/>
    <cellStyle name="40% - Accent5 3 2 2 2 2" xfId="15607"/>
    <cellStyle name="40% - Accent5 4 2 2 2 2" xfId="15608"/>
    <cellStyle name="40% - Accent6 2 2 2 2 2" xfId="15609"/>
    <cellStyle name="40% - Accent6 3 2 2 2 2" xfId="15610"/>
    <cellStyle name="40% - Accent6 4 2 2 2 2" xfId="15611"/>
    <cellStyle name="40% - Accent6 5 2 2 2 2" xfId="15612"/>
    <cellStyle name="Comma 143 2 2 2 2" xfId="15613"/>
    <cellStyle name="Comma 144 2 2 2 2" xfId="15614"/>
    <cellStyle name="Comma 145 2 2 2 2" xfId="15615"/>
    <cellStyle name="Comma 146 2 2 2 2" xfId="15616"/>
    <cellStyle name="Comma 147 2 2 2 2" xfId="15617"/>
    <cellStyle name="Comma 148 2 2 2 2" xfId="15618"/>
    <cellStyle name="Comma 149 2 2 2 2" xfId="15619"/>
    <cellStyle name="Comma 150 2 2 2 2" xfId="15620"/>
    <cellStyle name="Comma 151 2 2 2 2" xfId="15621"/>
    <cellStyle name="Comma 152 2 2 2 2" xfId="15622"/>
    <cellStyle name="Comma 153 2 2 2 2" xfId="15623"/>
    <cellStyle name="Comma 182 2 2 2 2" xfId="15624"/>
    <cellStyle name="Comma 2 23 2 2 2 2" xfId="15625"/>
    <cellStyle name="Comma 2 2 10 2 2 2 2" xfId="15626"/>
    <cellStyle name="Comma 2 2 11 2 2 2 2" xfId="15627"/>
    <cellStyle name="Comma 2 2 12 2 2 2 2" xfId="15628"/>
    <cellStyle name="Comma 2 2 13 2 2 2 2" xfId="15629"/>
    <cellStyle name="Comma 2 2 14 2 2 2 2" xfId="15630"/>
    <cellStyle name="Comma 2 2 15 2 2 2 2" xfId="15631"/>
    <cellStyle name="Comma 2 2 16 2 2 2 2" xfId="15632"/>
    <cellStyle name="Comma 2 2 17 2 2 2 2" xfId="15633"/>
    <cellStyle name="Comma 2 2 2 2 6 2 2 2" xfId="15634"/>
    <cellStyle name="Comma 2 2 2 2 2 2 2 2 2" xfId="15635"/>
    <cellStyle name="Comma 2 2 2 2 3 2 2 2 2" xfId="15636"/>
    <cellStyle name="Comma 2 2 2 2 4 2 2 2 2" xfId="15637"/>
    <cellStyle name="Comma 2 2 2 2 5 2 2 2 2" xfId="15638"/>
    <cellStyle name="Comma 2 2 2 3 2 2 2 2" xfId="15639"/>
    <cellStyle name="Comma 2 2 2 4 2 2 2 2" xfId="15640"/>
    <cellStyle name="Comma 2 2 2 5 2 2 2 2" xfId="15641"/>
    <cellStyle name="Comma 2 2 2 6 2 2 2 2" xfId="15642"/>
    <cellStyle name="Comma 2 2 3 6 2 2 2" xfId="15643"/>
    <cellStyle name="Comma 2 2 3 2 2 2 2 2 2" xfId="15644"/>
    <cellStyle name="Comma 2 2 3 2 3 2 2 2 2" xfId="15645"/>
    <cellStyle name="Comma 2 2 3 2 4 2 2 2 2" xfId="15646"/>
    <cellStyle name="Comma 2 2 3 2 5 2 2 2 2" xfId="15647"/>
    <cellStyle name="Comma 2 2 3 3 2 2 2 2" xfId="15648"/>
    <cellStyle name="Comma 2 2 4 2 2 2 2 2" xfId="15649"/>
    <cellStyle name="Comma 2 2 5 2 2 2 2" xfId="15650"/>
    <cellStyle name="Comma 2 2 6 2 2 2 2" xfId="15651"/>
    <cellStyle name="Comma 2 2 7 2 2 2 2" xfId="15652"/>
    <cellStyle name="Comma 2 2 8 2 2 2 2" xfId="15653"/>
    <cellStyle name="Comma 2 2 9 2 2 2 2" xfId="15654"/>
    <cellStyle name="Comma 3 10 2 2 2 2" xfId="15655"/>
    <cellStyle name="Comma 3 11 2 2 2 2" xfId="15656"/>
    <cellStyle name="Comma 3 12 2 2 2 2" xfId="15657"/>
    <cellStyle name="Comma 3 13 2 2 2 2" xfId="15658"/>
    <cellStyle name="Comma 3 14 2 2 2 2" xfId="15659"/>
    <cellStyle name="Comma 3 15 2 2 2 2" xfId="15660"/>
    <cellStyle name="Comma 3 16 2 2 2 2" xfId="15661"/>
    <cellStyle name="Comma 3 17 2 2 2 2" xfId="15662"/>
    <cellStyle name="Comma 3 18 2 2 2 2" xfId="15663"/>
    <cellStyle name="Comma 3 19 2 2 2 2" xfId="15664"/>
    <cellStyle name="Comma 3 2 2 2 2 2 2" xfId="15665"/>
    <cellStyle name="Comma 3 2 3 2 2 2 2" xfId="15666"/>
    <cellStyle name="Comma 3 2 4 2 2 2 2" xfId="15667"/>
    <cellStyle name="Comma 3 2 5 2 2 2 2" xfId="15668"/>
    <cellStyle name="Comma 3 20 2 2 2 2" xfId="15669"/>
    <cellStyle name="Comma 3 21 2 2 2 2" xfId="15670"/>
    <cellStyle name="Comma 3 3 6 2 2 2" xfId="15671"/>
    <cellStyle name="Comma 3 3 2 2 2 2 2" xfId="15672"/>
    <cellStyle name="Comma 3 3 3 2 2 2 2" xfId="15673"/>
    <cellStyle name="Comma 3 3 4 2 2 2 2" xfId="15674"/>
    <cellStyle name="Comma 3 3 5 2 2 2 2" xfId="15675"/>
    <cellStyle name="Comma 3 4 3 2 2 2" xfId="15676"/>
    <cellStyle name="Comma 3 4 2 2 2 2 2" xfId="15677"/>
    <cellStyle name="Comma 3 5 3 2 2 2" xfId="15678"/>
    <cellStyle name="Comma 3 5 2 2 2 2 2" xfId="15679"/>
    <cellStyle name="Comma 3 6 3 2 2 2" xfId="15680"/>
    <cellStyle name="Comma 3 6 2 2 2 2 2" xfId="15681"/>
    <cellStyle name="Comma 3 7 2 2 2 2" xfId="15682"/>
    <cellStyle name="Comma 3 8 2 2 2 2" xfId="15683"/>
    <cellStyle name="Comma 3 9 2 2 2 2" xfId="15684"/>
    <cellStyle name="Currency 120 2 2 2 2" xfId="15685"/>
    <cellStyle name="Currency 121 2 2 2 2" xfId="15686"/>
    <cellStyle name="Currency 122 2 2 2 2" xfId="15687"/>
    <cellStyle name="Currency 123 2 2 2 2" xfId="15688"/>
    <cellStyle name="Currency 124 2 2 2 2" xfId="15689"/>
    <cellStyle name="Currency 125 2 2 2 2" xfId="15690"/>
    <cellStyle name="Currency 126 2 2 2 2" xfId="15691"/>
    <cellStyle name="Currency 127 2 2 2 2" xfId="15692"/>
    <cellStyle name="Currency 128 2 2 2 2" xfId="15693"/>
    <cellStyle name="Currency 129 2 2 2 2" xfId="15694"/>
    <cellStyle name="Currency 130 2 2 2 2" xfId="15695"/>
    <cellStyle name="Currency 159 2 2 2 2" xfId="15696"/>
    <cellStyle name="Currency 2 27 2 2 2 2" xfId="15697"/>
    <cellStyle name="Currency 2 2 20 2 2 2 2" xfId="15698"/>
    <cellStyle name="Currency 2 2 10 2 2 2 2" xfId="15699"/>
    <cellStyle name="Currency 2 2 11 2 2 2 2" xfId="15700"/>
    <cellStyle name="Currency 2 2 12 2 2 2 2" xfId="15701"/>
    <cellStyle name="Currency 2 2 13 2 2 2 2" xfId="15702"/>
    <cellStyle name="Currency 2 2 14 2 2 2 2" xfId="15703"/>
    <cellStyle name="Currency 2 2 15 2 2 2 2" xfId="15704"/>
    <cellStyle name="Currency 2 2 16 2 2 2 2" xfId="15705"/>
    <cellStyle name="Currency 2 2 17 2 2 2 2" xfId="15706"/>
    <cellStyle name="Currency 2 2 18 2 2 2 2" xfId="15707"/>
    <cellStyle name="Currency 2 2 2 2 2 2 2 2" xfId="15708"/>
    <cellStyle name="Currency 2 2 2 3 2 2 2 2" xfId="15709"/>
    <cellStyle name="Currency 2 2 2 4 2 2 2 2" xfId="15710"/>
    <cellStyle name="Currency 2 2 2 5 2 2 2 2" xfId="15711"/>
    <cellStyle name="Currency 2 2 3 6 2 2 2" xfId="15712"/>
    <cellStyle name="Currency 2 2 3 2 2 2 2 2" xfId="15713"/>
    <cellStyle name="Currency 2 2 3 3 2 2 2 2" xfId="15714"/>
    <cellStyle name="Currency 2 2 3 4 2 2 2 2" xfId="15715"/>
    <cellStyle name="Currency 2 2 3 5 2 2 2 2" xfId="15716"/>
    <cellStyle name="Currency 2 2 4 2 2 2 2" xfId="15717"/>
    <cellStyle name="Currency 2 2 5 2 2 2 2" xfId="15718"/>
    <cellStyle name="Currency 2 2 6 2 2 2 2" xfId="15719"/>
    <cellStyle name="Currency 2 2 7 2 2 2 2" xfId="15720"/>
    <cellStyle name="Currency 2 2 8 2 2 2 2" xfId="15721"/>
    <cellStyle name="Currency 2 2 9 2 2 2 2" xfId="15722"/>
    <cellStyle name="Currency 3 10 2 2 2 2" xfId="15723"/>
    <cellStyle name="Currency 3 11 2 2 2 2" xfId="15724"/>
    <cellStyle name="Currency 3 12 2 2 2 2" xfId="15725"/>
    <cellStyle name="Currency 3 13 2 2 2 2" xfId="15726"/>
    <cellStyle name="Currency 3 14 2 2 2 2" xfId="15727"/>
    <cellStyle name="Currency 3 15 2 2 2 2" xfId="15728"/>
    <cellStyle name="Currency 3 16 2 2 2 2" xfId="15729"/>
    <cellStyle name="Currency 3 17 2 2 2 2" xfId="15730"/>
    <cellStyle name="Currency 3 18 2 2 2 2" xfId="15731"/>
    <cellStyle name="Currency 3 19 2 2 2 2" xfId="15732"/>
    <cellStyle name="Currency 3 2 2 2 2 2 2" xfId="15733"/>
    <cellStyle name="Currency 3 2 3 2 2 2 2" xfId="15734"/>
    <cellStyle name="Currency 3 2 4 2 2 2 2" xfId="15735"/>
    <cellStyle name="Currency 3 2 5 2 2 2 2" xfId="15736"/>
    <cellStyle name="Currency 3 20 2 2 2 2" xfId="15737"/>
    <cellStyle name="Currency 3 21 2 2 2 2" xfId="15738"/>
    <cellStyle name="Currency 3 3 8 2 2 2" xfId="15739"/>
    <cellStyle name="Currency 3 3 2 2 2 2 2" xfId="15740"/>
    <cellStyle name="Currency 3 3 3 2 2 2 2" xfId="15741"/>
    <cellStyle name="Currency 3 3 4 2 2 2 2" xfId="15742"/>
    <cellStyle name="Currency 3 3 5 2 2 2 2" xfId="15743"/>
    <cellStyle name="Currency 3 3 6 2 2 2 2" xfId="15744"/>
    <cellStyle name="Currency 3 4 3 2 2 2" xfId="15745"/>
    <cellStyle name="Currency 3 4 2 2 2 2 2" xfId="15746"/>
    <cellStyle name="Currency 3 5 3 2 2 2" xfId="15747"/>
    <cellStyle name="Currency 3 5 2 2 2 2 2" xfId="15748"/>
    <cellStyle name="Currency 3 6 3 2 2 2" xfId="15749"/>
    <cellStyle name="Currency 3 6 2 2 2 2 2" xfId="15750"/>
    <cellStyle name="Currency 3 7 2 2 2 2" xfId="15751"/>
    <cellStyle name="Currency 3 8 2 2 2 2" xfId="15752"/>
    <cellStyle name="Currency 3 9 2 2 2 2" xfId="15753"/>
    <cellStyle name="Normal 10 3 6 2 2 2" xfId="15754"/>
    <cellStyle name="Normal 10 3 2 5 2 2 2" xfId="15755"/>
    <cellStyle name="Normal 10 3 2 2 3 2 2 2" xfId="15756"/>
    <cellStyle name="Normal 10 3 2 2 2 2 2 2 2" xfId="15757"/>
    <cellStyle name="Normal 10 3 2 3 3 2 2 2" xfId="15758"/>
    <cellStyle name="Normal 10 3 2 3 2 2 2 2 2" xfId="15759"/>
    <cellStyle name="Normal 10 3 2 4 2 2 2 2" xfId="15760"/>
    <cellStyle name="Normal 10 3 3 3 2 2 2" xfId="15761"/>
    <cellStyle name="Normal 10 3 3 2 2 2 2 2" xfId="15762"/>
    <cellStyle name="Normal 10 3 4 3 2 2 2" xfId="15763"/>
    <cellStyle name="Normal 10 3 4 2 2 2 2 2" xfId="15764"/>
    <cellStyle name="Normal 10 3 5 2 2 2 2" xfId="15765"/>
    <cellStyle name="Normal 10 4 5 2 2 2" xfId="15766"/>
    <cellStyle name="Normal 10 4 2 3 2 2 2" xfId="15767"/>
    <cellStyle name="Normal 10 4 2 2 2 2 2 2" xfId="15768"/>
    <cellStyle name="Normal 10 4 3 3 2 2 2" xfId="15769"/>
    <cellStyle name="Normal 10 4 3 2 2 2 2 2" xfId="15770"/>
    <cellStyle name="Normal 10 4 4 2 2 2 2" xfId="15771"/>
    <cellStyle name="Normal 10 5 5 2 2 2" xfId="15772"/>
    <cellStyle name="Normal 10 5 2 3 2 2 2" xfId="15773"/>
    <cellStyle name="Normal 10 5 2 2 2 2 2 2" xfId="15774"/>
    <cellStyle name="Normal 10 5 3 3 2 2 2" xfId="15775"/>
    <cellStyle name="Normal 10 5 3 2 2 2 2 2" xfId="15776"/>
    <cellStyle name="Normal 10 5 4 2 2 2 2" xfId="15777"/>
    <cellStyle name="Normal 10 6 3 2 2 2" xfId="15778"/>
    <cellStyle name="Normal 10 6 2 2 2 2 2" xfId="15779"/>
    <cellStyle name="Normal 10 7 3 2 2 2" xfId="15780"/>
    <cellStyle name="Normal 10 7 2 2 2 2 2" xfId="15781"/>
    <cellStyle name="Normal 10 8 2 2 2 2 2" xfId="15782"/>
    <cellStyle name="Normal 10 9 2 2 2 2" xfId="15783"/>
    <cellStyle name="Normal 11 4 2 2 2 2" xfId="15784"/>
    <cellStyle name="Normal 11 3 2 2 2 2" xfId="15785"/>
    <cellStyle name="Normal 12 8 2 2 2" xfId="15786"/>
    <cellStyle name="Normal 12 2 2 5 2 2 2" xfId="15787"/>
    <cellStyle name="Normal 12 2 2 2 3 2 2 2" xfId="15788"/>
    <cellStyle name="Normal 12 2 2 2 2 2 2 2 2" xfId="15789"/>
    <cellStyle name="Normal 12 2 2 3 3 2 2 2" xfId="15790"/>
    <cellStyle name="Normal 12 2 2 3 2 2 2 2 2" xfId="15791"/>
    <cellStyle name="Normal 12 2 2 4 2 2 2 2" xfId="15792"/>
    <cellStyle name="Normal 12 2 3 3 2 2 2" xfId="15793"/>
    <cellStyle name="Normal 12 2 3 2 2 2 2 2" xfId="15794"/>
    <cellStyle name="Normal 12 2 4 3 2 2 2" xfId="15795"/>
    <cellStyle name="Normal 12 2 4 2 2 2 2 2" xfId="15796"/>
    <cellStyle name="Normal 12 2 5 2 2 2 2 2" xfId="15797"/>
    <cellStyle name="Normal 12 2 6 2 2 2 2" xfId="15798"/>
    <cellStyle name="Normal 12 3 5 2 2 2" xfId="15799"/>
    <cellStyle name="Normal 12 3 2 3 2 2 2" xfId="15800"/>
    <cellStyle name="Normal 12 3 2 2 2 2 2 2" xfId="15801"/>
    <cellStyle name="Normal 12 3 3 3 2 2 2" xfId="15802"/>
    <cellStyle name="Normal 12 3 3 2 2 2 2 2" xfId="15803"/>
    <cellStyle name="Normal 12 3 4 2 2 2 2" xfId="15804"/>
    <cellStyle name="Normal 12 4 5 2 2 2" xfId="15805"/>
    <cellStyle name="Normal 12 4 2 3 2 2 2" xfId="15806"/>
    <cellStyle name="Normal 12 4 2 2 2 2 2 2" xfId="15807"/>
    <cellStyle name="Normal 12 4 3 3 2 2 2" xfId="15808"/>
    <cellStyle name="Normal 12 4 3 2 2 2 2 2" xfId="15809"/>
    <cellStyle name="Normal 12 4 4 2 2 2 2" xfId="15810"/>
    <cellStyle name="Normal 12 5 3 2 2 2" xfId="15811"/>
    <cellStyle name="Normal 12 5 2 2 2 2 2" xfId="15812"/>
    <cellStyle name="Normal 12 6 3 2 2 2" xfId="15813"/>
    <cellStyle name="Normal 12 6 2 2 2 2 2" xfId="15814"/>
    <cellStyle name="Normal 12 7 2 2 2 2" xfId="15815"/>
    <cellStyle name="Normal 15 6 2 2 2" xfId="15816"/>
    <cellStyle name="Normal 15 3 2 2 2 2" xfId="15817"/>
    <cellStyle name="Normal 16 2 5 2 2 2" xfId="15818"/>
    <cellStyle name="Normal 16 2 2 3 2 2 2" xfId="15819"/>
    <cellStyle name="Normal 16 2 2 2 2 2 2 2" xfId="15820"/>
    <cellStyle name="Normal 16 2 3 3 2 2 2" xfId="15821"/>
    <cellStyle name="Normal 16 2 3 2 2 2 2 2" xfId="15822"/>
    <cellStyle name="Normal 16 2 4 2 2 2 2" xfId="15823"/>
    <cellStyle name="Normal 16 3 3 2 2 2" xfId="15824"/>
    <cellStyle name="Normal 16 3 2 2 2 2 2" xfId="15825"/>
    <cellStyle name="Normal 16 4 3 2 2 2" xfId="15826"/>
    <cellStyle name="Normal 16 4 2 2 2 2 2" xfId="15827"/>
    <cellStyle name="Normal 16 5 2 2 2 2 2" xfId="15828"/>
    <cellStyle name="Normal 16 6 2 2 2 2" xfId="15829"/>
    <cellStyle name="Normal 17 2 5 2 2 2" xfId="15830"/>
    <cellStyle name="Normal 17 2 2 3 2 2 2" xfId="15831"/>
    <cellStyle name="Normal 17 2 2 2 2 2 2 2" xfId="15832"/>
    <cellStyle name="Normal 17 2 3 3 2 2 2" xfId="15833"/>
    <cellStyle name="Normal 17 2 3 2 2 2 2 2" xfId="15834"/>
    <cellStyle name="Normal 17 2 4 2 2 2 2" xfId="15835"/>
    <cellStyle name="Normal 17 3 3 2 2 2" xfId="15836"/>
    <cellStyle name="Normal 17 3 2 2 2 2 2" xfId="15837"/>
    <cellStyle name="Normal 17 4 3 2 2 2" xfId="15838"/>
    <cellStyle name="Normal 17 4 2 2 2 2 2" xfId="15839"/>
    <cellStyle name="Normal 17 5 2 2 2 2 2" xfId="15840"/>
    <cellStyle name="Normal 17 6 2 2 2 2" xfId="15841"/>
    <cellStyle name="Normal 2 10 3 2 2 2 2" xfId="15842"/>
    <cellStyle name="Normal 2 11 3 2 2 2 2" xfId="15843"/>
    <cellStyle name="Normal 2 12 3 2 2 2 2" xfId="15844"/>
    <cellStyle name="Normal 2 13 3 2 2 2 2" xfId="15845"/>
    <cellStyle name="Normal 2 14 3 2 2 2 2" xfId="15846"/>
    <cellStyle name="Normal 2 15 3 2 2 2 2" xfId="15847"/>
    <cellStyle name="Normal 2 16 3 2 2 2 2" xfId="15848"/>
    <cellStyle name="Normal 2 17 3 2 2 2 2" xfId="15849"/>
    <cellStyle name="Normal 2 18 3 2 2 2 2" xfId="15850"/>
    <cellStyle name="Normal 2 19 3 2 2 2 2" xfId="15851"/>
    <cellStyle name="Normal 2 2 10 2 2 2 2" xfId="15852"/>
    <cellStyle name="Normal 2 2 11 2 2 2 2" xfId="15853"/>
    <cellStyle name="Normal 2 2 12 2 2 2 2" xfId="15854"/>
    <cellStyle name="Normal 2 2 13 2 2 2 2" xfId="15855"/>
    <cellStyle name="Normal 2 2 14 2 2 2 2" xfId="15856"/>
    <cellStyle name="Normal 2 2 15 2 2 2 2" xfId="15857"/>
    <cellStyle name="Normal 2 2 16 2 2 2 2" xfId="15858"/>
    <cellStyle name="Normal 2 2 17 2 2 2 2" xfId="15859"/>
    <cellStyle name="Normal 2 2 18 2 2 2 2" xfId="15860"/>
    <cellStyle name="Normal 2 2 19 2 2 2 2" xfId="15861"/>
    <cellStyle name="Normal 2 2 2 2 6 2 2 2" xfId="15862"/>
    <cellStyle name="Normal 2 2 2 2 2 3 2 2 2" xfId="15863"/>
    <cellStyle name="Normal 2 2 2 2 2 2 2 2 2 2" xfId="15864"/>
    <cellStyle name="Normal 2 2 2 2 3 2 2 2 2" xfId="15865"/>
    <cellStyle name="Normal 2 2 2 2 4 2 2 2 2" xfId="15866"/>
    <cellStyle name="Normal 2 2 2 2 5 2 2 2 2" xfId="15867"/>
    <cellStyle name="Normal 2 2 20 2 2 2 2" xfId="15868"/>
    <cellStyle name="Normal 2 2 21 2 2 2 2" xfId="15869"/>
    <cellStyle name="Normal 2 2 22 2 2 2 2" xfId="15870"/>
    <cellStyle name="Normal 2 2 3 9 2 2 2" xfId="15871"/>
    <cellStyle name="Normal 2 2 3 2 2 2 2 2" xfId="15872"/>
    <cellStyle name="Normal 2 2 3 3 2 2 2 2" xfId="15873"/>
    <cellStyle name="Normal 2 2 3 4 2 2 2 2" xfId="15874"/>
    <cellStyle name="Normal 2 2 3 5 2 2 2 2" xfId="15875"/>
    <cellStyle name="Normal 2 2 3 6 2 2 2 2" xfId="15876"/>
    <cellStyle name="Normal 2 2 4 5 2 2 2" xfId="15877"/>
    <cellStyle name="Normal 2 2 4 2 2 2 2 2" xfId="15878"/>
    <cellStyle name="Normal 2 2 5 4 2 2 2" xfId="15879"/>
    <cellStyle name="Normal 2 2 5 2 2 2 2 2" xfId="15880"/>
    <cellStyle name="Normal 2 2 6 2 2 2 2" xfId="15881"/>
    <cellStyle name="Normal 2 2 7 2 2 2 2" xfId="15882"/>
    <cellStyle name="Normal 2 2 8 2 2 2 2" xfId="15883"/>
    <cellStyle name="Normal 2 2 9 2 2 2 2" xfId="15884"/>
    <cellStyle name="Normal 2 20 2 2 2 2" xfId="15885"/>
    <cellStyle name="Normal 2 3 2 3 2 2 2" xfId="15886"/>
    <cellStyle name="Normal 2 3 3 2 2 2 2" xfId="15887"/>
    <cellStyle name="Normal 2 3 4 2 2 2 2" xfId="15888"/>
    <cellStyle name="Normal 2 3 5 2 2 2 2" xfId="15889"/>
    <cellStyle name="Normal 2 3 6 2 2 2 2" xfId="15890"/>
    <cellStyle name="Normal 2 4 5 2 2 2 2" xfId="15891"/>
    <cellStyle name="Normal 2 4 2 2 2 2 2" xfId="15892"/>
    <cellStyle name="Normal 2 5 3 2 2 2 2" xfId="15893"/>
    <cellStyle name="Normal 2 6 3 2 2 2 2" xfId="15894"/>
    <cellStyle name="Normal 2 7 3 2 2 2 2" xfId="15895"/>
    <cellStyle name="Normal 2 8 3 2 2 2 2" xfId="15896"/>
    <cellStyle name="Normal 2 9 3 2 2 2 2" xfId="15897"/>
    <cellStyle name="Normal 21 9 2 2 2" xfId="15898"/>
    <cellStyle name="Normal 21 2 7 2 2 2" xfId="15899"/>
    <cellStyle name="Normal 21 2 2 2 2 2 2" xfId="15900"/>
    <cellStyle name="Normal 21 2 3 2 2 2 2" xfId="15901"/>
    <cellStyle name="Normal 21 2 4 2 2 2 2" xfId="15902"/>
    <cellStyle name="Normal 21 2 5 2 2 2 2" xfId="15903"/>
    <cellStyle name="Normal 21 2 6 2 2 2 2" xfId="15904"/>
    <cellStyle name="Normal 21 3 3 2 2 2" xfId="15905"/>
    <cellStyle name="Normal 21 3 2 2 2 2 2" xfId="15906"/>
    <cellStyle name="Normal 21 4 2 2 2 2" xfId="15907"/>
    <cellStyle name="Normal 21 5 2 2 2 2" xfId="15908"/>
    <cellStyle name="Normal 21 6 2 2 2 2" xfId="15909"/>
    <cellStyle name="Normal 21 8 2 2 2 2" xfId="15910"/>
    <cellStyle name="Normal 22 8 2 2 2" xfId="15911"/>
    <cellStyle name="Normal 22 2 7 2 2 2" xfId="15912"/>
    <cellStyle name="Normal 22 2 2 2 2 2 2" xfId="15913"/>
    <cellStyle name="Normal 22 2 3 2 2 2 2" xfId="15914"/>
    <cellStyle name="Normal 22 2 4 2 2 2 2" xfId="15915"/>
    <cellStyle name="Normal 22 2 5 2 2 2 2" xfId="15916"/>
    <cellStyle name="Normal 22 3 2 2 2 2" xfId="15917"/>
    <cellStyle name="Normal 22 4 2 2 2 2" xfId="15918"/>
    <cellStyle name="Normal 22 5 2 2 2 2" xfId="15919"/>
    <cellStyle name="Normal 22 6 2 2 2 2" xfId="15920"/>
    <cellStyle name="Normal 23 8 2 2 2" xfId="15921"/>
    <cellStyle name="Normal 23 2 6 2 2 2" xfId="15922"/>
    <cellStyle name="Normal 23 2 2 2 2 2 2" xfId="15923"/>
    <cellStyle name="Normal 23 2 3 2 2 2 2" xfId="15924"/>
    <cellStyle name="Normal 23 2 4 2 2 2 2" xfId="15925"/>
    <cellStyle name="Normal 23 2 5 2 2 2 2" xfId="15926"/>
    <cellStyle name="Normal 23 3 2 2 2 2" xfId="15927"/>
    <cellStyle name="Normal 23 4 2 2 2 2" xfId="15928"/>
    <cellStyle name="Normal 23 5 2 2 2 2" xfId="15929"/>
    <cellStyle name="Normal 23 6 2 2 2 2" xfId="15930"/>
    <cellStyle name="Normal 24 8 2 2 2" xfId="15931"/>
    <cellStyle name="Normal 24 2 6 2 2 2" xfId="15932"/>
    <cellStyle name="Normal 24 2 2 2 2 2 2" xfId="15933"/>
    <cellStyle name="Normal 24 2 3 2 2 2 2" xfId="15934"/>
    <cellStyle name="Normal 24 2 4 2 2 2 2" xfId="15935"/>
    <cellStyle name="Normal 24 2 5 2 2 2 2" xfId="15936"/>
    <cellStyle name="Normal 24 3 2 2 2 2" xfId="15937"/>
    <cellStyle name="Normal 24 4 2 2 2 2" xfId="15938"/>
    <cellStyle name="Normal 24 5 2 2 2 2" xfId="15939"/>
    <cellStyle name="Normal 24 6 2 2 2 2" xfId="15940"/>
    <cellStyle name="Normal 26 8 2 2 2" xfId="15941"/>
    <cellStyle name="Normal 26 2 6 2 2 2" xfId="15942"/>
    <cellStyle name="Normal 26 2 2 2 2 2 2" xfId="15943"/>
    <cellStyle name="Normal 26 2 3 2 2 2 2" xfId="15944"/>
    <cellStyle name="Normal 26 2 4 2 2 2 2" xfId="15945"/>
    <cellStyle name="Normal 26 2 5 2 2 2 2" xfId="15946"/>
    <cellStyle name="Normal 26 3 2 2 2 2" xfId="15947"/>
    <cellStyle name="Normal 26 4 2 2 2 2" xfId="15948"/>
    <cellStyle name="Normal 26 5 2 2 2 2" xfId="15949"/>
    <cellStyle name="Normal 26 6 2 2 2 2" xfId="15950"/>
    <cellStyle name="Normal 3 10 2 2 2 2" xfId="15951"/>
    <cellStyle name="Normal 3 11 2 2 2 2" xfId="15952"/>
    <cellStyle name="Normal 3 12 2 2 2 2" xfId="15953"/>
    <cellStyle name="Normal 3 13 2 2 2 2" xfId="15954"/>
    <cellStyle name="Normal 3 14 2 2 2 2" xfId="15955"/>
    <cellStyle name="Normal 3 15 2 2 2 2" xfId="15956"/>
    <cellStyle name="Normal 3 16 2 2 2 2" xfId="15957"/>
    <cellStyle name="Normal 3 17 2 2 2 2" xfId="15958"/>
    <cellStyle name="Normal 3 18 2 2 2 2" xfId="15959"/>
    <cellStyle name="Normal 3 19 2 2 2 2" xfId="15960"/>
    <cellStyle name="Normal 3 2 2 2 2 2 2" xfId="15961"/>
    <cellStyle name="Normal 3 2 3 2 2 2 2" xfId="15962"/>
    <cellStyle name="Normal 3 2 4 2 2 2 2" xfId="15963"/>
    <cellStyle name="Normal 3 2 5 2 2 2 2" xfId="15964"/>
    <cellStyle name="Normal 3 2 6 2 2 2 2" xfId="15965"/>
    <cellStyle name="Normal 3 20 2 2 2 2" xfId="15966"/>
    <cellStyle name="Normal 3 21 2 2 2 2" xfId="15967"/>
    <cellStyle name="Normal 3 22 2 2 2 2" xfId="15968"/>
    <cellStyle name="Normal 3 23 2 2 2 2" xfId="15969"/>
    <cellStyle name="Normal 3 24 2 2 2 2" xfId="15970"/>
    <cellStyle name="Normal 3 3 5 2 2 2" xfId="15971"/>
    <cellStyle name="Normal 3 3 2 2 2 2 2" xfId="15972"/>
    <cellStyle name="Normal 3 3 3 2 2 2 2" xfId="15973"/>
    <cellStyle name="Normal 3 4 3 2 2 2" xfId="15974"/>
    <cellStyle name="Normal 3 4 2 2 2 2 2" xfId="15975"/>
    <cellStyle name="Normal 3 5 3 2 2 2" xfId="15976"/>
    <cellStyle name="Normal 3 5 2 2 2 2 2" xfId="15977"/>
    <cellStyle name="Normal 3 6 2 2 2 2" xfId="15978"/>
    <cellStyle name="Normal 3 7 2 2 2 2" xfId="15979"/>
    <cellStyle name="Normal 3 8 2 2 2 2" xfId="15980"/>
    <cellStyle name="Normal 3 9 2 2 2 2" xfId="15981"/>
    <cellStyle name="Normal 4 2 10 2 2 2 2" xfId="15982"/>
    <cellStyle name="Normal 4 2 11 2 2 2 2" xfId="15983"/>
    <cellStyle name="Normal 4 2 12 2 2 2 2" xfId="15984"/>
    <cellStyle name="Normal 4 2 13 2 2 2 2" xfId="15985"/>
    <cellStyle name="Normal 4 2 14 2 2 2 2" xfId="15986"/>
    <cellStyle name="Normal 4 2 15 2 2 2 2" xfId="15987"/>
    <cellStyle name="Normal 4 2 16 2 2 2 2" xfId="15988"/>
    <cellStyle name="Normal 4 2 17 2 2 2 2" xfId="15989"/>
    <cellStyle name="Normal 4 2 18 2 2 2 2" xfId="15990"/>
    <cellStyle name="Normal 4 2 19 2 2 2 2" xfId="15991"/>
    <cellStyle name="Normal 4 2 2 6 2 2 2" xfId="15992"/>
    <cellStyle name="Normal 4 2 2 2 2 2 2 2" xfId="15993"/>
    <cellStyle name="Normal 4 2 2 3 2 2 2 2" xfId="15994"/>
    <cellStyle name="Normal 4 2 2 4 2 2 2 2" xfId="15995"/>
    <cellStyle name="Normal 4 2 2 5 2 2 2 2" xfId="15996"/>
    <cellStyle name="Normal 4 2 20 2 2 2 2" xfId="15997"/>
    <cellStyle name="Normal 4 2 21 2 2 2 2" xfId="15998"/>
    <cellStyle name="Normal 4 2 22 2 2 2 2" xfId="15999"/>
    <cellStyle name="Normal 4 2 23 2 2 2 2" xfId="16000"/>
    <cellStyle name="Normal 4 2 24 2 2 2 2" xfId="16001"/>
    <cellStyle name="Normal 4 2 3 3 2 2 2" xfId="16002"/>
    <cellStyle name="Normal 4 2 3 2 2 2 2 2" xfId="16003"/>
    <cellStyle name="Normal 4 2 4 3 2 2 2" xfId="16004"/>
    <cellStyle name="Normal 4 2 4 2 2 2 2 2" xfId="16005"/>
    <cellStyle name="Normal 4 2 5 3 2 2 2" xfId="16006"/>
    <cellStyle name="Normal 4 2 5 2 2 2 2 2" xfId="16007"/>
    <cellStyle name="Normal 4 2 6 2 2 2 2" xfId="16008"/>
    <cellStyle name="Normal 4 2 7 2 2 2 2" xfId="16009"/>
    <cellStyle name="Normal 4 2 8 2 2 2 2" xfId="16010"/>
    <cellStyle name="Normal 4 2 9 2 2 2 2" xfId="16011"/>
    <cellStyle name="Normal 4 3 7 2 2 2" xfId="16012"/>
    <cellStyle name="Normal 4 3 2 6 2 2 2" xfId="16013"/>
    <cellStyle name="Normal 4 3 2 2 5 2 2 2" xfId="16014"/>
    <cellStyle name="Normal 4 3 2 2 2 3 2 2 2" xfId="16015"/>
    <cellStyle name="Normal 4 3 2 2 2 2 2 2 2 2" xfId="16016"/>
    <cellStyle name="Normal 4 3 2 2 3 3 2 2 2" xfId="16017"/>
    <cellStyle name="Normal 4 3 2 2 3 2 2 2 2 2" xfId="16018"/>
    <cellStyle name="Normal 4 3 2 2 4 2 2 2 2" xfId="16019"/>
    <cellStyle name="Normal 4 3 2 3 3 2 2 2" xfId="16020"/>
    <cellStyle name="Normal 4 3 2 3 2 2 2 2 2" xfId="16021"/>
    <cellStyle name="Normal 4 3 2 4 3 2 2 2" xfId="16022"/>
    <cellStyle name="Normal 4 3 2 4 2 2 2 2 2" xfId="16023"/>
    <cellStyle name="Normal 4 3 2 5 2 2 2 2" xfId="16024"/>
    <cellStyle name="Normal 4 3 3 5 2 2 2" xfId="16025"/>
    <cellStyle name="Normal 4 3 3 2 3 2 2 2" xfId="16026"/>
    <cellStyle name="Normal 4 3 3 2 2 2 2 2 2" xfId="16027"/>
    <cellStyle name="Normal 4 3 3 3 3 2 2 2" xfId="16028"/>
    <cellStyle name="Normal 4 3 3 3 2 2 2 2 2" xfId="16029"/>
    <cellStyle name="Normal 4 3 3 4 2 2 2 2" xfId="16030"/>
    <cellStyle name="Normal 4 3 4 3 2 2 2" xfId="16031"/>
    <cellStyle name="Normal 4 3 4 2 2 2 2 2" xfId="16032"/>
    <cellStyle name="Normal 4 3 5 3 2 2 2" xfId="16033"/>
    <cellStyle name="Normal 4 3 5 2 2 2 2 2" xfId="16034"/>
    <cellStyle name="Normal 4 3 6 2 2 2 2" xfId="16035"/>
    <cellStyle name="Normal 4 4 4 2 2 2" xfId="16036"/>
    <cellStyle name="Normal 4 4 2 2 2 2 2" xfId="16037"/>
    <cellStyle name="Normal 4 5 2 2 2 2" xfId="16038"/>
    <cellStyle name="Normal 4 6 2 2 2 2" xfId="16039"/>
    <cellStyle name="Normal 4 7 2 2 2 2" xfId="16040"/>
    <cellStyle name="Normal 4 8 2 2 2 2" xfId="16041"/>
    <cellStyle name="Normal 41 2 2 2 2 2" xfId="16042"/>
    <cellStyle name="Normal 46 2 2 2 2" xfId="16043"/>
    <cellStyle name="Normal 5 28 2 2 2 2" xfId="16044"/>
    <cellStyle name="Normal 5 2 7 2 2 2" xfId="16045"/>
    <cellStyle name="Normal 5 2 2 2 2 2 2 2 2" xfId="16046"/>
    <cellStyle name="Normal 5 2 2 3 2 2 2 2" xfId="16047"/>
    <cellStyle name="Normal 5 2 3 2 2 2 2 2 2" xfId="16048"/>
    <cellStyle name="Normal 5 2 3 3 2 2 2 2" xfId="16049"/>
    <cellStyle name="Normal 5 2 4 2 2 2 2 2" xfId="16050"/>
    <cellStyle name="Normal 5 2 6 2 2 2 2" xfId="16051"/>
    <cellStyle name="Normal 5 24 2 2 2 2" xfId="16052"/>
    <cellStyle name="Normal 5 3 3 2 2 2" xfId="16053"/>
    <cellStyle name="Normal 5 4 3 2 2 2" xfId="16054"/>
    <cellStyle name="Normal 5 5 3 2 2 2" xfId="16055"/>
    <cellStyle name="Normal 5 6 3 2 2 2" xfId="16056"/>
    <cellStyle name="Normal 5 7 3 2 2 2" xfId="16057"/>
    <cellStyle name="Normal 7 25 2 2 2 2" xfId="16058"/>
    <cellStyle name="Normal 7 10 2 2 2 2" xfId="16059"/>
    <cellStyle name="Normal 7 11 2 2 2 2" xfId="16060"/>
    <cellStyle name="Normal 7 12 2 2 2 2" xfId="16061"/>
    <cellStyle name="Normal 7 13 2 2 2 2" xfId="16062"/>
    <cellStyle name="Normal 7 14 2 2 2 2" xfId="16063"/>
    <cellStyle name="Normal 7 15 2 2 2 2" xfId="16064"/>
    <cellStyle name="Normal 7 16 2 2 2 2" xfId="16065"/>
    <cellStyle name="Normal 7 17 2 2 2 2" xfId="16066"/>
    <cellStyle name="Normal 7 18 2 2 2 2" xfId="16067"/>
    <cellStyle name="Normal 7 19 2 2 2 2" xfId="16068"/>
    <cellStyle name="Normal 7 2 6 2 2 2" xfId="16069"/>
    <cellStyle name="Normal 7 2 2 2 2 2 2" xfId="16070"/>
    <cellStyle name="Normal 7 2 3 2 2 2 2" xfId="16071"/>
    <cellStyle name="Normal 7 2 4 2 2 2 2" xfId="16072"/>
    <cellStyle name="Normal 7 2 5 2 2 2 2" xfId="16073"/>
    <cellStyle name="Normal 7 20 2 2 2 2" xfId="16074"/>
    <cellStyle name="Normal 7 22 2 2 2 2" xfId="16075"/>
    <cellStyle name="Normal 7 3 6 2 2 2" xfId="16076"/>
    <cellStyle name="Normal 7 3 2 2 2 2 2" xfId="16077"/>
    <cellStyle name="Normal 7 3 3 2 2 2 2" xfId="16078"/>
    <cellStyle name="Normal 7 3 4 2 2 2 2" xfId="16079"/>
    <cellStyle name="Normal 7 3 5 2 2 2 2" xfId="16080"/>
    <cellStyle name="Normal 7 4 2 2 2 2" xfId="16081"/>
    <cellStyle name="Normal 7 5 2 2 2 2" xfId="16082"/>
    <cellStyle name="Normal 7 6 2 2 2 2" xfId="16083"/>
    <cellStyle name="Normal 7 7 2 2 2 2" xfId="16084"/>
    <cellStyle name="Normal 7 8 2 2 2 2" xfId="16085"/>
    <cellStyle name="Normal 7 9 2 2 2 2" xfId="16086"/>
    <cellStyle name="Normal 8 25 2 2 2 2" xfId="16087"/>
    <cellStyle name="Normal 8 10 2 2 2 2" xfId="16088"/>
    <cellStyle name="Normal 8 11 2 2 2 2" xfId="16089"/>
    <cellStyle name="Normal 8 12 2 2 2 2" xfId="16090"/>
    <cellStyle name="Normal 8 13 2 2 2 2" xfId="16091"/>
    <cellStyle name="Normal 8 14 2 2 2 2" xfId="16092"/>
    <cellStyle name="Normal 8 15 2 2 2 2" xfId="16093"/>
    <cellStyle name="Normal 8 16 2 2 2 2" xfId="16094"/>
    <cellStyle name="Normal 8 17 2 2 2 2" xfId="16095"/>
    <cellStyle name="Normal 8 18 2 2 2 2" xfId="16096"/>
    <cellStyle name="Normal 8 19 2 2 2 2" xfId="16097"/>
    <cellStyle name="Normal 8 2 6 2 2 2 2" xfId="16098"/>
    <cellStyle name="Normal 8 2 2 2 2 2 2 2" xfId="16099"/>
    <cellStyle name="Normal 8 2 3 2 2 2 2" xfId="16100"/>
    <cellStyle name="Normal 8 2 4 2 2 2 2" xfId="16101"/>
    <cellStyle name="Normal 8 2 5 2 2 2 2" xfId="16102"/>
    <cellStyle name="Normal 8 20 2 2 2 2" xfId="16103"/>
    <cellStyle name="Normal 8 22 2 2 2 2" xfId="16104"/>
    <cellStyle name="Normal 8 3 6 2 2 2 2" xfId="16105"/>
    <cellStyle name="Normal 8 3 2 2 2 2 2" xfId="16106"/>
    <cellStyle name="Normal 8 3 3 2 2 2 2" xfId="16107"/>
    <cellStyle name="Normal 8 3 4 2 2 2 2" xfId="16108"/>
    <cellStyle name="Normal 8 3 5 2 2 2 2" xfId="16109"/>
    <cellStyle name="Normal 8 4 2 2 2 2" xfId="16110"/>
    <cellStyle name="Normal 8 5 2 2 2 2" xfId="16111"/>
    <cellStyle name="Normal 8 6 2 2 2 2" xfId="16112"/>
    <cellStyle name="Normal 8 7 2 2 2 2" xfId="16113"/>
    <cellStyle name="Normal 8 8 2 2 2 2" xfId="16114"/>
    <cellStyle name="Normal 8 9 2 2 2 2" xfId="16115"/>
    <cellStyle name="Normal 9 25 2 2 2 2" xfId="16116"/>
    <cellStyle name="Normal 9 10 2 2 2 2" xfId="16117"/>
    <cellStyle name="Normal 9 11 2 2 2 2" xfId="16118"/>
    <cellStyle name="Normal 9 12 2 2 2 2" xfId="16119"/>
    <cellStyle name="Normal 9 13 2 2 2 2" xfId="16120"/>
    <cellStyle name="Normal 9 14 2 2 2 2" xfId="16121"/>
    <cellStyle name="Normal 9 15 2 2 2 2" xfId="16122"/>
    <cellStyle name="Normal 9 16 2 2 2 2" xfId="16123"/>
    <cellStyle name="Normal 9 17 2 2 2 2" xfId="16124"/>
    <cellStyle name="Normal 9 18 2 2 2 2" xfId="16125"/>
    <cellStyle name="Normal 9 19 2 2 2 2" xfId="16126"/>
    <cellStyle name="Normal 9 2 6 2 2 2" xfId="16127"/>
    <cellStyle name="Normal 9 2 2 2 2 2 2" xfId="16128"/>
    <cellStyle name="Normal 9 2 3 2 2 2 2" xfId="16129"/>
    <cellStyle name="Normal 9 2 4 2 2 2 2" xfId="16130"/>
    <cellStyle name="Normal 9 2 5 2 2 2 2" xfId="16131"/>
    <cellStyle name="Normal 9 20 2 2 2 2" xfId="16132"/>
    <cellStyle name="Normal 9 22 2 2 2 2" xfId="16133"/>
    <cellStyle name="Normal 9 3 6 2 2 2" xfId="16134"/>
    <cellStyle name="Normal 9 3 2 2 2 2 2" xfId="16135"/>
    <cellStyle name="Normal 9 3 3 2 2 2 2" xfId="16136"/>
    <cellStyle name="Normal 9 3 4 2 2 2 2" xfId="16137"/>
    <cellStyle name="Normal 9 3 5 2 2 2 2" xfId="16138"/>
    <cellStyle name="Normal 9 4 2 2 2 2" xfId="16139"/>
    <cellStyle name="Normal 9 5 2 2 2 2" xfId="16140"/>
    <cellStyle name="Normal 9 6 2 2 2 2" xfId="16141"/>
    <cellStyle name="Normal 9 7 2 2 2 2" xfId="16142"/>
    <cellStyle name="Normal 9 8 2 2 2 2" xfId="16143"/>
    <cellStyle name="Normal 9 9 2 2 2 2" xfId="16144"/>
    <cellStyle name="Note 2 2 2 2 2" xfId="16145"/>
    <cellStyle name="Note 3 2 2 2 2" xfId="16146"/>
    <cellStyle name="Note 4 2 2 2 2" xfId="16147"/>
    <cellStyle name="Note 7 2 2 2 2" xfId="16148"/>
    <cellStyle name="Percent 120 2 2 2 2" xfId="16149"/>
    <cellStyle name="Percent 121 2 2 2 2" xfId="16150"/>
    <cellStyle name="Percent 122 2 2 2 2" xfId="16151"/>
    <cellStyle name="Percent 123 2 2 2 2" xfId="16152"/>
    <cellStyle name="Percent 124 2 2 2 2" xfId="16153"/>
    <cellStyle name="Percent 125 2 2 2 2" xfId="16154"/>
    <cellStyle name="Percent 126 2 2 2 2" xfId="16155"/>
    <cellStyle name="Percent 127 2 2 2 2" xfId="16156"/>
    <cellStyle name="Percent 128 2 2 2 2" xfId="16157"/>
    <cellStyle name="Percent 129 2 2 2 2" xfId="16158"/>
    <cellStyle name="Percent 130 2 2 2 2" xfId="16159"/>
    <cellStyle name="Percent 159 2 2 2 2" xfId="16160"/>
    <cellStyle name="Percent 2 22 2 2 2 2" xfId="16161"/>
    <cellStyle name="Percent 25 2 3 2 2 2" xfId="16162"/>
    <cellStyle name="Percent 25 2 2 2 2 2 2" xfId="16163"/>
    <cellStyle name="Percent 25 3 3 2 2 2" xfId="16164"/>
    <cellStyle name="Percent 25 3 2 2 2 2 2" xfId="16165"/>
    <cellStyle name="Percent 25 4 2 2 2 2 2" xfId="16166"/>
    <cellStyle name="Percent 25 5 2 2 2 2" xfId="16167"/>
    <cellStyle name="Percent 26 2 3 2 2 2" xfId="16168"/>
    <cellStyle name="Percent 26 2 2 2 2 2 2" xfId="16169"/>
    <cellStyle name="Percent 26 3 3 2 2 2" xfId="16170"/>
    <cellStyle name="Percent 26 3 2 2 2 2 2" xfId="16171"/>
    <cellStyle name="Percent 26 4 2 2 2 2 2" xfId="16172"/>
    <cellStyle name="Percent 26 5 2 2 2 2" xfId="16173"/>
    <cellStyle name="Percent 27 2 3 2 2 2" xfId="16174"/>
    <cellStyle name="Percent 27 2 2 2 2 2 2" xfId="16175"/>
    <cellStyle name="Percent 27 3 3 2 2 2" xfId="16176"/>
    <cellStyle name="Percent 27 3 2 2 2 2 2" xfId="16177"/>
    <cellStyle name="Percent 27 4 2 2 2 2 2" xfId="16178"/>
    <cellStyle name="Percent 27 5 2 2 2 2" xfId="16179"/>
    <cellStyle name="Percent 28 2 3 2 2 2" xfId="16180"/>
    <cellStyle name="Percent 28 2 2 2 2 2 2" xfId="16181"/>
    <cellStyle name="Percent 28 3 3 2 2 2" xfId="16182"/>
    <cellStyle name="Percent 28 3 2 2 2 2 2" xfId="16183"/>
    <cellStyle name="Percent 28 4 2 2 2 2 2" xfId="16184"/>
    <cellStyle name="Percent 28 5 2 2 2 2" xfId="16185"/>
    <cellStyle name="Percent 29 2 3 2 2 2" xfId="16186"/>
    <cellStyle name="Percent 29 2 2 2 2 2 2" xfId="16187"/>
    <cellStyle name="Percent 29 3 3 2 2 2" xfId="16188"/>
    <cellStyle name="Percent 29 3 2 2 2 2 2" xfId="16189"/>
    <cellStyle name="Percent 29 4 2 2 2 2 2" xfId="16190"/>
    <cellStyle name="Percent 29 5 2 2 2 2" xfId="16191"/>
    <cellStyle name="Percent 3 10 2 2 2 2" xfId="16192"/>
    <cellStyle name="Percent 3 11 2 2 2 2" xfId="16193"/>
    <cellStyle name="Percent 3 12 2 2 2 2" xfId="16194"/>
    <cellStyle name="Percent 3 13 2 2 2 2" xfId="16195"/>
    <cellStyle name="Percent 3 14 2 2 2 2" xfId="16196"/>
    <cellStyle name="Percent 3 15 2 2 2 2" xfId="16197"/>
    <cellStyle name="Percent 3 16 2 2 2 2" xfId="16198"/>
    <cellStyle name="Percent 3 17 2 2 2 2" xfId="16199"/>
    <cellStyle name="Percent 3 18 2 2 2 2" xfId="16200"/>
    <cellStyle name="Percent 3 19 2 2 2 2" xfId="16201"/>
    <cellStyle name="Percent 3 2 23 2 2 2" xfId="16202"/>
    <cellStyle name="Percent 3 2 10 2 2 2 2" xfId="16203"/>
    <cellStyle name="Percent 3 2 11 2 2 2 2" xfId="16204"/>
    <cellStyle name="Percent 3 2 12 2 2 2 2" xfId="16205"/>
    <cellStyle name="Percent 3 2 13 2 2 2 2" xfId="16206"/>
    <cellStyle name="Percent 3 2 14 2 2 2 2" xfId="16207"/>
    <cellStyle name="Percent 3 2 15 2 2 2 2" xfId="16208"/>
    <cellStyle name="Percent 3 2 16 2 2 2 2" xfId="16209"/>
    <cellStyle name="Percent 3 2 17 2 2 2 2" xfId="16210"/>
    <cellStyle name="Percent 3 2 18 2 2 2 2" xfId="16211"/>
    <cellStyle name="Percent 3 2 19 2 2 2 2" xfId="16212"/>
    <cellStyle name="Percent 3 2 2 2 2 2 2 2" xfId="16213"/>
    <cellStyle name="Percent 3 2 2 3 2 2 2 2" xfId="16214"/>
    <cellStyle name="Percent 3 2 2 4 2 2 2 2" xfId="16215"/>
    <cellStyle name="Percent 3 2 2 5 2 2 2 2" xfId="16216"/>
    <cellStyle name="Percent 3 2 20 2 2 2 2" xfId="16217"/>
    <cellStyle name="Percent 3 2 21 2 2 2 2 2" xfId="16218"/>
    <cellStyle name="Percent 3 2 3 6 2 2 2" xfId="16219"/>
    <cellStyle name="Percent 3 2 3 2 2 2 2 2" xfId="16220"/>
    <cellStyle name="Percent 3 2 3 3 2 2 2 2" xfId="16221"/>
    <cellStyle name="Percent 3 2 3 4 2 2 2 2" xfId="16222"/>
    <cellStyle name="Percent 3 2 3 5 2 2 2 2" xfId="16223"/>
    <cellStyle name="Percent 3 2 4 3 2 2 2" xfId="16224"/>
    <cellStyle name="Percent 3 2 4 2 2 2 2 2" xfId="16225"/>
    <cellStyle name="Percent 3 2 5 3 2 2 2" xfId="16226"/>
    <cellStyle name="Percent 3 2 5 2 2 2 2 2" xfId="16227"/>
    <cellStyle name="Percent 3 2 6 3 2 2 2" xfId="16228"/>
    <cellStyle name="Percent 3 2 6 2 2 2 2 2" xfId="16229"/>
    <cellStyle name="Percent 3 2 7 2 2 2 2" xfId="16230"/>
    <cellStyle name="Percent 3 2 8 2 2 2 2" xfId="16231"/>
    <cellStyle name="Percent 3 2 9 2 2 2 2" xfId="16232"/>
    <cellStyle name="Percent 3 20 2 2 2 2" xfId="16233"/>
    <cellStyle name="Percent 3 21 2 2 2 2" xfId="16234"/>
    <cellStyle name="Percent 3 3 2 2 2 2 2" xfId="16235"/>
    <cellStyle name="Percent 3 3 3 2 2 2 2" xfId="16236"/>
    <cellStyle name="Percent 3 3 4 2 2 2 2" xfId="16237"/>
    <cellStyle name="Percent 3 3 5 2 2 2 2" xfId="16238"/>
    <cellStyle name="Percent 3 4 6 2 2 2" xfId="16239"/>
    <cellStyle name="Percent 3 4 2 2 2 2 2" xfId="16240"/>
    <cellStyle name="Percent 3 4 3 2 2 2 2" xfId="16241"/>
    <cellStyle name="Percent 3 4 4 2 2 2 2" xfId="16242"/>
    <cellStyle name="Percent 3 4 5 2 2 2 2" xfId="16243"/>
    <cellStyle name="Percent 3 5 3 2 2 2" xfId="16244"/>
    <cellStyle name="Percent 3 5 2 2 2 2 2" xfId="16245"/>
    <cellStyle name="Percent 3 6 3 2 2 2" xfId="16246"/>
    <cellStyle name="Percent 3 6 2 2 2 2 2" xfId="16247"/>
    <cellStyle name="Percent 3 7 3 2 2 2" xfId="16248"/>
    <cellStyle name="Percent 3 7 2 2 2 2 2" xfId="16249"/>
    <cellStyle name="Percent 3 8 2 2 2 2" xfId="16250"/>
    <cellStyle name="Percent 3 9 2 2 2 2" xfId="16251"/>
    <cellStyle name="Percent 30 2 3 2 2 2" xfId="16252"/>
    <cellStyle name="Percent 30 2 2 2 2 2 2" xfId="16253"/>
    <cellStyle name="Percent 30 3 3 2 2 2" xfId="16254"/>
    <cellStyle name="Percent 30 3 2 2 2 2 2" xfId="16255"/>
    <cellStyle name="Percent 30 4 2 2 2 2 2" xfId="16256"/>
    <cellStyle name="Percent 30 5 2 2 2 2" xfId="16257"/>
    <cellStyle name="Percent 31 2 3 2 2 2" xfId="16258"/>
    <cellStyle name="Percent 31 2 2 2 2 2 2" xfId="16259"/>
    <cellStyle name="Percent 31 3 3 2 2 2" xfId="16260"/>
    <cellStyle name="Percent 31 3 2 2 2 2 2" xfId="16261"/>
    <cellStyle name="Percent 31 4 2 2 2 2 2" xfId="16262"/>
    <cellStyle name="Percent 31 5 2 2 2 2" xfId="16263"/>
    <cellStyle name="Percent 32 2 3 2 2 2" xfId="16264"/>
    <cellStyle name="Percent 32 2 2 2 2 2 2" xfId="16265"/>
    <cellStyle name="Percent 32 3 3 2 2 2" xfId="16266"/>
    <cellStyle name="Percent 32 3 2 2 2 2 2" xfId="16267"/>
    <cellStyle name="Percent 32 4 2 2 2 2 2" xfId="16268"/>
    <cellStyle name="Percent 32 5 2 2 2 2" xfId="16269"/>
    <cellStyle name="Percent 33 2 3 2 2 2" xfId="16270"/>
    <cellStyle name="Percent 33 2 2 2 2 2 2" xfId="16271"/>
    <cellStyle name="Percent 33 3 3 2 2 2" xfId="16272"/>
    <cellStyle name="Percent 33 3 2 2 2 2 2" xfId="16273"/>
    <cellStyle name="Percent 33 4 2 2 2 2 2" xfId="16274"/>
    <cellStyle name="Percent 33 5 2 2 2 2" xfId="16275"/>
    <cellStyle name="Percent 34 2 3 2 2 2" xfId="16276"/>
    <cellStyle name="Percent 34 2 2 2 2 2 2" xfId="16277"/>
    <cellStyle name="Percent 34 3 3 2 2 2" xfId="16278"/>
    <cellStyle name="Percent 34 3 2 2 2 2 2" xfId="16279"/>
    <cellStyle name="Percent 34 4 2 2 2 2 2" xfId="16280"/>
    <cellStyle name="Percent 34 5 2 2 2 2" xfId="16281"/>
    <cellStyle name="Percent 35 2 3 2 2 2" xfId="16282"/>
    <cellStyle name="Percent 35 2 2 2 2 2 2" xfId="16283"/>
    <cellStyle name="Percent 35 3 3 2 2 2" xfId="16284"/>
    <cellStyle name="Percent 35 3 2 2 2 2 2" xfId="16285"/>
    <cellStyle name="Percent 35 4 2 2 2 2 2" xfId="16286"/>
    <cellStyle name="Percent 35 5 2 2 2 2" xfId="16287"/>
    <cellStyle name="Currency 5 4 2 2 2 2" xfId="16288"/>
    <cellStyle name="Comma 5 7 2 2 2 2" xfId="16289"/>
    <cellStyle name="Percent 5 4 2 2 2 2" xfId="16290"/>
    <cellStyle name="Comma 6 5 2 2 2 2" xfId="16291"/>
    <cellStyle name="Currency 5 2 4 2 2 2 2" xfId="16292"/>
    <cellStyle name="Comma 5 2 4 2 2 2 2" xfId="16293"/>
    <cellStyle name="Percent 5 2 4 2 2 2 2" xfId="16294"/>
    <cellStyle name="Comma 6 2 3 2 2 2 2" xfId="16295"/>
    <cellStyle name="Currency 5 3 2 2 2 2 2" xfId="16296"/>
    <cellStyle name="Comma 5 3 2 2 2 2 2" xfId="16297"/>
    <cellStyle name="Percent 5 3 2 2 2 2 2" xfId="16298"/>
    <cellStyle name="Comma 6 3 4 2 2 2 2" xfId="16299"/>
    <cellStyle name="Normal 11 2 2 2 2 2 2" xfId="16300"/>
    <cellStyle name="Currency 5 2 2 2 2 2 2 2" xfId="16301"/>
    <cellStyle name="Comma 5 2 2 2 2 2 2 2" xfId="16302"/>
    <cellStyle name="Percent 5 2 2 2 2 2 2 2" xfId="16303"/>
    <cellStyle name="Comma 6 2 2 2 2 2 2 2" xfId="16304"/>
    <cellStyle name="Comma 4 7 2" xfId="16305"/>
    <cellStyle name="Currency 4 7 2" xfId="16306"/>
    <cellStyle name="Currency 4 2 3 2" xfId="16307"/>
    <cellStyle name="Currency 7 6 2" xfId="16308"/>
    <cellStyle name="Normal 7 26 2" xfId="16309"/>
    <cellStyle name="Percent 5 9 2 2" xfId="16310"/>
    <cellStyle name="Percent 5 2 9 2" xfId="16311"/>
    <cellStyle name="Percent 5 2 2 7 2" xfId="16312"/>
    <cellStyle name="Percent 8 3 2" xfId="16313"/>
    <cellStyle name="Comma 4 2 3 2" xfId="16314"/>
    <cellStyle name="Currency 4 3 5 2" xfId="16315"/>
    <cellStyle name="Currency 4 2 2 2" xfId="16316"/>
    <cellStyle name="Currency 7 2 4 2" xfId="16317"/>
    <cellStyle name="Normal 7 2 9 2" xfId="16318"/>
    <cellStyle name="Percent 5 3 7 2" xfId="16319"/>
    <cellStyle name="Percent 5 2 3 2 2" xfId="16320"/>
    <cellStyle name="Percent 5 2 2 2 5 2" xfId="16321"/>
    <cellStyle name="Percent 8 2 4 2" xfId="16322"/>
    <cellStyle name="Normal 12 11 2" xfId="16323"/>
    <cellStyle name="Comma 6 10 2" xfId="16324"/>
    <cellStyle name="Comma 6 2 8 2" xfId="16325"/>
    <cellStyle name="Currency 5 10" xfId="16326"/>
    <cellStyle name="Normal 8 30" xfId="16327"/>
    <cellStyle name="Comma 5 13 3" xfId="16328"/>
    <cellStyle name="Percent 5 11 3" xfId="16329"/>
    <cellStyle name="Comma 6 12" xfId="16330"/>
    <cellStyle name="Normal 11 9" xfId="16331"/>
    <cellStyle name="Currency 5 2 10" xfId="16332"/>
    <cellStyle name="Normal 8 2 11" xfId="16333"/>
    <cellStyle name="Comma 5 2 10" xfId="16334"/>
    <cellStyle name="Percent 5 2 11" xfId="16335"/>
    <cellStyle name="Comma 6 2 10" xfId="16336"/>
    <cellStyle name="Currency 5 3 8" xfId="16337"/>
    <cellStyle name="Normal 8 3 11" xfId="16338"/>
    <cellStyle name="Comma 5 3 8" xfId="16339"/>
    <cellStyle name="Percent 5 3 9" xfId="16340"/>
    <cellStyle name="Comma 6 3 10" xfId="16341"/>
    <cellStyle name="Normal 11 2 8" xfId="16342"/>
    <cellStyle name="Currency 5 2 2 8" xfId="16343"/>
    <cellStyle name="Normal 8 2 2 7" xfId="16344"/>
    <cellStyle name="Comma 5 2 2 8" xfId="16345"/>
    <cellStyle name="Percent 5 2 2 9" xfId="16346"/>
    <cellStyle name="Comma 6 2 2 7" xfId="16347"/>
    <cellStyle name="Normal 50 6" xfId="16348"/>
    <cellStyle name="Comma 186 6" xfId="16349"/>
    <cellStyle name="Percent 162 6" xfId="16350"/>
    <cellStyle name="Normal 2 24 6" xfId="16351"/>
    <cellStyle name="20% - Accent1 2 6" xfId="16352"/>
    <cellStyle name="20% - Accent1 3 6" xfId="16353"/>
    <cellStyle name="20% - Accent1 4 6" xfId="16354"/>
    <cellStyle name="20% - Accent1 5 6" xfId="16355"/>
    <cellStyle name="20% - Accent2 2 6" xfId="16356"/>
    <cellStyle name="20% - Accent2 3 6" xfId="16357"/>
    <cellStyle name="20% - Accent2 4 6" xfId="16358"/>
    <cellStyle name="20% - Accent2 5 6" xfId="16359"/>
    <cellStyle name="20% - Accent3 2 6" xfId="16360"/>
    <cellStyle name="20% - Accent3 3 6" xfId="16361"/>
    <cellStyle name="20% - Accent3 4 6" xfId="16362"/>
    <cellStyle name="20% - Accent3 5 6" xfId="16363"/>
    <cellStyle name="20% - Accent4 2 6" xfId="16364"/>
    <cellStyle name="20% - Accent4 3 6" xfId="16365"/>
    <cellStyle name="20% - Accent4 4 6" xfId="16366"/>
    <cellStyle name="20% - Accent4 5 6" xfId="16367"/>
    <cellStyle name="20% - Accent5 2 6" xfId="16368"/>
    <cellStyle name="20% - Accent5 3 6" xfId="16369"/>
    <cellStyle name="20% - Accent5 4 6" xfId="16370"/>
    <cellStyle name="20% - Accent6 2 6" xfId="16371"/>
    <cellStyle name="20% - Accent6 3 6" xfId="16372"/>
    <cellStyle name="20% - Accent6 4 6" xfId="16373"/>
    <cellStyle name="40% - Accent1 2 6" xfId="16374"/>
    <cellStyle name="40% - Accent1 3 6" xfId="16375"/>
    <cellStyle name="40% - Accent1 4 6" xfId="16376"/>
    <cellStyle name="40% - Accent1 5 6" xfId="16377"/>
    <cellStyle name="40% - Accent2 2 6" xfId="16378"/>
    <cellStyle name="40% - Accent2 3 6" xfId="16379"/>
    <cellStyle name="40% - Accent2 4 6" xfId="16380"/>
    <cellStyle name="40% - Accent3 2 6" xfId="16381"/>
    <cellStyle name="40% - Accent3 3 6" xfId="16382"/>
    <cellStyle name="40% - Accent3 4 6" xfId="16383"/>
    <cellStyle name="40% - Accent3 5 6" xfId="16384"/>
    <cellStyle name="40% - Accent4 2 6" xfId="16385"/>
    <cellStyle name="40% - Accent4 3 6" xfId="16386"/>
    <cellStyle name="40% - Accent4 4 6" xfId="16387"/>
    <cellStyle name="40% - Accent4 5 6" xfId="16388"/>
    <cellStyle name="40% - Accent5 2 6" xfId="16389"/>
    <cellStyle name="40% - Accent5 3 6" xfId="16390"/>
    <cellStyle name="40% - Accent5 4 6" xfId="16391"/>
    <cellStyle name="40% - Accent6 2 6" xfId="16392"/>
    <cellStyle name="40% - Accent6 3 6" xfId="16393"/>
    <cellStyle name="40% - Accent6 4 6" xfId="16394"/>
    <cellStyle name="40% - Accent6 5 6" xfId="16395"/>
    <cellStyle name="Comma 143 6" xfId="16396"/>
    <cellStyle name="Comma 144 6" xfId="16397"/>
    <cellStyle name="Comma 145 6" xfId="16398"/>
    <cellStyle name="Comma 146 6" xfId="16399"/>
    <cellStyle name="Comma 147 6" xfId="16400"/>
    <cellStyle name="Comma 148 6" xfId="16401"/>
    <cellStyle name="Comma 149 6" xfId="16402"/>
    <cellStyle name="Comma 150 6" xfId="16403"/>
    <cellStyle name="Comma 151 6" xfId="16404"/>
    <cellStyle name="Comma 152 6" xfId="16405"/>
    <cellStyle name="Comma 153 6" xfId="16406"/>
    <cellStyle name="Comma 182 6" xfId="16407"/>
    <cellStyle name="Comma 2 23 6" xfId="16408"/>
    <cellStyle name="Comma 2 2 10 6" xfId="16409"/>
    <cellStyle name="Comma 2 2 11 6" xfId="16410"/>
    <cellStyle name="Comma 2 2 12 6" xfId="16411"/>
    <cellStyle name="Comma 2 2 13 6" xfId="16412"/>
    <cellStyle name="Comma 2 2 14 6" xfId="16413"/>
    <cellStyle name="Comma 2 2 15 6" xfId="16414"/>
    <cellStyle name="Comma 2 2 16 6" xfId="16415"/>
    <cellStyle name="Comma 2 2 17 6" xfId="16416"/>
    <cellStyle name="Comma 2 2 2 2 10" xfId="16417"/>
    <cellStyle name="Comma 2 2 2 2 2 6" xfId="16418"/>
    <cellStyle name="Comma 2 2 2 2 3 6" xfId="16419"/>
    <cellStyle name="Comma 2 2 2 2 4 6" xfId="16420"/>
    <cellStyle name="Comma 2 2 2 2 5 6" xfId="16421"/>
    <cellStyle name="Comma 2 2 2 3 6" xfId="16422"/>
    <cellStyle name="Comma 2 2 2 4 6" xfId="16423"/>
    <cellStyle name="Comma 2 2 2 5 6" xfId="16424"/>
    <cellStyle name="Comma 2 2 2 6 6" xfId="16425"/>
    <cellStyle name="Comma 2 2 3 10" xfId="16426"/>
    <cellStyle name="Comma 2 2 3 2 2 6" xfId="16427"/>
    <cellStyle name="Comma 2 2 3 2 3 6" xfId="16428"/>
    <cellStyle name="Comma 2 2 3 2 4 6" xfId="16429"/>
    <cellStyle name="Comma 2 2 3 2 5 6" xfId="16430"/>
    <cellStyle name="Comma 2 2 3 3 6" xfId="16431"/>
    <cellStyle name="Comma 2 2 4 2 6" xfId="16432"/>
    <cellStyle name="Comma 2 2 5 6" xfId="16433"/>
    <cellStyle name="Comma 2 2 6 6" xfId="16434"/>
    <cellStyle name="Comma 2 2 7 6" xfId="16435"/>
    <cellStyle name="Comma 2 2 8 6" xfId="16436"/>
    <cellStyle name="Comma 2 2 9 6" xfId="16437"/>
    <cellStyle name="Comma 3 10 6" xfId="16438"/>
    <cellStyle name="Comma 3 11 6" xfId="16439"/>
    <cellStyle name="Comma 3 12 6" xfId="16440"/>
    <cellStyle name="Comma 3 13 6" xfId="16441"/>
    <cellStyle name="Comma 3 14 6" xfId="16442"/>
    <cellStyle name="Comma 3 15 6" xfId="16443"/>
    <cellStyle name="Comma 3 16 6" xfId="16444"/>
    <cellStyle name="Comma 3 17 6" xfId="16445"/>
    <cellStyle name="Comma 3 18 6" xfId="16446"/>
    <cellStyle name="Comma 3 19 6" xfId="16447"/>
    <cellStyle name="Comma 3 2 2 6" xfId="16448"/>
    <cellStyle name="Comma 3 2 3 6" xfId="16449"/>
    <cellStyle name="Comma 3 2 4 6" xfId="16450"/>
    <cellStyle name="Comma 3 2 5 6" xfId="16451"/>
    <cellStyle name="Comma 3 20 6" xfId="16452"/>
    <cellStyle name="Comma 3 21 6" xfId="16453"/>
    <cellStyle name="Comma 3 3 10" xfId="16454"/>
    <cellStyle name="Comma 3 3 2 6" xfId="16455"/>
    <cellStyle name="Comma 3 3 3 6" xfId="16456"/>
    <cellStyle name="Comma 3 3 4 6" xfId="16457"/>
    <cellStyle name="Comma 3 3 5 6" xfId="16458"/>
    <cellStyle name="Comma 3 4 7" xfId="16459"/>
    <cellStyle name="Comma 3 4 2 6" xfId="16460"/>
    <cellStyle name="Comma 3 5 7" xfId="16461"/>
    <cellStyle name="Comma 3 5 2 6" xfId="16462"/>
    <cellStyle name="Comma 3 6 7" xfId="16463"/>
    <cellStyle name="Comma 3 6 2 6" xfId="16464"/>
    <cellStyle name="Comma 3 7 6" xfId="16465"/>
    <cellStyle name="Comma 3 8 6" xfId="16466"/>
    <cellStyle name="Comma 3 9 6" xfId="16467"/>
    <cellStyle name="Currency 120 6" xfId="16468"/>
    <cellStyle name="Currency 121 6" xfId="16469"/>
    <cellStyle name="Currency 122 6" xfId="16470"/>
    <cellStyle name="Currency 123 6" xfId="16471"/>
    <cellStyle name="Currency 124 6" xfId="16472"/>
    <cellStyle name="Currency 125 6" xfId="16473"/>
    <cellStyle name="Currency 126 6" xfId="16474"/>
    <cellStyle name="Currency 127 6" xfId="16475"/>
    <cellStyle name="Currency 128 6" xfId="16476"/>
    <cellStyle name="Currency 129 6" xfId="16477"/>
    <cellStyle name="Currency 130 6" xfId="16478"/>
    <cellStyle name="Currency 159 6" xfId="16479"/>
    <cellStyle name="Currency 2 27 6" xfId="16480"/>
    <cellStyle name="Currency 2 2 20 6" xfId="16481"/>
    <cellStyle name="Currency 2 2 10 6" xfId="16482"/>
    <cellStyle name="Currency 2 2 11 6" xfId="16483"/>
    <cellStyle name="Currency 2 2 12 6" xfId="16484"/>
    <cellStyle name="Currency 2 2 13 6" xfId="16485"/>
    <cellStyle name="Currency 2 2 14 6" xfId="16486"/>
    <cellStyle name="Currency 2 2 15 6" xfId="16487"/>
    <cellStyle name="Currency 2 2 16 6" xfId="16488"/>
    <cellStyle name="Currency 2 2 17 6" xfId="16489"/>
    <cellStyle name="Currency 2 2 18 6" xfId="16490"/>
    <cellStyle name="Currency 2 2 2 2 6" xfId="16491"/>
    <cellStyle name="Currency 2 2 2 3 6" xfId="16492"/>
    <cellStyle name="Currency 2 2 2 4 6" xfId="16493"/>
    <cellStyle name="Currency 2 2 2 5 6" xfId="16494"/>
    <cellStyle name="Currency 2 2 3 10" xfId="16495"/>
    <cellStyle name="Currency 2 2 3 2 6" xfId="16496"/>
    <cellStyle name="Currency 2 2 3 3 6" xfId="16497"/>
    <cellStyle name="Currency 2 2 3 4 6" xfId="16498"/>
    <cellStyle name="Currency 2 2 3 5 6" xfId="16499"/>
    <cellStyle name="Currency 2 2 4 6" xfId="16500"/>
    <cellStyle name="Currency 2 2 5 6" xfId="16501"/>
    <cellStyle name="Currency 2 2 6 6" xfId="16502"/>
    <cellStyle name="Currency 2 2 7 6" xfId="16503"/>
    <cellStyle name="Currency 2 2 8 6" xfId="16504"/>
    <cellStyle name="Currency 2 2 9 6" xfId="16505"/>
    <cellStyle name="Currency 3 10 6" xfId="16506"/>
    <cellStyle name="Currency 3 11 6" xfId="16507"/>
    <cellStyle name="Currency 3 12 6" xfId="16508"/>
    <cellStyle name="Currency 3 13 6" xfId="16509"/>
    <cellStyle name="Currency 3 14 6" xfId="16510"/>
    <cellStyle name="Currency 3 15 6" xfId="16511"/>
    <cellStyle name="Currency 3 16 6" xfId="16512"/>
    <cellStyle name="Currency 3 17 6" xfId="16513"/>
    <cellStyle name="Currency 3 18 6" xfId="16514"/>
    <cellStyle name="Currency 3 19 6" xfId="16515"/>
    <cellStyle name="Currency 3 2 2 6" xfId="16516"/>
    <cellStyle name="Currency 3 2 3 6" xfId="16517"/>
    <cellStyle name="Currency 3 2 4 6" xfId="16518"/>
    <cellStyle name="Currency 3 2 5 6" xfId="16519"/>
    <cellStyle name="Currency 3 20 6" xfId="16520"/>
    <cellStyle name="Currency 3 21 6" xfId="16521"/>
    <cellStyle name="Currency 3 3 13" xfId="16522"/>
    <cellStyle name="Currency 3 3 2 6" xfId="16523"/>
    <cellStyle name="Currency 3 3 3 6" xfId="16524"/>
    <cellStyle name="Currency 3 3 4 6" xfId="16525"/>
    <cellStyle name="Currency 3 3 5 6" xfId="16526"/>
    <cellStyle name="Currency 3 3 6 6" xfId="16527"/>
    <cellStyle name="Currency 3 4 7" xfId="16528"/>
    <cellStyle name="Currency 3 4 2 6" xfId="16529"/>
    <cellStyle name="Currency 3 5 7" xfId="16530"/>
    <cellStyle name="Currency 3 5 2 6" xfId="16531"/>
    <cellStyle name="Currency 3 6 7" xfId="16532"/>
    <cellStyle name="Currency 3 6 2 6" xfId="16533"/>
    <cellStyle name="Currency 3 7 6" xfId="16534"/>
    <cellStyle name="Currency 3 8 6" xfId="16535"/>
    <cellStyle name="Currency 3 9 6" xfId="16536"/>
    <cellStyle name="Normal 10 3 10" xfId="16537"/>
    <cellStyle name="Normal 10 3 2 9" xfId="16538"/>
    <cellStyle name="Normal 10 3 2 2 7" xfId="16539"/>
    <cellStyle name="Normal 10 3 2 2 2 6" xfId="16540"/>
    <cellStyle name="Normal 10 3 2 3 7" xfId="16541"/>
    <cellStyle name="Normal 10 3 2 3 2 6" xfId="16542"/>
    <cellStyle name="Normal 10 3 2 4 6" xfId="16543"/>
    <cellStyle name="Normal 10 3 3 7" xfId="16544"/>
    <cellStyle name="Normal 10 3 3 2 6" xfId="16545"/>
    <cellStyle name="Normal 10 3 4 7" xfId="16546"/>
    <cellStyle name="Normal 10 3 4 2 6" xfId="16547"/>
    <cellStyle name="Normal 10 3 5 6" xfId="16548"/>
    <cellStyle name="Normal 10 4 9" xfId="16549"/>
    <cellStyle name="Normal 10 4 2 7" xfId="16550"/>
    <cellStyle name="Normal 10 4 2 2 6" xfId="16551"/>
    <cellStyle name="Normal 10 4 3 7" xfId="16552"/>
    <cellStyle name="Normal 10 4 3 2 6" xfId="16553"/>
    <cellStyle name="Normal 10 4 4 6" xfId="16554"/>
    <cellStyle name="Normal 10 5 9" xfId="16555"/>
    <cellStyle name="Normal 10 5 2 7" xfId="16556"/>
    <cellStyle name="Normal 10 5 2 2 6" xfId="16557"/>
    <cellStyle name="Normal 10 5 3 7" xfId="16558"/>
    <cellStyle name="Normal 10 5 3 2 6" xfId="16559"/>
    <cellStyle name="Normal 10 5 4 6" xfId="16560"/>
    <cellStyle name="Normal 10 6 7" xfId="16561"/>
    <cellStyle name="Normal 10 6 2 6" xfId="16562"/>
    <cellStyle name="Normal 10 7 7" xfId="16563"/>
    <cellStyle name="Normal 10 7 2 6" xfId="16564"/>
    <cellStyle name="Normal 10 8 2 6" xfId="16565"/>
    <cellStyle name="Normal 10 9 6" xfId="16566"/>
    <cellStyle name="Normal 11 4 6" xfId="16567"/>
    <cellStyle name="Normal 11 3 6" xfId="16568"/>
    <cellStyle name="Normal 12 13" xfId="16569"/>
    <cellStyle name="Normal 12 2 2 9" xfId="16570"/>
    <cellStyle name="Normal 12 2 2 2 7" xfId="16571"/>
    <cellStyle name="Normal 12 2 2 2 2 6" xfId="16572"/>
    <cellStyle name="Normal 12 2 2 3 7" xfId="16573"/>
    <cellStyle name="Normal 12 2 2 3 2 6" xfId="16574"/>
    <cellStyle name="Normal 12 2 2 4 6" xfId="16575"/>
    <cellStyle name="Normal 12 2 3 7" xfId="16576"/>
    <cellStyle name="Normal 12 2 3 2 6" xfId="16577"/>
    <cellStyle name="Normal 12 2 4 7" xfId="16578"/>
    <cellStyle name="Normal 12 2 4 2 6" xfId="16579"/>
    <cellStyle name="Normal 12 2 5 2 6" xfId="16580"/>
    <cellStyle name="Normal 12 2 6 6" xfId="16581"/>
    <cellStyle name="Normal 12 3 9" xfId="16582"/>
    <cellStyle name="Normal 12 3 2 7" xfId="16583"/>
    <cellStyle name="Normal 12 3 2 2 6" xfId="16584"/>
    <cellStyle name="Normal 12 3 3 7" xfId="16585"/>
    <cellStyle name="Normal 12 3 3 2 6" xfId="16586"/>
    <cellStyle name="Normal 12 3 4 6" xfId="16587"/>
    <cellStyle name="Normal 12 4 9" xfId="16588"/>
    <cellStyle name="Normal 12 4 2 7" xfId="16589"/>
    <cellStyle name="Normal 12 4 2 2 6" xfId="16590"/>
    <cellStyle name="Normal 12 4 3 7" xfId="16591"/>
    <cellStyle name="Normal 12 4 3 2 6" xfId="16592"/>
    <cellStyle name="Normal 12 4 4 6" xfId="16593"/>
    <cellStyle name="Normal 12 5 7" xfId="16594"/>
    <cellStyle name="Normal 12 5 2 6" xfId="16595"/>
    <cellStyle name="Normal 12 6 7" xfId="16596"/>
    <cellStyle name="Normal 12 6 2 6" xfId="16597"/>
    <cellStyle name="Normal 12 7 6" xfId="16598"/>
    <cellStyle name="Normal 15 10" xfId="16599"/>
    <cellStyle name="Normal 15 3 6" xfId="16600"/>
    <cellStyle name="Normal 16 2 9" xfId="16601"/>
    <cellStyle name="Normal 16 2 2 7" xfId="16602"/>
    <cellStyle name="Normal 16 2 2 2 6" xfId="16603"/>
    <cellStyle name="Normal 16 2 3 7" xfId="16604"/>
    <cellStyle name="Normal 16 2 3 2 6" xfId="16605"/>
    <cellStyle name="Normal 16 2 4 6" xfId="16606"/>
    <cellStyle name="Normal 16 3 7" xfId="16607"/>
    <cellStyle name="Normal 16 3 2 6" xfId="16608"/>
    <cellStyle name="Normal 16 4 7" xfId="16609"/>
    <cellStyle name="Normal 16 4 2 6" xfId="16610"/>
    <cellStyle name="Normal 16 5 2 6" xfId="16611"/>
    <cellStyle name="Normal 16 6 6" xfId="16612"/>
    <cellStyle name="Normal 17 2 9" xfId="16613"/>
    <cellStyle name="Normal 17 2 2 7" xfId="16614"/>
    <cellStyle name="Normal 17 2 2 2 6" xfId="16615"/>
    <cellStyle name="Normal 17 2 3 7" xfId="16616"/>
    <cellStyle name="Normal 17 2 3 2 6" xfId="16617"/>
    <cellStyle name="Normal 17 2 4 6" xfId="16618"/>
    <cellStyle name="Normal 17 3 7" xfId="16619"/>
    <cellStyle name="Normal 17 3 2 6" xfId="16620"/>
    <cellStyle name="Normal 17 4 7" xfId="16621"/>
    <cellStyle name="Normal 17 4 2 6" xfId="16622"/>
    <cellStyle name="Normal 17 5 2 6" xfId="16623"/>
    <cellStyle name="Normal 17 6 6" xfId="16624"/>
    <cellStyle name="Normal 2 10 3 6" xfId="16625"/>
    <cellStyle name="Normal 2 11 3 6" xfId="16626"/>
    <cellStyle name="Normal 2 12 3 6" xfId="16627"/>
    <cellStyle name="Normal 2 13 3 6" xfId="16628"/>
    <cellStyle name="Normal 2 14 3 6" xfId="16629"/>
    <cellStyle name="Normal 2 15 3 6" xfId="16630"/>
    <cellStyle name="Normal 2 16 3 6" xfId="16631"/>
    <cellStyle name="Normal 2 17 3 6" xfId="16632"/>
    <cellStyle name="Normal 2 18 3 6" xfId="16633"/>
    <cellStyle name="Normal 2 19 3 6" xfId="16634"/>
    <cellStyle name="Normal 2 2 10 6" xfId="16635"/>
    <cellStyle name="Normal 2 2 11 6" xfId="16636"/>
    <cellStyle name="Normal 2 2 12 6" xfId="16637"/>
    <cellStyle name="Normal 2 2 13 6" xfId="16638"/>
    <cellStyle name="Normal 2 2 14 6" xfId="16639"/>
    <cellStyle name="Normal 2 2 15 6" xfId="16640"/>
    <cellStyle name="Normal 2 2 16 6" xfId="16641"/>
    <cellStyle name="Normal 2 2 17 6" xfId="16642"/>
    <cellStyle name="Normal 2 2 18 6" xfId="16643"/>
    <cellStyle name="Normal 2 2 19 6" xfId="16644"/>
    <cellStyle name="Normal 2 2 2 2 10" xfId="16645"/>
    <cellStyle name="Normal 2 2 2 2 2 7" xfId="16646"/>
    <cellStyle name="Normal 2 2 2 2 2 2 6" xfId="16647"/>
    <cellStyle name="Normal 2 2 2 2 3 6" xfId="16648"/>
    <cellStyle name="Normal 2 2 2 2 4 6" xfId="16649"/>
    <cellStyle name="Normal 2 2 2 2 5 6" xfId="16650"/>
    <cellStyle name="Normal 2 2 20 6" xfId="16651"/>
    <cellStyle name="Normal 2 2 21 6" xfId="16652"/>
    <cellStyle name="Normal 2 2 22 6" xfId="16653"/>
    <cellStyle name="Normal 2 2 3 13" xfId="16654"/>
    <cellStyle name="Normal 2 2 3 2 6" xfId="16655"/>
    <cellStyle name="Normal 2 2 3 3 6" xfId="16656"/>
    <cellStyle name="Normal 2 2 3 4 6" xfId="16657"/>
    <cellStyle name="Normal 2 2 3 5 6" xfId="16658"/>
    <cellStyle name="Normal 2 2 3 6 6" xfId="16659"/>
    <cellStyle name="Normal 2 2 4 9" xfId="16660"/>
    <cellStyle name="Normal 2 2 4 2 6" xfId="16661"/>
    <cellStyle name="Normal 2 2 5 8" xfId="16662"/>
    <cellStyle name="Normal 2 2 5 2 6" xfId="16663"/>
    <cellStyle name="Normal 2 2 6 6" xfId="16664"/>
    <cellStyle name="Normal 2 2 7 6" xfId="16665"/>
    <cellStyle name="Normal 2 2 8 6" xfId="16666"/>
    <cellStyle name="Normal 2 2 9 6" xfId="16667"/>
    <cellStyle name="Normal 2 20 6" xfId="16668"/>
    <cellStyle name="Normal 2 3 2 7" xfId="16669"/>
    <cellStyle name="Normal 2 3 3 6" xfId="16670"/>
    <cellStyle name="Normal 2 3 4 6" xfId="16671"/>
    <cellStyle name="Normal 2 3 5 6" xfId="16672"/>
    <cellStyle name="Normal 2 3 6 6" xfId="16673"/>
    <cellStyle name="Normal 2 4 5 6" xfId="16674"/>
    <cellStyle name="Normal 2 4 2 6" xfId="16675"/>
    <cellStyle name="Normal 2 5 3 6" xfId="16676"/>
    <cellStyle name="Normal 2 6 3 6" xfId="16677"/>
    <cellStyle name="Normal 2 7 3 6" xfId="16678"/>
    <cellStyle name="Normal 2 8 3 6" xfId="16679"/>
    <cellStyle name="Normal 2 9 3 6" xfId="16680"/>
    <cellStyle name="Normal 21 13" xfId="16681"/>
    <cellStyle name="Normal 21 2 11" xfId="16682"/>
    <cellStyle name="Normal 21 2 2 6" xfId="16683"/>
    <cellStyle name="Normal 21 2 3 6" xfId="16684"/>
    <cellStyle name="Normal 21 2 4 6" xfId="16685"/>
    <cellStyle name="Normal 21 2 5 6" xfId="16686"/>
    <cellStyle name="Normal 21 2 6 6" xfId="16687"/>
    <cellStyle name="Normal 21 3 7" xfId="16688"/>
    <cellStyle name="Normal 21 3 2 6" xfId="16689"/>
    <cellStyle name="Normal 21 4 6" xfId="16690"/>
    <cellStyle name="Normal 21 5 6" xfId="16691"/>
    <cellStyle name="Normal 21 6 6" xfId="16692"/>
    <cellStyle name="Normal 21 8 6" xfId="16693"/>
    <cellStyle name="Normal 22 12" xfId="16694"/>
    <cellStyle name="Normal 22 2 11" xfId="16695"/>
    <cellStyle name="Normal 22 2 2 6" xfId="16696"/>
    <cellStyle name="Normal 22 2 3 6" xfId="16697"/>
    <cellStyle name="Normal 22 2 4 6" xfId="16698"/>
    <cellStyle name="Normal 22 2 5 6" xfId="16699"/>
    <cellStyle name="Normal 22 3 6" xfId="16700"/>
    <cellStyle name="Normal 22 4 6" xfId="16701"/>
    <cellStyle name="Normal 22 5 6" xfId="16702"/>
    <cellStyle name="Normal 22 6 6" xfId="16703"/>
    <cellStyle name="Normal 23 12" xfId="16704"/>
    <cellStyle name="Normal 23 2 10" xfId="16705"/>
    <cellStyle name="Normal 23 2 2 6" xfId="16706"/>
    <cellStyle name="Normal 23 2 3 6" xfId="16707"/>
    <cellStyle name="Normal 23 2 4 6" xfId="16708"/>
    <cellStyle name="Normal 23 2 5 6" xfId="16709"/>
    <cellStyle name="Normal 23 3 6" xfId="16710"/>
    <cellStyle name="Normal 23 4 6" xfId="16711"/>
    <cellStyle name="Normal 23 5 6" xfId="16712"/>
    <cellStyle name="Normal 23 6 6" xfId="16713"/>
    <cellStyle name="Normal 24 12" xfId="16714"/>
    <cellStyle name="Normal 24 2 10" xfId="16715"/>
    <cellStyle name="Normal 24 2 2 6" xfId="16716"/>
    <cellStyle name="Normal 24 2 3 6" xfId="16717"/>
    <cellStyle name="Normal 24 2 4 6" xfId="16718"/>
    <cellStyle name="Normal 24 2 5 6" xfId="16719"/>
    <cellStyle name="Normal 24 3 6" xfId="16720"/>
    <cellStyle name="Normal 24 4 6" xfId="16721"/>
    <cellStyle name="Normal 24 5 6" xfId="16722"/>
    <cellStyle name="Normal 24 6 6" xfId="16723"/>
    <cellStyle name="Normal 26 12" xfId="16724"/>
    <cellStyle name="Normal 26 2 10" xfId="16725"/>
    <cellStyle name="Normal 26 2 2 6" xfId="16726"/>
    <cellStyle name="Normal 26 2 3 6" xfId="16727"/>
    <cellStyle name="Normal 26 2 4 6" xfId="16728"/>
    <cellStyle name="Normal 26 2 5 6" xfId="16729"/>
    <cellStyle name="Normal 26 3 6" xfId="16730"/>
    <cellStyle name="Normal 26 4 6" xfId="16731"/>
    <cellStyle name="Normal 26 5 6" xfId="16732"/>
    <cellStyle name="Normal 26 6 6" xfId="16733"/>
    <cellStyle name="Normal 3 10 6" xfId="16734"/>
    <cellStyle name="Normal 3 11 6" xfId="16735"/>
    <cellStyle name="Normal 3 12 6" xfId="16736"/>
    <cellStyle name="Normal 3 13 6" xfId="16737"/>
    <cellStyle name="Normal 3 14 6" xfId="16738"/>
    <cellStyle name="Normal 3 15 6" xfId="16739"/>
    <cellStyle name="Normal 3 16 6" xfId="16740"/>
    <cellStyle name="Normal 3 17 6" xfId="16741"/>
    <cellStyle name="Normal 3 18 6" xfId="16742"/>
    <cellStyle name="Normal 3 19 6" xfId="16743"/>
    <cellStyle name="Normal 3 2 2 6" xfId="16744"/>
    <cellStyle name="Normal 3 2 3 6" xfId="16745"/>
    <cellStyle name="Normal 3 2 4 6" xfId="16746"/>
    <cellStyle name="Normal 3 2 5 6" xfId="16747"/>
    <cellStyle name="Normal 3 2 6 6" xfId="16748"/>
    <cellStyle name="Normal 3 20 6" xfId="16749"/>
    <cellStyle name="Normal 3 21 6" xfId="16750"/>
    <cellStyle name="Normal 3 22 6" xfId="16751"/>
    <cellStyle name="Normal 3 23 6" xfId="16752"/>
    <cellStyle name="Normal 3 24 6" xfId="16753"/>
    <cellStyle name="Normal 3 3 9" xfId="16754"/>
    <cellStyle name="Normal 3 3 2 6" xfId="16755"/>
    <cellStyle name="Normal 3 3 3 6" xfId="16756"/>
    <cellStyle name="Normal 3 4 7" xfId="16757"/>
    <cellStyle name="Normal 3 4 2 6" xfId="16758"/>
    <cellStyle name="Normal 3 5 7" xfId="16759"/>
    <cellStyle name="Normal 3 5 2 6" xfId="16760"/>
    <cellStyle name="Normal 3 6 6" xfId="16761"/>
    <cellStyle name="Normal 3 7 6" xfId="16762"/>
    <cellStyle name="Normal 3 8 6" xfId="16763"/>
    <cellStyle name="Normal 3 9 6" xfId="16764"/>
    <cellStyle name="Normal 4 2 10 6" xfId="16765"/>
    <cellStyle name="Normal 4 2 11 6" xfId="16766"/>
    <cellStyle name="Normal 4 2 12 6" xfId="16767"/>
    <cellStyle name="Normal 4 2 13 6" xfId="16768"/>
    <cellStyle name="Normal 4 2 14 6" xfId="16769"/>
    <cellStyle name="Normal 4 2 15 6" xfId="16770"/>
    <cellStyle name="Normal 4 2 16 6" xfId="16771"/>
    <cellStyle name="Normal 4 2 17 6" xfId="16772"/>
    <cellStyle name="Normal 4 2 18 6" xfId="16773"/>
    <cellStyle name="Normal 4 2 19 6" xfId="16774"/>
    <cellStyle name="Normal 4 2 2 10" xfId="16775"/>
    <cellStyle name="Normal 4 2 2 2 6" xfId="16776"/>
    <cellStyle name="Normal 4 2 2 3 6" xfId="16777"/>
    <cellStyle name="Normal 4 2 2 4 6" xfId="16778"/>
    <cellStyle name="Normal 4 2 2 5 6" xfId="16779"/>
    <cellStyle name="Normal 4 2 20 6" xfId="16780"/>
    <cellStyle name="Normal 4 2 21 6" xfId="16781"/>
    <cellStyle name="Normal 4 2 22 6" xfId="16782"/>
    <cellStyle name="Normal 4 2 23 6" xfId="16783"/>
    <cellStyle name="Normal 4 2 24 6" xfId="16784"/>
    <cellStyle name="Normal 4 2 3 7" xfId="16785"/>
    <cellStyle name="Normal 4 2 3 2 6" xfId="16786"/>
    <cellStyle name="Normal 4 2 4 7" xfId="16787"/>
    <cellStyle name="Normal 4 2 4 2 6" xfId="16788"/>
    <cellStyle name="Normal 4 2 5 7" xfId="16789"/>
    <cellStyle name="Normal 4 2 5 2 6" xfId="16790"/>
    <cellStyle name="Normal 4 2 6 6" xfId="16791"/>
    <cellStyle name="Normal 4 2 7 6" xfId="16792"/>
    <cellStyle name="Normal 4 2 8 6" xfId="16793"/>
    <cellStyle name="Normal 4 2 9 6" xfId="16794"/>
    <cellStyle name="Normal 4 3 11" xfId="16795"/>
    <cellStyle name="Normal 4 3 2 10" xfId="16796"/>
    <cellStyle name="Normal 4 3 2 2 9" xfId="16797"/>
    <cellStyle name="Normal 4 3 2 2 2 7" xfId="16798"/>
    <cellStyle name="Normal 4 3 2 2 2 2 6" xfId="16799"/>
    <cellStyle name="Normal 4 3 2 2 3 7" xfId="16800"/>
    <cellStyle name="Normal 4 3 2 2 3 2 6" xfId="16801"/>
    <cellStyle name="Normal 4 3 2 2 4 6" xfId="16802"/>
    <cellStyle name="Normal 4 3 2 3 7" xfId="16803"/>
    <cellStyle name="Normal 4 3 2 3 2 6" xfId="16804"/>
    <cellStyle name="Normal 4 3 2 4 7" xfId="16805"/>
    <cellStyle name="Normal 4 3 2 4 2 6" xfId="16806"/>
    <cellStyle name="Normal 4 3 2 5 6" xfId="16807"/>
    <cellStyle name="Normal 4 3 3 9" xfId="16808"/>
    <cellStyle name="Normal 4 3 3 2 7" xfId="16809"/>
    <cellStyle name="Normal 4 3 3 2 2 6" xfId="16810"/>
    <cellStyle name="Normal 4 3 3 3 7" xfId="16811"/>
    <cellStyle name="Normal 4 3 3 3 2 6" xfId="16812"/>
    <cellStyle name="Normal 4 3 3 4 6" xfId="16813"/>
    <cellStyle name="Normal 4 3 4 7" xfId="16814"/>
    <cellStyle name="Normal 4 3 4 2 6" xfId="16815"/>
    <cellStyle name="Normal 4 3 5 7" xfId="16816"/>
    <cellStyle name="Normal 4 3 5 2 6" xfId="16817"/>
    <cellStyle name="Normal 4 3 6 6" xfId="16818"/>
    <cellStyle name="Normal 4 4 8" xfId="16819"/>
    <cellStyle name="Normal 4 4 2 6" xfId="16820"/>
    <cellStyle name="Normal 4 5 6" xfId="16821"/>
    <cellStyle name="Normal 4 6 6" xfId="16822"/>
    <cellStyle name="Normal 4 7 6" xfId="16823"/>
    <cellStyle name="Normal 4 8 6" xfId="16824"/>
    <cellStyle name="Normal 41 2 6" xfId="16825"/>
    <cellStyle name="Normal 46 6" xfId="16826"/>
    <cellStyle name="Normal 5 28 6" xfId="16827"/>
    <cellStyle name="Normal 5 2 11" xfId="16828"/>
    <cellStyle name="Normal 5 2 2 2 2 6" xfId="16829"/>
    <cellStyle name="Normal 5 2 2 3 6" xfId="16830"/>
    <cellStyle name="Normal 5 2 3 2 2 6" xfId="16831"/>
    <cellStyle name="Normal 5 2 3 3 6" xfId="16832"/>
    <cellStyle name="Normal 5 2 4 2 6" xfId="16833"/>
    <cellStyle name="Normal 5 2 6 6" xfId="16834"/>
    <cellStyle name="Normal 5 24 6" xfId="16835"/>
    <cellStyle name="Normal 5 3 7" xfId="16836"/>
    <cellStyle name="Normal 5 4 7" xfId="16837"/>
    <cellStyle name="Normal 5 5 7" xfId="16838"/>
    <cellStyle name="Normal 5 6 7" xfId="16839"/>
    <cellStyle name="Normal 5 7 7" xfId="16840"/>
    <cellStyle name="Normal 7 25 6" xfId="16841"/>
    <cellStyle name="Normal 7 10 6" xfId="16842"/>
    <cellStyle name="Normal 7 11 6" xfId="16843"/>
    <cellStyle name="Normal 7 12 6" xfId="16844"/>
    <cellStyle name="Normal 7 13 6" xfId="16845"/>
    <cellStyle name="Normal 7 14 6" xfId="16846"/>
    <cellStyle name="Normal 7 15 6" xfId="16847"/>
    <cellStyle name="Normal 7 16 6" xfId="16848"/>
    <cellStyle name="Normal 7 17 6" xfId="16849"/>
    <cellStyle name="Normal 7 18 6" xfId="16850"/>
    <cellStyle name="Normal 7 19 6" xfId="16851"/>
    <cellStyle name="Normal 7 2 11" xfId="16852"/>
    <cellStyle name="Normal 7 2 2 6" xfId="16853"/>
    <cellStyle name="Normal 7 2 3 6" xfId="16854"/>
    <cellStyle name="Normal 7 2 4 6" xfId="16855"/>
    <cellStyle name="Normal 7 2 5 6" xfId="16856"/>
    <cellStyle name="Normal 7 20 6" xfId="16857"/>
    <cellStyle name="Normal 7 22 6" xfId="16858"/>
    <cellStyle name="Normal 7 3 10" xfId="16859"/>
    <cellStyle name="Normal 7 3 2 6" xfId="16860"/>
    <cellStyle name="Normal 7 3 3 6" xfId="16861"/>
    <cellStyle name="Normal 7 3 4 6" xfId="16862"/>
    <cellStyle name="Normal 7 3 5 6" xfId="16863"/>
    <cellStyle name="Normal 7 4 6" xfId="16864"/>
    <cellStyle name="Normal 7 5 6" xfId="16865"/>
    <cellStyle name="Normal 7 6 6" xfId="16866"/>
    <cellStyle name="Normal 7 7 6" xfId="16867"/>
    <cellStyle name="Normal 7 8 6" xfId="16868"/>
    <cellStyle name="Normal 7 9 6" xfId="16869"/>
    <cellStyle name="Normal 8 25 6" xfId="16870"/>
    <cellStyle name="Normal 8 10 6" xfId="16871"/>
    <cellStyle name="Normal 8 11 6" xfId="16872"/>
    <cellStyle name="Normal 8 12 6" xfId="16873"/>
    <cellStyle name="Normal 8 13 6" xfId="16874"/>
    <cellStyle name="Normal 8 14 6" xfId="16875"/>
    <cellStyle name="Normal 8 15 6" xfId="16876"/>
    <cellStyle name="Normal 8 16 6" xfId="16877"/>
    <cellStyle name="Normal 8 17 6" xfId="16878"/>
    <cellStyle name="Normal 8 18 6" xfId="16879"/>
    <cellStyle name="Normal 8 19 6" xfId="16880"/>
    <cellStyle name="Normal 8 2 6 6" xfId="16881"/>
    <cellStyle name="Normal 8 2 2 2 6" xfId="16882"/>
    <cellStyle name="Normal 8 2 3 6" xfId="16883"/>
    <cellStyle name="Normal 8 2 4 6" xfId="16884"/>
    <cellStyle name="Normal 8 2 5 6" xfId="16885"/>
    <cellStyle name="Normal 8 20 6" xfId="16886"/>
    <cellStyle name="Normal 8 22 6" xfId="16887"/>
    <cellStyle name="Normal 8 3 6 6" xfId="16888"/>
    <cellStyle name="Normal 8 3 2 6" xfId="16889"/>
    <cellStyle name="Normal 8 3 3 6" xfId="16890"/>
    <cellStyle name="Normal 8 3 4 6" xfId="16891"/>
    <cellStyle name="Normal 8 3 5 6" xfId="16892"/>
    <cellStyle name="Normal 8 4 6" xfId="16893"/>
    <cellStyle name="Normal 8 5 6" xfId="16894"/>
    <cellStyle name="Normal 8 6 6" xfId="16895"/>
    <cellStyle name="Normal 8 7 6" xfId="16896"/>
    <cellStyle name="Normal 8 8 6" xfId="16897"/>
    <cellStyle name="Normal 8 9 6" xfId="16898"/>
    <cellStyle name="Normal 9 25 6" xfId="16899"/>
    <cellStyle name="Normal 9 10 6" xfId="16900"/>
    <cellStyle name="Normal 9 11 6" xfId="16901"/>
    <cellStyle name="Normal 9 12 6" xfId="16902"/>
    <cellStyle name="Normal 9 13 6" xfId="16903"/>
    <cellStyle name="Normal 9 14 6" xfId="16904"/>
    <cellStyle name="Normal 9 15 6" xfId="16905"/>
    <cellStyle name="Normal 9 16 6" xfId="16906"/>
    <cellStyle name="Normal 9 17 6" xfId="16907"/>
    <cellStyle name="Normal 9 18 6" xfId="16908"/>
    <cellStyle name="Normal 9 19 6" xfId="16909"/>
    <cellStyle name="Normal 9 2 11" xfId="16910"/>
    <cellStyle name="Normal 9 2 2 6" xfId="16911"/>
    <cellStyle name="Normal 9 2 3 6" xfId="16912"/>
    <cellStyle name="Normal 9 2 4 6" xfId="16913"/>
    <cellStyle name="Normal 9 2 5 6" xfId="16914"/>
    <cellStyle name="Normal 9 20 6" xfId="16915"/>
    <cellStyle name="Normal 9 22 6" xfId="16916"/>
    <cellStyle name="Normal 9 3 10" xfId="16917"/>
    <cellStyle name="Normal 9 3 2 6" xfId="16918"/>
    <cellStyle name="Normal 9 3 3 6" xfId="16919"/>
    <cellStyle name="Normal 9 3 4 6" xfId="16920"/>
    <cellStyle name="Normal 9 3 5 6" xfId="16921"/>
    <cellStyle name="Normal 9 4 6" xfId="16922"/>
    <cellStyle name="Normal 9 5 6" xfId="16923"/>
    <cellStyle name="Normal 9 6 6" xfId="16924"/>
    <cellStyle name="Normal 9 7 6" xfId="16925"/>
    <cellStyle name="Normal 9 8 6" xfId="16926"/>
    <cellStyle name="Normal 9 9 6" xfId="16927"/>
    <cellStyle name="Note 2 6 3" xfId="16928"/>
    <cellStyle name="Note 3 6" xfId="16929"/>
    <cellStyle name="Note 4 6" xfId="16930"/>
    <cellStyle name="Note 7 6" xfId="16931"/>
    <cellStyle name="Percent 120 6" xfId="16932"/>
    <cellStyle name="Percent 121 6" xfId="16933"/>
    <cellStyle name="Percent 122 6" xfId="16934"/>
    <cellStyle name="Percent 123 6" xfId="16935"/>
    <cellStyle name="Percent 124 6" xfId="16936"/>
    <cellStyle name="Percent 125 6" xfId="16937"/>
    <cellStyle name="Percent 126 6" xfId="16938"/>
    <cellStyle name="Percent 127 6" xfId="16939"/>
    <cellStyle name="Percent 128 6" xfId="16940"/>
    <cellStyle name="Percent 129 6" xfId="16941"/>
    <cellStyle name="Percent 130 6" xfId="16942"/>
    <cellStyle name="Percent 159 6" xfId="16943"/>
    <cellStyle name="Percent 2 22 6" xfId="16944"/>
    <cellStyle name="Percent 25 2 7" xfId="16945"/>
    <cellStyle name="Percent 25 2 2 6" xfId="16946"/>
    <cellStyle name="Percent 25 3 7" xfId="16947"/>
    <cellStyle name="Percent 25 3 2 6" xfId="16948"/>
    <cellStyle name="Percent 25 4 2 6" xfId="16949"/>
    <cellStyle name="Percent 25 5 6" xfId="16950"/>
    <cellStyle name="Percent 26 2 7" xfId="16951"/>
    <cellStyle name="Percent 26 2 2 6" xfId="16952"/>
    <cellStyle name="Percent 26 3 7" xfId="16953"/>
    <cellStyle name="Percent 26 3 2 6" xfId="16954"/>
    <cellStyle name="Percent 26 4 2 6" xfId="16955"/>
    <cellStyle name="Percent 26 5 6" xfId="16956"/>
    <cellStyle name="Percent 27 2 7" xfId="16957"/>
    <cellStyle name="Percent 27 2 2 6" xfId="16958"/>
    <cellStyle name="Percent 27 3 7" xfId="16959"/>
    <cellStyle name="Percent 27 3 2 6" xfId="16960"/>
    <cellStyle name="Percent 27 4 2 6" xfId="16961"/>
    <cellStyle name="Percent 27 5 6" xfId="16962"/>
    <cellStyle name="Percent 28 2 7" xfId="16963"/>
    <cellStyle name="Percent 28 2 2 6" xfId="16964"/>
    <cellStyle name="Percent 28 3 7" xfId="16965"/>
    <cellStyle name="Percent 28 3 2 6" xfId="16966"/>
    <cellStyle name="Percent 28 4 2 6" xfId="16967"/>
    <cellStyle name="Percent 28 5 6" xfId="16968"/>
    <cellStyle name="Percent 29 2 7" xfId="16969"/>
    <cellStyle name="Percent 29 2 2 6" xfId="16970"/>
    <cellStyle name="Percent 29 3 7" xfId="16971"/>
    <cellStyle name="Percent 29 3 2 6" xfId="16972"/>
    <cellStyle name="Percent 29 4 2 6" xfId="16973"/>
    <cellStyle name="Percent 29 5 6" xfId="16974"/>
    <cellStyle name="Percent 3 10 6" xfId="16975"/>
    <cellStyle name="Percent 3 11 6" xfId="16976"/>
    <cellStyle name="Percent 3 12 6" xfId="16977"/>
    <cellStyle name="Percent 3 13 6" xfId="16978"/>
    <cellStyle name="Percent 3 14 6" xfId="16979"/>
    <cellStyle name="Percent 3 15 6" xfId="16980"/>
    <cellStyle name="Percent 3 16 6" xfId="16981"/>
    <cellStyle name="Percent 3 17 6" xfId="16982"/>
    <cellStyle name="Percent 3 18 6" xfId="16983"/>
    <cellStyle name="Percent 3 19 6" xfId="16984"/>
    <cellStyle name="Percent 3 2 27" xfId="16985"/>
    <cellStyle name="Percent 3 2 10 6" xfId="16986"/>
    <cellStyle name="Percent 3 2 11 6" xfId="16987"/>
    <cellStyle name="Percent 3 2 12 6" xfId="16988"/>
    <cellStyle name="Percent 3 2 13 6" xfId="16989"/>
    <cellStyle name="Percent 3 2 14 6" xfId="16990"/>
    <cellStyle name="Percent 3 2 15 6" xfId="16991"/>
    <cellStyle name="Percent 3 2 16 6" xfId="16992"/>
    <cellStyle name="Percent 3 2 17 6" xfId="16993"/>
    <cellStyle name="Percent 3 2 18 6" xfId="16994"/>
    <cellStyle name="Percent 3 2 19 6" xfId="16995"/>
    <cellStyle name="Percent 3 2 2 2 6" xfId="16996"/>
    <cellStyle name="Percent 3 2 2 3 6" xfId="16997"/>
    <cellStyle name="Percent 3 2 2 4 6" xfId="16998"/>
    <cellStyle name="Percent 3 2 2 5 6" xfId="16999"/>
    <cellStyle name="Percent 3 2 20 6" xfId="17000"/>
    <cellStyle name="Percent 3 2 21 2 6" xfId="17001"/>
    <cellStyle name="Percent 3 2 3 10" xfId="17002"/>
    <cellStyle name="Percent 3 2 3 2 6" xfId="17003"/>
    <cellStyle name="Percent 3 2 3 3 6" xfId="17004"/>
    <cellStyle name="Percent 3 2 3 4 6" xfId="17005"/>
    <cellStyle name="Percent 3 2 3 5 6" xfId="17006"/>
    <cellStyle name="Percent 3 2 4 7" xfId="17007"/>
    <cellStyle name="Percent 3 2 4 2 6" xfId="17008"/>
    <cellStyle name="Percent 3 2 5 7" xfId="17009"/>
    <cellStyle name="Percent 3 2 5 2 6" xfId="17010"/>
    <cellStyle name="Percent 3 2 6 7" xfId="17011"/>
    <cellStyle name="Percent 3 2 6 2 6" xfId="17012"/>
    <cellStyle name="Percent 3 2 7 6" xfId="17013"/>
    <cellStyle name="Percent 3 2 8 6" xfId="17014"/>
    <cellStyle name="Percent 3 2 9 6" xfId="17015"/>
    <cellStyle name="Percent 3 20 6" xfId="17016"/>
    <cellStyle name="Percent 3 21 6" xfId="17017"/>
    <cellStyle name="Percent 3 3 2 6" xfId="17018"/>
    <cellStyle name="Percent 3 3 3 6" xfId="17019"/>
    <cellStyle name="Percent 3 3 4 6" xfId="17020"/>
    <cellStyle name="Percent 3 3 5 6" xfId="17021"/>
    <cellStyle name="Percent 3 4 10" xfId="17022"/>
    <cellStyle name="Percent 3 4 2 6" xfId="17023"/>
    <cellStyle name="Percent 3 4 3 6" xfId="17024"/>
    <cellStyle name="Percent 3 4 4 6" xfId="17025"/>
    <cellStyle name="Percent 3 4 5 6" xfId="17026"/>
    <cellStyle name="Percent 3 5 7" xfId="17027"/>
    <cellStyle name="Percent 3 5 2 6" xfId="17028"/>
    <cellStyle name="Percent 3 6 7" xfId="17029"/>
    <cellStyle name="Percent 3 6 2 6" xfId="17030"/>
    <cellStyle name="Percent 3 7 7" xfId="17031"/>
    <cellStyle name="Percent 3 7 2 6" xfId="17032"/>
    <cellStyle name="Percent 3 8 6" xfId="17033"/>
    <cellStyle name="Percent 3 9 6" xfId="17034"/>
    <cellStyle name="Percent 30 2 7" xfId="17035"/>
    <cellStyle name="Percent 30 2 2 6" xfId="17036"/>
    <cellStyle name="Percent 30 3 7" xfId="17037"/>
    <cellStyle name="Percent 30 3 2 6" xfId="17038"/>
    <cellStyle name="Percent 30 4 2 6" xfId="17039"/>
    <cellStyle name="Percent 30 5 6" xfId="17040"/>
    <cellStyle name="Percent 31 2 7" xfId="17041"/>
    <cellStyle name="Percent 31 2 2 6" xfId="17042"/>
    <cellStyle name="Percent 31 3 7" xfId="17043"/>
    <cellStyle name="Percent 31 3 2 6" xfId="17044"/>
    <cellStyle name="Percent 31 4 2 6" xfId="17045"/>
    <cellStyle name="Percent 31 5 6" xfId="17046"/>
    <cellStyle name="Percent 32 2 7" xfId="17047"/>
    <cellStyle name="Percent 32 2 2 6" xfId="17048"/>
    <cellStyle name="Percent 32 3 7" xfId="17049"/>
    <cellStyle name="Percent 32 3 2 6" xfId="17050"/>
    <cellStyle name="Percent 32 4 2 6" xfId="17051"/>
    <cellStyle name="Percent 32 5 6" xfId="17052"/>
    <cellStyle name="Percent 33 2 7" xfId="17053"/>
    <cellStyle name="Percent 33 2 2 6" xfId="17054"/>
    <cellStyle name="Percent 33 3 7" xfId="17055"/>
    <cellStyle name="Percent 33 3 2 6" xfId="17056"/>
    <cellStyle name="Percent 33 4 2 6" xfId="17057"/>
    <cellStyle name="Percent 33 5 6" xfId="17058"/>
    <cellStyle name="Percent 34 2 7" xfId="17059"/>
    <cellStyle name="Percent 34 2 2 6" xfId="17060"/>
    <cellStyle name="Percent 34 3 7" xfId="17061"/>
    <cellStyle name="Percent 34 3 2 6" xfId="17062"/>
    <cellStyle name="Percent 34 4 2 6" xfId="17063"/>
    <cellStyle name="Percent 34 5 6" xfId="17064"/>
    <cellStyle name="Percent 35 2 7" xfId="17065"/>
    <cellStyle name="Percent 35 2 2 6" xfId="17066"/>
    <cellStyle name="Percent 35 3 7" xfId="17067"/>
    <cellStyle name="Percent 35 3 2 6" xfId="17068"/>
    <cellStyle name="Percent 35 4 2 6" xfId="17069"/>
    <cellStyle name="Percent 35 5 6" xfId="17070"/>
    <cellStyle name="Currency 5 4 6" xfId="17071"/>
    <cellStyle name="Comma 5 7 6" xfId="17072"/>
    <cellStyle name="Percent 5 4 6" xfId="17073"/>
    <cellStyle name="Comma 6 5 6" xfId="17074"/>
    <cellStyle name="Currency 5 2 4 6" xfId="17075"/>
    <cellStyle name="Comma 5 2 4 6" xfId="17076"/>
    <cellStyle name="Percent 5 2 4 6" xfId="17077"/>
    <cellStyle name="Comma 6 2 3 6" xfId="17078"/>
    <cellStyle name="Currency 5 3 2 6" xfId="17079"/>
    <cellStyle name="Comma 5 3 2 6" xfId="17080"/>
    <cellStyle name="Percent 5 3 2 6" xfId="17081"/>
    <cellStyle name="Comma 6 3 4 6" xfId="17082"/>
    <cellStyle name="Normal 11 2 2 6" xfId="17083"/>
    <cellStyle name="Currency 5 2 2 2 6" xfId="17084"/>
    <cellStyle name="Comma 5 2 2 2 6" xfId="17085"/>
    <cellStyle name="Percent 5 2 2 2 7" xfId="17086"/>
    <cellStyle name="Comma 6 2 2 2 6" xfId="17087"/>
    <cellStyle name="Normal 51 6" xfId="17088"/>
    <cellStyle name="Comma 187 6" xfId="17089"/>
    <cellStyle name="Percent 163 6" xfId="17090"/>
    <cellStyle name="Currency 162 6" xfId="17091"/>
    <cellStyle name="Currency 5 6 5" xfId="17092"/>
    <cellStyle name="Currency 179 5" xfId="17093"/>
    <cellStyle name="Percent 180 5" xfId="17094"/>
    <cellStyle name="Comma 204 5" xfId="17095"/>
    <cellStyle name="Normal 8 26 5" xfId="17096"/>
    <cellStyle name="Comma 5 9 5" xfId="17097"/>
    <cellStyle name="Percent 5 6 5" xfId="17098"/>
    <cellStyle name="Comma 6 7 5" xfId="17099"/>
    <cellStyle name="Normal 11 5 5" xfId="17100"/>
    <cellStyle name="Currency 5 2 6 5" xfId="17101"/>
    <cellStyle name="Normal 8 2 7 5" xfId="17102"/>
    <cellStyle name="Comma 5 2 6 5" xfId="17103"/>
    <cellStyle name="Percent 5 2 6 5" xfId="17104"/>
    <cellStyle name="Comma 6 2 5 5" xfId="17105"/>
    <cellStyle name="Currency 5 3 4 5" xfId="17106"/>
    <cellStyle name="Normal 8 3 7 5" xfId="17107"/>
    <cellStyle name="Comma 5 3 4 5" xfId="17108"/>
    <cellStyle name="Percent 5 3 4 5" xfId="17109"/>
    <cellStyle name="Comma 6 3 6 5" xfId="17110"/>
    <cellStyle name="Normal 11 2 4 5" xfId="17111"/>
    <cellStyle name="Currency 5 2 2 4 5" xfId="17112"/>
    <cellStyle name="Normal 8 2 2 3 5" xfId="17113"/>
    <cellStyle name="Comma 5 2 2 4 5" xfId="17114"/>
    <cellStyle name="Percent 5 2 2 4 5" xfId="17115"/>
    <cellStyle name="Comma 6 2 2 3 5" xfId="17116"/>
    <cellStyle name="Normal 50 2 5" xfId="17117"/>
    <cellStyle name="Comma 186 2 5" xfId="17118"/>
    <cellStyle name="Percent 162 2 5" xfId="17119"/>
    <cellStyle name="Normal 2 24 2 5" xfId="17120"/>
    <cellStyle name="20% - Accent1 2 2 5" xfId="17121"/>
    <cellStyle name="20% - Accent1 3 2 5" xfId="17122"/>
    <cellStyle name="20% - Accent1 4 2 5" xfId="17123"/>
    <cellStyle name="20% - Accent1 5 2 5" xfId="17124"/>
    <cellStyle name="20% - Accent2 2 2 5" xfId="17125"/>
    <cellStyle name="20% - Accent2 3 2 5" xfId="17126"/>
    <cellStyle name="20% - Accent2 4 2 5" xfId="17127"/>
    <cellStyle name="20% - Accent2 5 2 5" xfId="17128"/>
    <cellStyle name="20% - Accent3 2 2 5" xfId="17129"/>
    <cellStyle name="20% - Accent3 3 2 5" xfId="17130"/>
    <cellStyle name="20% - Accent3 4 2 5" xfId="17131"/>
    <cellStyle name="20% - Accent3 5 2 5" xfId="17132"/>
    <cellStyle name="20% - Accent4 2 2 5" xfId="17133"/>
    <cellStyle name="20% - Accent4 3 2 5" xfId="17134"/>
    <cellStyle name="20% - Accent4 4 2 5" xfId="17135"/>
    <cellStyle name="20% - Accent4 5 2 5" xfId="17136"/>
    <cellStyle name="20% - Accent5 2 2 5" xfId="17137"/>
    <cellStyle name="20% - Accent5 3 2 5" xfId="17138"/>
    <cellStyle name="20% - Accent5 4 2 5" xfId="17139"/>
    <cellStyle name="20% - Accent6 2 2 5" xfId="17140"/>
    <cellStyle name="20% - Accent6 3 2 5" xfId="17141"/>
    <cellStyle name="20% - Accent6 4 2 5" xfId="17142"/>
    <cellStyle name="40% - Accent1 2 2 5" xfId="17143"/>
    <cellStyle name="40% - Accent1 3 2 5" xfId="17144"/>
    <cellStyle name="40% - Accent1 4 2 5" xfId="17145"/>
    <cellStyle name="40% - Accent1 5 2 5" xfId="17146"/>
    <cellStyle name="40% - Accent2 2 2 5" xfId="17147"/>
    <cellStyle name="40% - Accent2 3 2 5" xfId="17148"/>
    <cellStyle name="40% - Accent2 4 2 5" xfId="17149"/>
    <cellStyle name="40% - Accent3 2 2 5" xfId="17150"/>
    <cellStyle name="40% - Accent3 3 2 5" xfId="17151"/>
    <cellStyle name="40% - Accent3 4 2 5" xfId="17152"/>
    <cellStyle name="40% - Accent3 5 2 5" xfId="17153"/>
    <cellStyle name="40% - Accent4 2 2 5" xfId="17154"/>
    <cellStyle name="40% - Accent4 3 2 5" xfId="17155"/>
    <cellStyle name="40% - Accent4 4 2 5" xfId="17156"/>
    <cellStyle name="40% - Accent4 5 2 5" xfId="17157"/>
    <cellStyle name="40% - Accent5 2 2 5" xfId="17158"/>
    <cellStyle name="40% - Accent5 3 2 5" xfId="17159"/>
    <cellStyle name="40% - Accent5 4 2 5" xfId="17160"/>
    <cellStyle name="40% - Accent6 2 2 5" xfId="17161"/>
    <cellStyle name="40% - Accent6 3 2 5" xfId="17162"/>
    <cellStyle name="40% - Accent6 4 2 5" xfId="17163"/>
    <cellStyle name="40% - Accent6 5 2 5" xfId="17164"/>
    <cellStyle name="Comma 143 2 5" xfId="17165"/>
    <cellStyle name="Comma 144 2 5" xfId="17166"/>
    <cellStyle name="Comma 145 2 5" xfId="17167"/>
    <cellStyle name="Comma 146 2 5" xfId="17168"/>
    <cellStyle name="Comma 147 2 5" xfId="17169"/>
    <cellStyle name="Comma 148 2 5" xfId="17170"/>
    <cellStyle name="Comma 149 2 5" xfId="17171"/>
    <cellStyle name="Comma 150 2 5" xfId="17172"/>
    <cellStyle name="Comma 151 2 5" xfId="17173"/>
    <cellStyle name="Comma 152 2 5" xfId="17174"/>
    <cellStyle name="Comma 153 2 5" xfId="17175"/>
    <cellStyle name="Comma 182 2 5" xfId="17176"/>
    <cellStyle name="Comma 2 23 2 5" xfId="17177"/>
    <cellStyle name="Comma 2 2 10 2 5" xfId="17178"/>
    <cellStyle name="Comma 2 2 11 2 5" xfId="17179"/>
    <cellStyle name="Comma 2 2 12 2 5" xfId="17180"/>
    <cellStyle name="Comma 2 2 13 2 5" xfId="17181"/>
    <cellStyle name="Comma 2 2 14 2 5" xfId="17182"/>
    <cellStyle name="Comma 2 2 15 2 5" xfId="17183"/>
    <cellStyle name="Comma 2 2 16 2 5" xfId="17184"/>
    <cellStyle name="Comma 2 2 17 2 5" xfId="17185"/>
    <cellStyle name="Comma 2 2 2 2 6 5" xfId="17186"/>
    <cellStyle name="Comma 2 2 2 2 2 2 5" xfId="17187"/>
    <cellStyle name="Comma 2 2 2 2 3 2 5" xfId="17188"/>
    <cellStyle name="Comma 2 2 2 2 4 2 5" xfId="17189"/>
    <cellStyle name="Comma 2 2 2 2 5 2 5" xfId="17190"/>
    <cellStyle name="Comma 2 2 2 3 2 5" xfId="17191"/>
    <cellStyle name="Comma 2 2 2 4 2 5" xfId="17192"/>
    <cellStyle name="Comma 2 2 2 5 2 5" xfId="17193"/>
    <cellStyle name="Comma 2 2 2 6 2 5" xfId="17194"/>
    <cellStyle name="Comma 2 2 3 6 5" xfId="17195"/>
    <cellStyle name="Comma 2 2 3 2 2 2 5" xfId="17196"/>
    <cellStyle name="Comma 2 2 3 2 3 2 5" xfId="17197"/>
    <cellStyle name="Comma 2 2 3 2 4 2 5" xfId="17198"/>
    <cellStyle name="Comma 2 2 3 2 5 2 5" xfId="17199"/>
    <cellStyle name="Comma 2 2 3 3 2 5" xfId="17200"/>
    <cellStyle name="Comma 2 2 4 2 2 5" xfId="17201"/>
    <cellStyle name="Comma 2 2 5 2 5" xfId="17202"/>
    <cellStyle name="Comma 2 2 6 2 5" xfId="17203"/>
    <cellStyle name="Comma 2 2 7 2 5" xfId="17204"/>
    <cellStyle name="Comma 2 2 8 2 5" xfId="17205"/>
    <cellStyle name="Comma 2 2 9 2 5" xfId="17206"/>
    <cellStyle name="Comma 3 10 2 5" xfId="17207"/>
    <cellStyle name="Comma 3 11 2 5" xfId="17208"/>
    <cellStyle name="Comma 3 12 2 5" xfId="17209"/>
    <cellStyle name="Comma 3 13 2 5" xfId="17210"/>
    <cellStyle name="Comma 3 14 2 5" xfId="17211"/>
    <cellStyle name="Comma 3 15 2 5" xfId="17212"/>
    <cellStyle name="Comma 3 16 2 5" xfId="17213"/>
    <cellStyle name="Comma 3 17 2 5" xfId="17214"/>
    <cellStyle name="Comma 3 18 2 5" xfId="17215"/>
    <cellStyle name="Comma 3 19 2 5" xfId="17216"/>
    <cellStyle name="Comma 3 2 2 2 5" xfId="17217"/>
    <cellStyle name="Comma 3 2 3 2 5" xfId="17218"/>
    <cellStyle name="Comma 3 2 4 2 5" xfId="17219"/>
    <cellStyle name="Comma 3 2 5 2 5" xfId="17220"/>
    <cellStyle name="Comma 3 20 2 5" xfId="17221"/>
    <cellStyle name="Comma 3 21 2 5" xfId="17222"/>
    <cellStyle name="Comma 3 3 6 5" xfId="17223"/>
    <cellStyle name="Comma 3 3 2 2 5" xfId="17224"/>
    <cellStyle name="Comma 3 3 3 2 5" xfId="17225"/>
    <cellStyle name="Comma 3 3 4 2 5" xfId="17226"/>
    <cellStyle name="Comma 3 3 5 2 5" xfId="17227"/>
    <cellStyle name="Comma 3 4 3 5" xfId="17228"/>
    <cellStyle name="Comma 3 4 2 2 5" xfId="17229"/>
    <cellStyle name="Comma 3 5 3 5" xfId="17230"/>
    <cellStyle name="Comma 3 5 2 2 5" xfId="17231"/>
    <cellStyle name="Comma 3 6 3 5" xfId="17232"/>
    <cellStyle name="Comma 3 6 2 2 5" xfId="17233"/>
    <cellStyle name="Comma 3 7 2 5" xfId="17234"/>
    <cellStyle name="Comma 3 8 2 5" xfId="17235"/>
    <cellStyle name="Comma 3 9 2 5" xfId="17236"/>
    <cellStyle name="Currency 120 2 5" xfId="17237"/>
    <cellStyle name="Currency 121 2 5" xfId="17238"/>
    <cellStyle name="Currency 122 2 5" xfId="17239"/>
    <cellStyle name="Currency 123 2 5" xfId="17240"/>
    <cellStyle name="Currency 124 2 5" xfId="17241"/>
    <cellStyle name="Currency 125 2 5" xfId="17242"/>
    <cellStyle name="Currency 126 2 5" xfId="17243"/>
    <cellStyle name="Currency 127 2 5" xfId="17244"/>
    <cellStyle name="Currency 128 2 5" xfId="17245"/>
    <cellStyle name="Currency 129 2 5" xfId="17246"/>
    <cellStyle name="Currency 130 2 5" xfId="17247"/>
    <cellStyle name="Currency 159 2 5" xfId="17248"/>
    <cellStyle name="Currency 2 27 2 5" xfId="17249"/>
    <cellStyle name="Currency 2 2 20 2 5" xfId="17250"/>
    <cellStyle name="Currency 2 2 10 2 5" xfId="17251"/>
    <cellStyle name="Currency 2 2 11 2 5" xfId="17252"/>
    <cellStyle name="Currency 2 2 12 2 5" xfId="17253"/>
    <cellStyle name="Currency 2 2 13 2 5" xfId="17254"/>
    <cellStyle name="Currency 2 2 14 2 5" xfId="17255"/>
    <cellStyle name="Currency 2 2 15 2 5" xfId="17256"/>
    <cellStyle name="Currency 2 2 16 2 5" xfId="17257"/>
    <cellStyle name="Currency 2 2 17 2 5" xfId="17258"/>
    <cellStyle name="Currency 2 2 18 2 5" xfId="17259"/>
    <cellStyle name="Currency 2 2 2 2 2 5" xfId="17260"/>
    <cellStyle name="Currency 2 2 2 3 2 5" xfId="17261"/>
    <cellStyle name="Currency 2 2 2 4 2 5" xfId="17262"/>
    <cellStyle name="Currency 2 2 2 5 2 5" xfId="17263"/>
    <cellStyle name="Currency 2 2 3 6 5" xfId="17264"/>
    <cellStyle name="Currency 2 2 3 2 2 5" xfId="17265"/>
    <cellStyle name="Currency 2 2 3 3 2 5" xfId="17266"/>
    <cellStyle name="Currency 2 2 3 4 2 5" xfId="17267"/>
    <cellStyle name="Currency 2 2 3 5 2 5" xfId="17268"/>
    <cellStyle name="Currency 2 2 4 2 5" xfId="17269"/>
    <cellStyle name="Currency 2 2 5 2 5" xfId="17270"/>
    <cellStyle name="Currency 2 2 6 2 5" xfId="17271"/>
    <cellStyle name="Currency 2 2 7 2 5" xfId="17272"/>
    <cellStyle name="Currency 2 2 8 2 5" xfId="17273"/>
    <cellStyle name="Currency 2 2 9 2 5" xfId="17274"/>
    <cellStyle name="Currency 3 10 2 5" xfId="17275"/>
    <cellStyle name="Currency 3 11 2 5" xfId="17276"/>
    <cellStyle name="Currency 3 12 2 5" xfId="17277"/>
    <cellStyle name="Currency 3 13 2 5" xfId="17278"/>
    <cellStyle name="Currency 3 14 2 5" xfId="17279"/>
    <cellStyle name="Currency 3 15 2 5" xfId="17280"/>
    <cellStyle name="Currency 3 16 2 5" xfId="17281"/>
    <cellStyle name="Currency 3 17 2 5" xfId="17282"/>
    <cellStyle name="Currency 3 18 2 5" xfId="17283"/>
    <cellStyle name="Currency 3 19 2 5" xfId="17284"/>
    <cellStyle name="Currency 3 2 2 2 5" xfId="17285"/>
    <cellStyle name="Currency 3 2 3 2 5" xfId="17286"/>
    <cellStyle name="Currency 3 2 4 2 5" xfId="17287"/>
    <cellStyle name="Currency 3 2 5 2 5" xfId="17288"/>
    <cellStyle name="Currency 3 20 2 5" xfId="17289"/>
    <cellStyle name="Currency 3 21 2 5" xfId="17290"/>
    <cellStyle name="Currency 3 3 8 5" xfId="17291"/>
    <cellStyle name="Currency 3 3 2 2 5" xfId="17292"/>
    <cellStyle name="Currency 3 3 3 2 5" xfId="17293"/>
    <cellStyle name="Currency 3 3 4 2 5" xfId="17294"/>
    <cellStyle name="Currency 3 3 5 2 5" xfId="17295"/>
    <cellStyle name="Currency 3 3 6 2 5" xfId="17296"/>
    <cellStyle name="Currency 3 4 3 5" xfId="17297"/>
    <cellStyle name="Currency 3 4 2 2 5" xfId="17298"/>
    <cellStyle name="Currency 3 5 3 5" xfId="17299"/>
    <cellStyle name="Currency 3 5 2 2 5" xfId="17300"/>
    <cellStyle name="Currency 3 6 3 5" xfId="17301"/>
    <cellStyle name="Currency 3 6 2 2 5" xfId="17302"/>
    <cellStyle name="Currency 3 7 2 5" xfId="17303"/>
    <cellStyle name="Currency 3 8 2 5" xfId="17304"/>
    <cellStyle name="Currency 3 9 2 5" xfId="17305"/>
    <cellStyle name="Normal 10 3 6 5" xfId="17306"/>
    <cellStyle name="Normal 10 3 2 5 5" xfId="17307"/>
    <cellStyle name="Normal 10 3 2 2 3 5" xfId="17308"/>
    <cellStyle name="Normal 10 3 2 2 2 2 5" xfId="17309"/>
    <cellStyle name="Normal 10 3 2 3 3 5" xfId="17310"/>
    <cellStyle name="Normal 10 3 2 3 2 2 5" xfId="17311"/>
    <cellStyle name="Normal 10 3 2 4 2 5" xfId="17312"/>
    <cellStyle name="Normal 10 3 3 3 5" xfId="17313"/>
    <cellStyle name="Normal 10 3 3 2 2 5" xfId="17314"/>
    <cellStyle name="Normal 10 3 4 3 5" xfId="17315"/>
    <cellStyle name="Normal 10 3 4 2 2 5" xfId="17316"/>
    <cellStyle name="Normal 10 3 5 2 5" xfId="17317"/>
    <cellStyle name="Normal 10 4 5 5" xfId="17318"/>
    <cellStyle name="Normal 10 4 2 3 5" xfId="17319"/>
    <cellStyle name="Normal 10 4 2 2 2 5" xfId="17320"/>
    <cellStyle name="Normal 10 4 3 3 5" xfId="17321"/>
    <cellStyle name="Normal 10 4 3 2 2 5" xfId="17322"/>
    <cellStyle name="Normal 10 4 4 2 5" xfId="17323"/>
    <cellStyle name="Normal 10 5 5 5" xfId="17324"/>
    <cellStyle name="Normal 10 5 2 3 5" xfId="17325"/>
    <cellStyle name="Normal 10 5 2 2 2 5" xfId="17326"/>
    <cellStyle name="Normal 10 5 3 3 5" xfId="17327"/>
    <cellStyle name="Normal 10 5 3 2 2 5" xfId="17328"/>
    <cellStyle name="Normal 10 5 4 2 5" xfId="17329"/>
    <cellStyle name="Normal 10 6 3 5" xfId="17330"/>
    <cellStyle name="Normal 10 6 2 2 5" xfId="17331"/>
    <cellStyle name="Normal 10 7 3 5" xfId="17332"/>
    <cellStyle name="Normal 10 7 2 2 5" xfId="17333"/>
    <cellStyle name="Normal 10 8 2 2 5" xfId="17334"/>
    <cellStyle name="Normal 10 9 2 5" xfId="17335"/>
    <cellStyle name="Normal 11 4 2 5" xfId="17336"/>
    <cellStyle name="Normal 11 3 2 5" xfId="17337"/>
    <cellStyle name="Normal 12 8 5" xfId="17338"/>
    <cellStyle name="Normal 12 2 2 5 5" xfId="17339"/>
    <cellStyle name="Normal 12 2 2 2 3 5" xfId="17340"/>
    <cellStyle name="Normal 12 2 2 2 2 2 5" xfId="17341"/>
    <cellStyle name="Normal 12 2 2 3 3 5" xfId="17342"/>
    <cellStyle name="Normal 12 2 2 3 2 2 5" xfId="17343"/>
    <cellStyle name="Normal 12 2 2 4 2 5" xfId="17344"/>
    <cellStyle name="Normal 12 2 3 3 5" xfId="17345"/>
    <cellStyle name="Normal 12 2 3 2 2 5" xfId="17346"/>
    <cellStyle name="Normal 12 2 4 3 5" xfId="17347"/>
    <cellStyle name="Normal 12 2 4 2 2 5" xfId="17348"/>
    <cellStyle name="Normal 12 2 5 2 2 5" xfId="17349"/>
    <cellStyle name="Normal 12 2 6 2 5" xfId="17350"/>
    <cellStyle name="Normal 12 3 5 5" xfId="17351"/>
    <cellStyle name="Normal 12 3 2 3 5" xfId="17352"/>
    <cellStyle name="Normal 12 3 2 2 2 5" xfId="17353"/>
    <cellStyle name="Normal 12 3 3 3 5" xfId="17354"/>
    <cellStyle name="Normal 12 3 3 2 2 5" xfId="17355"/>
    <cellStyle name="Normal 12 3 4 2 5" xfId="17356"/>
    <cellStyle name="Normal 12 4 5 5" xfId="17357"/>
    <cellStyle name="Normal 12 4 2 3 5" xfId="17358"/>
    <cellStyle name="Normal 12 4 2 2 2 5" xfId="17359"/>
    <cellStyle name="Normal 12 4 3 3 5" xfId="17360"/>
    <cellStyle name="Normal 12 4 3 2 2 5" xfId="17361"/>
    <cellStyle name="Normal 12 4 4 2 5" xfId="17362"/>
    <cellStyle name="Normal 12 5 3 5" xfId="17363"/>
    <cellStyle name="Normal 12 5 2 2 5" xfId="17364"/>
    <cellStyle name="Normal 12 6 3 5" xfId="17365"/>
    <cellStyle name="Normal 12 6 2 2 5" xfId="17366"/>
    <cellStyle name="Normal 12 7 2 5" xfId="17367"/>
    <cellStyle name="Normal 15 6 5" xfId="17368"/>
    <cellStyle name="Normal 15 3 2 5" xfId="17369"/>
    <cellStyle name="Normal 16 2 5 5" xfId="17370"/>
    <cellStyle name="Normal 16 2 2 3 5" xfId="17371"/>
    <cellStyle name="Normal 16 2 2 2 2 5" xfId="17372"/>
    <cellStyle name="Normal 16 2 3 3 5" xfId="17373"/>
    <cellStyle name="Normal 16 2 3 2 2 5" xfId="17374"/>
    <cellStyle name="Normal 16 2 4 2 5" xfId="17375"/>
    <cellStyle name="Normal 16 3 3 5" xfId="17376"/>
    <cellStyle name="Normal 16 3 2 2 5" xfId="17377"/>
    <cellStyle name="Normal 16 4 3 5" xfId="17378"/>
    <cellStyle name="Normal 16 4 2 2 5" xfId="17379"/>
    <cellStyle name="Normal 16 5 2 2 5" xfId="17380"/>
    <cellStyle name="Normal 16 6 2 5" xfId="17381"/>
    <cellStyle name="Normal 17 2 5 5" xfId="17382"/>
    <cellStyle name="Normal 17 2 2 3 5" xfId="17383"/>
    <cellStyle name="Normal 17 2 2 2 2 5" xfId="17384"/>
    <cellStyle name="Normal 17 2 3 3 5" xfId="17385"/>
    <cellStyle name="Normal 17 2 3 2 2 5" xfId="17386"/>
    <cellStyle name="Normal 17 2 4 2 5" xfId="17387"/>
    <cellStyle name="Normal 17 3 3 5" xfId="17388"/>
    <cellStyle name="Normal 17 3 2 2 5" xfId="17389"/>
    <cellStyle name="Normal 17 4 3 5" xfId="17390"/>
    <cellStyle name="Normal 17 4 2 2 5" xfId="17391"/>
    <cellStyle name="Normal 17 5 2 2 5" xfId="17392"/>
    <cellStyle name="Normal 17 6 2 5" xfId="17393"/>
    <cellStyle name="Normal 2 10 3 2 5" xfId="17394"/>
    <cellStyle name="Normal 2 11 3 2 5" xfId="17395"/>
    <cellStyle name="Normal 2 12 3 2 5" xfId="17396"/>
    <cellStyle name="Normal 2 13 3 2 5" xfId="17397"/>
    <cellStyle name="Normal 2 14 3 2 5" xfId="17398"/>
    <cellStyle name="Normal 2 15 3 2 5" xfId="17399"/>
    <cellStyle name="Normal 2 16 3 2 5" xfId="17400"/>
    <cellStyle name="Normal 2 17 3 2 5" xfId="17401"/>
    <cellStyle name="Normal 2 18 3 2 5" xfId="17402"/>
    <cellStyle name="Normal 2 19 3 2 5" xfId="17403"/>
    <cellStyle name="Normal 2 2 10 2 5" xfId="17404"/>
    <cellStyle name="Normal 2 2 11 2 5" xfId="17405"/>
    <cellStyle name="Normal 2 2 12 2 5" xfId="17406"/>
    <cellStyle name="Normal 2 2 13 2 5" xfId="17407"/>
    <cellStyle name="Normal 2 2 14 2 5" xfId="17408"/>
    <cellStyle name="Normal 2 2 15 2 5" xfId="17409"/>
    <cellStyle name="Normal 2 2 16 2 5" xfId="17410"/>
    <cellStyle name="Normal 2 2 17 2 5" xfId="17411"/>
    <cellStyle name="Normal 2 2 18 2 5" xfId="17412"/>
    <cellStyle name="Normal 2 2 19 2 5" xfId="17413"/>
    <cellStyle name="Normal 2 2 2 2 6 5" xfId="17414"/>
    <cellStyle name="Normal 2 2 2 2 2 3 5" xfId="17415"/>
    <cellStyle name="Normal 2 2 2 2 2 2 2 5" xfId="17416"/>
    <cellStyle name="Normal 2 2 2 2 3 2 5" xfId="17417"/>
    <cellStyle name="Normal 2 2 2 2 4 2 5" xfId="17418"/>
    <cellStyle name="Normal 2 2 2 2 5 2 5" xfId="17419"/>
    <cellStyle name="Normal 2 2 20 2 5" xfId="17420"/>
    <cellStyle name="Normal 2 2 21 2 5" xfId="17421"/>
    <cellStyle name="Normal 2 2 22 2 5" xfId="17422"/>
    <cellStyle name="Normal 2 2 3 9 5" xfId="17423"/>
    <cellStyle name="Normal 2 2 3 2 2 5" xfId="17424"/>
    <cellStyle name="Normal 2 2 3 3 2 5" xfId="17425"/>
    <cellStyle name="Normal 2 2 3 4 2 5" xfId="17426"/>
    <cellStyle name="Normal 2 2 3 5 2 5" xfId="17427"/>
    <cellStyle name="Normal 2 2 3 6 2 5" xfId="17428"/>
    <cellStyle name="Normal 2 2 4 5 5" xfId="17429"/>
    <cellStyle name="Normal 2 2 4 2 2 5" xfId="17430"/>
    <cellStyle name="Normal 2 2 5 4 5" xfId="17431"/>
    <cellStyle name="Normal 2 2 5 2 2 5" xfId="17432"/>
    <cellStyle name="Normal 2 2 6 2 5" xfId="17433"/>
    <cellStyle name="Normal 2 2 7 2 5" xfId="17434"/>
    <cellStyle name="Normal 2 2 8 2 5" xfId="17435"/>
    <cellStyle name="Normal 2 2 9 2 5" xfId="17436"/>
    <cellStyle name="Normal 2 20 2 5" xfId="17437"/>
    <cellStyle name="Normal 2 3 2 3 5" xfId="17438"/>
    <cellStyle name="Normal 2 3 3 2 5" xfId="17439"/>
    <cellStyle name="Normal 2 3 4 2 5" xfId="17440"/>
    <cellStyle name="Normal 2 3 5 2 5" xfId="17441"/>
    <cellStyle name="Normal 2 3 6 2 5" xfId="17442"/>
    <cellStyle name="Normal 2 4 5 2 5" xfId="17443"/>
    <cellStyle name="Normal 2 4 2 2 5" xfId="17444"/>
    <cellStyle name="Normal 2 5 3 2 5" xfId="17445"/>
    <cellStyle name="Normal 2 6 3 2 5" xfId="17446"/>
    <cellStyle name="Normal 2 7 3 2 5" xfId="17447"/>
    <cellStyle name="Normal 2 8 3 2 5" xfId="17448"/>
    <cellStyle name="Normal 2 9 3 2 5" xfId="17449"/>
    <cellStyle name="Normal 21 9 5" xfId="17450"/>
    <cellStyle name="Normal 21 2 7 5" xfId="17451"/>
    <cellStyle name="Normal 21 2 2 2 5" xfId="17452"/>
    <cellStyle name="Normal 21 2 3 2 5" xfId="17453"/>
    <cellStyle name="Normal 21 2 4 2 5" xfId="17454"/>
    <cellStyle name="Normal 21 2 5 2 5" xfId="17455"/>
    <cellStyle name="Normal 21 2 6 2 5" xfId="17456"/>
    <cellStyle name="Normal 21 3 3 5" xfId="17457"/>
    <cellStyle name="Normal 21 3 2 2 5" xfId="17458"/>
    <cellStyle name="Normal 21 4 2 5" xfId="17459"/>
    <cellStyle name="Normal 21 5 2 5" xfId="17460"/>
    <cellStyle name="Normal 21 6 2 5" xfId="17461"/>
    <cellStyle name="Normal 21 8 2 5" xfId="17462"/>
    <cellStyle name="Normal 22 8 5" xfId="17463"/>
    <cellStyle name="Normal 22 2 7 5" xfId="17464"/>
    <cellStyle name="Normal 22 2 2 2 5" xfId="17465"/>
    <cellStyle name="Normal 22 2 3 2 5" xfId="17466"/>
    <cellStyle name="Normal 22 2 4 2 5" xfId="17467"/>
    <cellStyle name="Normal 22 2 5 2 5" xfId="17468"/>
    <cellStyle name="Normal 22 3 2 5" xfId="17469"/>
    <cellStyle name="Normal 22 4 2 5" xfId="17470"/>
    <cellStyle name="Normal 22 5 2 5" xfId="17471"/>
    <cellStyle name="Normal 22 6 2 5" xfId="17472"/>
    <cellStyle name="Normal 23 8 5" xfId="17473"/>
    <cellStyle name="Normal 23 2 6 5" xfId="17474"/>
    <cellStyle name="Normal 23 2 2 2 5" xfId="17475"/>
    <cellStyle name="Normal 23 2 3 2 5" xfId="17476"/>
    <cellStyle name="Normal 23 2 4 2 5" xfId="17477"/>
    <cellStyle name="Normal 23 2 5 2 5" xfId="17478"/>
    <cellStyle name="Normal 23 3 2 5" xfId="17479"/>
    <cellStyle name="Normal 23 4 2 5" xfId="17480"/>
    <cellStyle name="Normal 23 5 2 5" xfId="17481"/>
    <cellStyle name="Normal 23 6 2 5" xfId="17482"/>
    <cellStyle name="Normal 24 8 5" xfId="17483"/>
    <cellStyle name="Normal 24 2 6 5" xfId="17484"/>
    <cellStyle name="Normal 24 2 2 2 5" xfId="17485"/>
    <cellStyle name="Normal 24 2 3 2 5" xfId="17486"/>
    <cellStyle name="Normal 24 2 4 2 5" xfId="17487"/>
    <cellStyle name="Normal 24 2 5 2 5" xfId="17488"/>
    <cellStyle name="Normal 24 3 2 5" xfId="17489"/>
    <cellStyle name="Normal 24 4 2 5" xfId="17490"/>
    <cellStyle name="Normal 24 5 2 5" xfId="17491"/>
    <cellStyle name="Normal 24 6 2 5" xfId="17492"/>
    <cellStyle name="Normal 26 8 5" xfId="17493"/>
    <cellStyle name="Normal 26 2 6 5" xfId="17494"/>
    <cellStyle name="Normal 26 2 2 2 5" xfId="17495"/>
    <cellStyle name="Normal 26 2 3 2 5" xfId="17496"/>
    <cellStyle name="Normal 26 2 4 2 5" xfId="17497"/>
    <cellStyle name="Normal 26 2 5 2 5" xfId="17498"/>
    <cellStyle name="Normal 26 3 2 5" xfId="17499"/>
    <cellStyle name="Normal 26 4 2 5" xfId="17500"/>
    <cellStyle name="Normal 26 5 2 5" xfId="17501"/>
    <cellStyle name="Normal 26 6 2 5" xfId="17502"/>
    <cellStyle name="Normal 3 10 2 5" xfId="17503"/>
    <cellStyle name="Normal 3 11 2 5" xfId="17504"/>
    <cellStyle name="Normal 3 12 2 5" xfId="17505"/>
    <cellStyle name="Normal 3 13 2 5" xfId="17506"/>
    <cellStyle name="Normal 3 14 2 5" xfId="17507"/>
    <cellStyle name="Normal 3 15 2 5" xfId="17508"/>
    <cellStyle name="Normal 3 16 2 5" xfId="17509"/>
    <cellStyle name="Normal 3 17 2 5" xfId="17510"/>
    <cellStyle name="Normal 3 18 2 5" xfId="17511"/>
    <cellStyle name="Normal 3 19 2 5" xfId="17512"/>
    <cellStyle name="Normal 3 2 2 2 5" xfId="17513"/>
    <cellStyle name="Normal 3 2 3 2 5" xfId="17514"/>
    <cellStyle name="Normal 3 2 4 2 5" xfId="17515"/>
    <cellStyle name="Normal 3 2 5 2 5" xfId="17516"/>
    <cellStyle name="Normal 3 2 6 2 5" xfId="17517"/>
    <cellStyle name="Normal 3 20 2 5" xfId="17518"/>
    <cellStyle name="Normal 3 21 2 5" xfId="17519"/>
    <cellStyle name="Normal 3 22 2 5" xfId="17520"/>
    <cellStyle name="Normal 3 23 2 5" xfId="17521"/>
    <cellStyle name="Normal 3 24 2 5" xfId="17522"/>
    <cellStyle name="Normal 3 3 5 5" xfId="17523"/>
    <cellStyle name="Normal 3 3 2 2 5" xfId="17524"/>
    <cellStyle name="Normal 3 3 3 2 5" xfId="17525"/>
    <cellStyle name="Normal 3 4 3 5" xfId="17526"/>
    <cellStyle name="Normal 3 4 2 2 5" xfId="17527"/>
    <cellStyle name="Normal 3 5 3 5" xfId="17528"/>
    <cellStyle name="Normal 3 5 2 2 5" xfId="17529"/>
    <cellStyle name="Normal 3 6 2 5" xfId="17530"/>
    <cellStyle name="Normal 3 7 2 5" xfId="17531"/>
    <cellStyle name="Normal 3 8 2 5" xfId="17532"/>
    <cellStyle name="Normal 3 9 2 5" xfId="17533"/>
    <cellStyle name="Normal 4 2 10 2 5" xfId="17534"/>
    <cellStyle name="Normal 4 2 11 2 5" xfId="17535"/>
    <cellStyle name="Normal 4 2 12 2 5" xfId="17536"/>
    <cellStyle name="Normal 4 2 13 2 5" xfId="17537"/>
    <cellStyle name="Normal 4 2 14 2 5" xfId="17538"/>
    <cellStyle name="Normal 4 2 15 2 5" xfId="17539"/>
    <cellStyle name="Normal 4 2 16 2 5" xfId="17540"/>
    <cellStyle name="Normal 4 2 17 2 5" xfId="17541"/>
    <cellStyle name="Normal 4 2 18 2 5" xfId="17542"/>
    <cellStyle name="Normal 4 2 19 2 5" xfId="17543"/>
    <cellStyle name="Normal 4 2 2 6 5" xfId="17544"/>
    <cellStyle name="Normal 4 2 2 2 2 5" xfId="17545"/>
    <cellStyle name="Normal 4 2 2 3 2 5" xfId="17546"/>
    <cellStyle name="Normal 4 2 2 4 2 5" xfId="17547"/>
    <cellStyle name="Normal 4 2 2 5 2 5" xfId="17548"/>
    <cellStyle name="Normal 4 2 20 2 5" xfId="17549"/>
    <cellStyle name="Normal 4 2 21 2 5" xfId="17550"/>
    <cellStyle name="Normal 4 2 22 2 5" xfId="17551"/>
    <cellStyle name="Normal 4 2 23 2 5" xfId="17552"/>
    <cellStyle name="Normal 4 2 24 2 5" xfId="17553"/>
    <cellStyle name="Normal 4 2 3 3 5" xfId="17554"/>
    <cellStyle name="Normal 4 2 3 2 2 5" xfId="17555"/>
    <cellStyle name="Normal 4 2 4 3 5" xfId="17556"/>
    <cellStyle name="Normal 4 2 4 2 2 5" xfId="17557"/>
    <cellStyle name="Normal 4 2 5 3 5" xfId="17558"/>
    <cellStyle name="Normal 4 2 5 2 2 5" xfId="17559"/>
    <cellStyle name="Normal 4 2 6 2 5" xfId="17560"/>
    <cellStyle name="Normal 4 2 7 2 5" xfId="17561"/>
    <cellStyle name="Normal 4 2 8 2 5" xfId="17562"/>
    <cellStyle name="Normal 4 2 9 2 5" xfId="17563"/>
    <cellStyle name="Normal 4 3 7 5" xfId="17564"/>
    <cellStyle name="Normal 4 3 2 6 5" xfId="17565"/>
    <cellStyle name="Normal 4 3 2 2 5 5" xfId="17566"/>
    <cellStyle name="Normal 4 3 2 2 2 3 5" xfId="17567"/>
    <cellStyle name="Normal 4 3 2 2 2 2 2 5" xfId="17568"/>
    <cellStyle name="Normal 4 3 2 2 3 3 5" xfId="17569"/>
    <cellStyle name="Normal 4 3 2 2 3 2 2 5" xfId="17570"/>
    <cellStyle name="Normal 4 3 2 2 4 2 5" xfId="17571"/>
    <cellStyle name="Normal 4 3 2 3 3 5" xfId="17572"/>
    <cellStyle name="Normal 4 3 2 3 2 2 5" xfId="17573"/>
    <cellStyle name="Normal 4 3 2 4 3 5" xfId="17574"/>
    <cellStyle name="Normal 4 3 2 4 2 2 5" xfId="17575"/>
    <cellStyle name="Normal 4 3 2 5 2 5" xfId="17576"/>
    <cellStyle name="Normal 4 3 3 5 5" xfId="17577"/>
    <cellStyle name="Normal 4 3 3 2 3 5" xfId="17578"/>
    <cellStyle name="Normal 4 3 3 2 2 2 5" xfId="17579"/>
    <cellStyle name="Normal 4 3 3 3 3 5" xfId="17580"/>
    <cellStyle name="Normal 4 3 3 3 2 2 5" xfId="17581"/>
    <cellStyle name="Normal 4 3 3 4 2 5" xfId="17582"/>
    <cellStyle name="Normal 4 3 4 3 5" xfId="17583"/>
    <cellStyle name="Normal 4 3 4 2 2 5" xfId="17584"/>
    <cellStyle name="Normal 4 3 5 3 5" xfId="17585"/>
    <cellStyle name="Normal 4 3 5 2 2 5" xfId="17586"/>
    <cellStyle name="Normal 4 3 6 2 5" xfId="17587"/>
    <cellStyle name="Normal 4 4 4 5" xfId="17588"/>
    <cellStyle name="Normal 4 4 2 2 5" xfId="17589"/>
    <cellStyle name="Normal 4 5 2 5" xfId="17590"/>
    <cellStyle name="Normal 4 6 2 5" xfId="17591"/>
    <cellStyle name="Normal 4 7 2 5" xfId="17592"/>
    <cellStyle name="Normal 4 8 2 5" xfId="17593"/>
    <cellStyle name="Normal 41 2 2 5" xfId="17594"/>
    <cellStyle name="Normal 46 2 5" xfId="17595"/>
    <cellStyle name="Normal 5 28 2 5" xfId="17596"/>
    <cellStyle name="Normal 5 2 7 5" xfId="17597"/>
    <cellStyle name="Normal 5 2 2 2 2 2 5" xfId="17598"/>
    <cellStyle name="Normal 5 2 2 3 2 5" xfId="17599"/>
    <cellStyle name="Normal 5 2 3 2 2 2 5" xfId="17600"/>
    <cellStyle name="Normal 5 2 3 3 2 5" xfId="17601"/>
    <cellStyle name="Normal 5 2 4 2 2 5" xfId="17602"/>
    <cellStyle name="Normal 5 2 6 2 5" xfId="17603"/>
    <cellStyle name="Normal 5 24 2 5" xfId="17604"/>
    <cellStyle name="Normal 5 3 3 5" xfId="17605"/>
    <cellStyle name="Normal 5 4 3 5" xfId="17606"/>
    <cellStyle name="Normal 5 5 3 5" xfId="17607"/>
    <cellStyle name="Normal 5 6 3 5" xfId="17608"/>
    <cellStyle name="Normal 5 7 3 5" xfId="17609"/>
    <cellStyle name="Normal 7 25 2 5" xfId="17610"/>
    <cellStyle name="Normal 7 10 2 5" xfId="17611"/>
    <cellStyle name="Normal 7 11 2 5" xfId="17612"/>
    <cellStyle name="Normal 7 12 2 5" xfId="17613"/>
    <cellStyle name="Normal 7 13 2 5" xfId="17614"/>
    <cellStyle name="Normal 7 14 2 5" xfId="17615"/>
    <cellStyle name="Normal 7 15 2 5" xfId="17616"/>
    <cellStyle name="Normal 7 16 2 5" xfId="17617"/>
    <cellStyle name="Normal 7 17 2 5" xfId="17618"/>
    <cellStyle name="Normal 7 18 2 5" xfId="17619"/>
    <cellStyle name="Normal 7 19 2 5" xfId="17620"/>
    <cellStyle name="Normal 7 2 6 5" xfId="17621"/>
    <cellStyle name="Normal 7 2 2 2 5" xfId="17622"/>
    <cellStyle name="Normal 7 2 3 2 5" xfId="17623"/>
    <cellStyle name="Normal 7 2 4 2 5" xfId="17624"/>
    <cellStyle name="Normal 7 2 5 2 5" xfId="17625"/>
    <cellStyle name="Normal 7 20 2 5" xfId="17626"/>
    <cellStyle name="Normal 7 22 2 5" xfId="17627"/>
    <cellStyle name="Normal 7 3 6 5" xfId="17628"/>
    <cellStyle name="Normal 7 3 2 2 5" xfId="17629"/>
    <cellStyle name="Normal 7 3 3 2 5" xfId="17630"/>
    <cellStyle name="Normal 7 3 4 2 5" xfId="17631"/>
    <cellStyle name="Normal 7 3 5 2 5" xfId="17632"/>
    <cellStyle name="Normal 7 4 2 5" xfId="17633"/>
    <cellStyle name="Normal 7 5 2 5" xfId="17634"/>
    <cellStyle name="Normal 7 6 2 5" xfId="17635"/>
    <cellStyle name="Normal 7 7 2 5" xfId="17636"/>
    <cellStyle name="Normal 7 8 2 5" xfId="17637"/>
    <cellStyle name="Normal 7 9 2 5" xfId="17638"/>
    <cellStyle name="Normal 8 25 2 5" xfId="17639"/>
    <cellStyle name="Normal 8 10 2 5" xfId="17640"/>
    <cellStyle name="Normal 8 11 2 5" xfId="17641"/>
    <cellStyle name="Normal 8 12 2 5" xfId="17642"/>
    <cellStyle name="Normal 8 13 2 5" xfId="17643"/>
    <cellStyle name="Normal 8 14 2 5" xfId="17644"/>
    <cellStyle name="Normal 8 15 2 5" xfId="17645"/>
    <cellStyle name="Normal 8 16 2 5" xfId="17646"/>
    <cellStyle name="Normal 8 17 2 5" xfId="17647"/>
    <cellStyle name="Normal 8 18 2 5" xfId="17648"/>
    <cellStyle name="Normal 8 19 2 5" xfId="17649"/>
    <cellStyle name="Normal 8 2 6 2 5" xfId="17650"/>
    <cellStyle name="Normal 8 2 2 2 2 5" xfId="17651"/>
    <cellStyle name="Normal 8 2 3 2 5" xfId="17652"/>
    <cellStyle name="Normal 8 2 4 2 5" xfId="17653"/>
    <cellStyle name="Normal 8 2 5 2 5" xfId="17654"/>
    <cellStyle name="Normal 8 20 2 5" xfId="17655"/>
    <cellStyle name="Normal 8 22 2 5" xfId="17656"/>
    <cellStyle name="Normal 8 3 6 2 5" xfId="17657"/>
    <cellStyle name="Normal 8 3 2 2 5" xfId="17658"/>
    <cellStyle name="Normal 8 3 3 2 5" xfId="17659"/>
    <cellStyle name="Normal 8 3 4 2 5" xfId="17660"/>
    <cellStyle name="Normal 8 3 5 2 5" xfId="17661"/>
    <cellStyle name="Normal 8 4 2 5" xfId="17662"/>
    <cellStyle name="Normal 8 5 2 5" xfId="17663"/>
    <cellStyle name="Normal 8 6 2 5" xfId="17664"/>
    <cellStyle name="Normal 8 7 2 5" xfId="17665"/>
    <cellStyle name="Normal 8 8 2 5" xfId="17666"/>
    <cellStyle name="Normal 8 9 2 5" xfId="17667"/>
    <cellStyle name="Normal 9 25 2 5" xfId="17668"/>
    <cellStyle name="Normal 9 10 2 5" xfId="17669"/>
    <cellStyle name="Normal 9 11 2 5" xfId="17670"/>
    <cellStyle name="Normal 9 12 2 5" xfId="17671"/>
    <cellStyle name="Normal 9 13 2 5" xfId="17672"/>
    <cellStyle name="Normal 9 14 2 5" xfId="17673"/>
    <cellStyle name="Normal 9 15 2 5" xfId="17674"/>
    <cellStyle name="Normal 9 16 2 5" xfId="17675"/>
    <cellStyle name="Normal 9 17 2 5" xfId="17676"/>
    <cellStyle name="Normal 9 18 2 5" xfId="17677"/>
    <cellStyle name="Normal 9 19 2 5" xfId="17678"/>
    <cellStyle name="Normal 9 2 6 5" xfId="17679"/>
    <cellStyle name="Normal 9 2 2 2 5" xfId="17680"/>
    <cellStyle name="Normal 9 2 3 2 5" xfId="17681"/>
    <cellStyle name="Normal 9 2 4 2 5" xfId="17682"/>
    <cellStyle name="Normal 9 2 5 2 5" xfId="17683"/>
    <cellStyle name="Normal 9 20 2 5" xfId="17684"/>
    <cellStyle name="Normal 9 22 2 5" xfId="17685"/>
    <cellStyle name="Normal 9 3 6 5" xfId="17686"/>
    <cellStyle name="Normal 9 3 2 2 5" xfId="17687"/>
    <cellStyle name="Normal 9 3 3 2 5" xfId="17688"/>
    <cellStyle name="Normal 9 3 4 2 5" xfId="17689"/>
    <cellStyle name="Normal 9 3 5 2 5" xfId="17690"/>
    <cellStyle name="Normal 9 4 2 5" xfId="17691"/>
    <cellStyle name="Normal 9 5 2 5" xfId="17692"/>
    <cellStyle name="Normal 9 6 2 5" xfId="17693"/>
    <cellStyle name="Normal 9 7 2 5" xfId="17694"/>
    <cellStyle name="Normal 9 8 2 5" xfId="17695"/>
    <cellStyle name="Normal 9 9 2 5" xfId="17696"/>
    <cellStyle name="Note 2 2 5" xfId="17697"/>
    <cellStyle name="Note 3 2 5" xfId="17698"/>
    <cellStyle name="Note 4 2 5" xfId="17699"/>
    <cellStyle name="Note 7 2 5" xfId="17700"/>
    <cellStyle name="Percent 120 2 5" xfId="17701"/>
    <cellStyle name="Percent 121 2 5" xfId="17702"/>
    <cellStyle name="Percent 122 2 5" xfId="17703"/>
    <cellStyle name="Percent 123 2 5" xfId="17704"/>
    <cellStyle name="Percent 124 2 5" xfId="17705"/>
    <cellStyle name="Percent 125 2 5" xfId="17706"/>
    <cellStyle name="Percent 126 2 5" xfId="17707"/>
    <cellStyle name="Percent 127 2 5" xfId="17708"/>
    <cellStyle name="Percent 128 2 5" xfId="17709"/>
    <cellStyle name="Percent 129 2 5" xfId="17710"/>
    <cellStyle name="Percent 130 2 5" xfId="17711"/>
    <cellStyle name="Percent 159 2 5" xfId="17712"/>
    <cellStyle name="Percent 2 22 2 5" xfId="17713"/>
    <cellStyle name="Percent 25 2 3 5" xfId="17714"/>
    <cellStyle name="Percent 25 2 2 2 5" xfId="17715"/>
    <cellStyle name="Percent 25 3 3 5" xfId="17716"/>
    <cellStyle name="Percent 25 3 2 2 5" xfId="17717"/>
    <cellStyle name="Percent 25 4 2 2 5" xfId="17718"/>
    <cellStyle name="Percent 25 5 2 5" xfId="17719"/>
    <cellStyle name="Percent 26 2 3 5" xfId="17720"/>
    <cellStyle name="Percent 26 2 2 2 5" xfId="17721"/>
    <cellStyle name="Percent 26 3 3 5" xfId="17722"/>
    <cellStyle name="Percent 26 3 2 2 5" xfId="17723"/>
    <cellStyle name="Percent 26 4 2 2 5" xfId="17724"/>
    <cellStyle name="Percent 26 5 2 5" xfId="17725"/>
    <cellStyle name="Percent 27 2 3 5" xfId="17726"/>
    <cellStyle name="Percent 27 2 2 2 5" xfId="17727"/>
    <cellStyle name="Percent 27 3 3 5" xfId="17728"/>
    <cellStyle name="Percent 27 3 2 2 5" xfId="17729"/>
    <cellStyle name="Percent 27 4 2 2 5" xfId="17730"/>
    <cellStyle name="Percent 27 5 2 5" xfId="17731"/>
    <cellStyle name="Percent 28 2 3 5" xfId="17732"/>
    <cellStyle name="Percent 28 2 2 2 5" xfId="17733"/>
    <cellStyle name="Percent 28 3 3 5" xfId="17734"/>
    <cellStyle name="Percent 28 3 2 2 5" xfId="17735"/>
    <cellStyle name="Percent 28 4 2 2 5" xfId="17736"/>
    <cellStyle name="Percent 28 5 2 5" xfId="17737"/>
    <cellStyle name="Percent 29 2 3 5" xfId="17738"/>
    <cellStyle name="Percent 29 2 2 2 5" xfId="17739"/>
    <cellStyle name="Percent 29 3 3 5" xfId="17740"/>
    <cellStyle name="Percent 29 3 2 2 5" xfId="17741"/>
    <cellStyle name="Percent 29 4 2 2 5" xfId="17742"/>
    <cellStyle name="Percent 29 5 2 5" xfId="17743"/>
    <cellStyle name="Percent 3 10 2 5" xfId="17744"/>
    <cellStyle name="Percent 3 11 2 5" xfId="17745"/>
    <cellStyle name="Percent 3 12 2 5" xfId="17746"/>
    <cellStyle name="Percent 3 13 2 5" xfId="17747"/>
    <cellStyle name="Percent 3 14 2 5" xfId="17748"/>
    <cellStyle name="Percent 3 15 2 5" xfId="17749"/>
    <cellStyle name="Percent 3 16 2 5" xfId="17750"/>
    <cellStyle name="Percent 3 17 2 5" xfId="17751"/>
    <cellStyle name="Percent 3 18 2 5" xfId="17752"/>
    <cellStyle name="Percent 3 19 2 5" xfId="17753"/>
    <cellStyle name="Percent 3 2 23 5" xfId="17754"/>
    <cellStyle name="Percent 3 2 10 2 5" xfId="17755"/>
    <cellStyle name="Percent 3 2 11 2 5" xfId="17756"/>
    <cellStyle name="Percent 3 2 12 2 5" xfId="17757"/>
    <cellStyle name="Percent 3 2 13 2 5" xfId="17758"/>
    <cellStyle name="Percent 3 2 14 2 5" xfId="17759"/>
    <cellStyle name="Percent 3 2 15 2 5" xfId="17760"/>
    <cellStyle name="Percent 3 2 16 2 5" xfId="17761"/>
    <cellStyle name="Percent 3 2 17 2 5" xfId="17762"/>
    <cellStyle name="Percent 3 2 18 2 5" xfId="17763"/>
    <cellStyle name="Percent 3 2 19 2 5" xfId="17764"/>
    <cellStyle name="Percent 3 2 2 2 2 5" xfId="17765"/>
    <cellStyle name="Percent 3 2 2 3 2 5" xfId="17766"/>
    <cellStyle name="Percent 3 2 2 4 2 5" xfId="17767"/>
    <cellStyle name="Percent 3 2 2 5 2 5" xfId="17768"/>
    <cellStyle name="Percent 3 2 20 2 5" xfId="17769"/>
    <cellStyle name="Percent 3 2 21 2 2 5" xfId="17770"/>
    <cellStyle name="Percent 3 2 3 6 5" xfId="17771"/>
    <cellStyle name="Percent 3 2 3 2 2 5" xfId="17772"/>
    <cellStyle name="Percent 3 2 3 3 2 5" xfId="17773"/>
    <cellStyle name="Percent 3 2 3 4 2 5" xfId="17774"/>
    <cellStyle name="Percent 3 2 3 5 2 5" xfId="17775"/>
    <cellStyle name="Percent 3 2 4 3 5" xfId="17776"/>
    <cellStyle name="Percent 3 2 4 2 2 5" xfId="17777"/>
    <cellStyle name="Percent 3 2 5 3 5" xfId="17778"/>
    <cellStyle name="Percent 3 2 5 2 2 5" xfId="17779"/>
    <cellStyle name="Percent 3 2 6 3 5" xfId="17780"/>
    <cellStyle name="Percent 3 2 6 2 2 5" xfId="17781"/>
    <cellStyle name="Percent 3 2 7 2 5" xfId="17782"/>
    <cellStyle name="Percent 3 2 8 2 5" xfId="17783"/>
    <cellStyle name="Percent 3 2 9 2 5" xfId="17784"/>
    <cellStyle name="Percent 3 20 2 5" xfId="17785"/>
    <cellStyle name="Percent 3 21 2 5" xfId="17786"/>
    <cellStyle name="Percent 3 3 2 2 5" xfId="17787"/>
    <cellStyle name="Percent 3 3 3 2 5" xfId="17788"/>
    <cellStyle name="Percent 3 3 4 2 5" xfId="17789"/>
    <cellStyle name="Percent 3 3 5 2 5" xfId="17790"/>
    <cellStyle name="Percent 3 4 6 5" xfId="17791"/>
    <cellStyle name="Percent 3 4 2 2 5" xfId="17792"/>
    <cellStyle name="Percent 3 4 3 2 5" xfId="17793"/>
    <cellStyle name="Percent 3 4 4 2 5" xfId="17794"/>
    <cellStyle name="Percent 3 4 5 2 5" xfId="17795"/>
    <cellStyle name="Percent 3 5 3 5" xfId="17796"/>
    <cellStyle name="Percent 3 5 2 2 5" xfId="17797"/>
    <cellStyle name="Percent 3 6 3 5" xfId="17798"/>
    <cellStyle name="Percent 3 6 2 2 5" xfId="17799"/>
    <cellStyle name="Percent 3 7 3 5" xfId="17800"/>
    <cellStyle name="Percent 3 7 2 2 5" xfId="17801"/>
    <cellStyle name="Percent 3 8 2 5" xfId="17802"/>
    <cellStyle name="Percent 3 9 2 5" xfId="17803"/>
    <cellStyle name="Percent 30 2 3 5" xfId="17804"/>
    <cellStyle name="Percent 30 2 2 2 5" xfId="17805"/>
    <cellStyle name="Percent 30 3 3 5" xfId="17806"/>
    <cellStyle name="Percent 30 3 2 2 5" xfId="17807"/>
    <cellStyle name="Percent 30 4 2 2 5" xfId="17808"/>
    <cellStyle name="Percent 30 5 2 5" xfId="17809"/>
    <cellStyle name="Percent 31 2 3 5" xfId="17810"/>
    <cellStyle name="Percent 31 2 2 2 5" xfId="17811"/>
    <cellStyle name="Percent 31 3 3 5" xfId="17812"/>
    <cellStyle name="Percent 31 3 2 2 5" xfId="17813"/>
    <cellStyle name="Percent 31 4 2 2 5" xfId="17814"/>
    <cellStyle name="Percent 31 5 2 5" xfId="17815"/>
    <cellStyle name="Percent 32 2 3 5" xfId="17816"/>
    <cellStyle name="Percent 32 2 2 2 5" xfId="17817"/>
    <cellStyle name="Percent 32 3 3 5" xfId="17818"/>
    <cellStyle name="Percent 32 3 2 2 5" xfId="17819"/>
    <cellStyle name="Percent 32 4 2 2 5" xfId="17820"/>
    <cellStyle name="Percent 32 5 2 5" xfId="17821"/>
    <cellStyle name="Percent 33 2 3 5" xfId="17822"/>
    <cellStyle name="Percent 33 2 2 2 5" xfId="17823"/>
    <cellStyle name="Percent 33 3 3 5" xfId="17824"/>
    <cellStyle name="Percent 33 3 2 2 5" xfId="17825"/>
    <cellStyle name="Percent 33 4 2 2 5" xfId="17826"/>
    <cellStyle name="Percent 33 5 2 5" xfId="17827"/>
    <cellStyle name="Percent 34 2 3 5" xfId="17828"/>
    <cellStyle name="Percent 34 2 2 2 5" xfId="17829"/>
    <cellStyle name="Percent 34 3 3 5" xfId="17830"/>
    <cellStyle name="Percent 34 3 2 2 5" xfId="17831"/>
    <cellStyle name="Percent 34 4 2 2 5" xfId="17832"/>
    <cellStyle name="Percent 34 5 2 5" xfId="17833"/>
    <cellStyle name="Percent 35 2 3 5" xfId="17834"/>
    <cellStyle name="Percent 35 2 2 2 5" xfId="17835"/>
    <cellStyle name="Percent 35 3 3 5" xfId="17836"/>
    <cellStyle name="Percent 35 3 2 2 5" xfId="17837"/>
    <cellStyle name="Percent 35 4 2 2 5" xfId="17838"/>
    <cellStyle name="Percent 35 5 2 5" xfId="17839"/>
    <cellStyle name="Currency 5 4 2 5" xfId="17840"/>
    <cellStyle name="Comma 5 7 2 5" xfId="17841"/>
    <cellStyle name="Percent 5 4 2 5" xfId="17842"/>
    <cellStyle name="Comma 6 5 2 5" xfId="17843"/>
    <cellStyle name="Currency 5 2 4 2 5" xfId="17844"/>
    <cellStyle name="Comma 5 2 4 2 5" xfId="17845"/>
    <cellStyle name="Percent 5 2 4 2 5" xfId="17846"/>
    <cellStyle name="Comma 6 2 3 2 5" xfId="17847"/>
    <cellStyle name="Currency 5 3 2 2 5" xfId="17848"/>
    <cellStyle name="Comma 5 3 2 2 5" xfId="17849"/>
    <cellStyle name="Percent 5 3 2 2 5" xfId="17850"/>
    <cellStyle name="Comma 6 3 4 2 5" xfId="17851"/>
    <cellStyle name="Normal 11 2 2 2 5" xfId="17852"/>
    <cellStyle name="Currency 5 2 2 2 2 5" xfId="17853"/>
    <cellStyle name="Comma 5 2 2 2 2 5" xfId="17854"/>
    <cellStyle name="Percent 5 2 2 2 2 5" xfId="17855"/>
    <cellStyle name="Comma 6 2 2 2 2 5" xfId="17856"/>
    <cellStyle name="Normal 52 4" xfId="17857"/>
    <cellStyle name="Comma 205 4" xfId="17858"/>
    <cellStyle name="Comma 206 4" xfId="17859"/>
    <cellStyle name="Currency 5 7 4" xfId="17860"/>
    <cellStyle name="Normal 8 27 4" xfId="17861"/>
    <cellStyle name="Comma 5 10 4" xfId="17862"/>
    <cellStyle name="Percent 5 7 4" xfId="17863"/>
    <cellStyle name="Comma 6 8 4" xfId="17864"/>
    <cellStyle name="Normal 11 6 4" xfId="17865"/>
    <cellStyle name="Currency 5 2 7 4" xfId="17866"/>
    <cellStyle name="Normal 8 2 8 4" xfId="17867"/>
    <cellStyle name="Comma 5 2 7 4" xfId="17868"/>
    <cellStyle name="Percent 5 2 7 4" xfId="17869"/>
    <cellStyle name="Comma 6 2 6 4" xfId="17870"/>
    <cellStyle name="Currency 5 3 5 4" xfId="17871"/>
    <cellStyle name="Normal 8 3 8 4" xfId="17872"/>
    <cellStyle name="Comma 5 3 5 4" xfId="17873"/>
    <cellStyle name="Percent 5 3 5 4" xfId="17874"/>
    <cellStyle name="Comma 6 3 7 4" xfId="17875"/>
    <cellStyle name="Normal 11 2 5 4" xfId="17876"/>
    <cellStyle name="Currency 5 2 2 5 4" xfId="17877"/>
    <cellStyle name="Normal 8 2 2 4 4" xfId="17878"/>
    <cellStyle name="Comma 5 2 2 5 4" xfId="17879"/>
    <cellStyle name="Percent 5 2 2 5 4" xfId="17880"/>
    <cellStyle name="Comma 6 2 2 4 4" xfId="17881"/>
    <cellStyle name="Normal 50 3 4" xfId="17882"/>
    <cellStyle name="Comma 186 3 4" xfId="17883"/>
    <cellStyle name="Percent 162 3 4" xfId="17884"/>
    <cellStyle name="Normal 2 24 3 4" xfId="17885"/>
    <cellStyle name="20% - Accent1 2 3 4" xfId="17886"/>
    <cellStyle name="20% - Accent1 3 3 4" xfId="17887"/>
    <cellStyle name="20% - Accent1 4 3 4" xfId="17888"/>
    <cellStyle name="20% - Accent1 5 3 4" xfId="17889"/>
    <cellStyle name="20% - Accent2 2 3 4" xfId="17890"/>
    <cellStyle name="20% - Accent2 3 3 4" xfId="17891"/>
    <cellStyle name="20% - Accent2 4 3 4" xfId="17892"/>
    <cellStyle name="20% - Accent2 5 3 4" xfId="17893"/>
    <cellStyle name="20% - Accent3 2 3 4" xfId="17894"/>
    <cellStyle name="20% - Accent3 3 3 4" xfId="17895"/>
    <cellStyle name="20% - Accent3 4 3 4" xfId="17896"/>
    <cellStyle name="20% - Accent3 5 3 4" xfId="17897"/>
    <cellStyle name="20% - Accent4 2 3 4" xfId="17898"/>
    <cellStyle name="20% - Accent4 3 3 4" xfId="17899"/>
    <cellStyle name="20% - Accent4 4 3 4" xfId="17900"/>
    <cellStyle name="20% - Accent4 5 3 4" xfId="17901"/>
    <cellStyle name="20% - Accent5 2 3 4" xfId="17902"/>
    <cellStyle name="20% - Accent5 3 3 4" xfId="17903"/>
    <cellStyle name="20% - Accent5 4 3 4" xfId="17904"/>
    <cellStyle name="20% - Accent6 2 3 4" xfId="17905"/>
    <cellStyle name="20% - Accent6 3 3 4" xfId="17906"/>
    <cellStyle name="20% - Accent6 4 3 4" xfId="17907"/>
    <cellStyle name="40% - Accent1 2 3 4" xfId="17908"/>
    <cellStyle name="40% - Accent1 3 3 4" xfId="17909"/>
    <cellStyle name="40% - Accent1 4 3 4" xfId="17910"/>
    <cellStyle name="40% - Accent1 5 3 4" xfId="17911"/>
    <cellStyle name="40% - Accent2 2 3 4" xfId="17912"/>
    <cellStyle name="40% - Accent2 3 3 4" xfId="17913"/>
    <cellStyle name="40% - Accent2 4 3 4" xfId="17914"/>
    <cellStyle name="40% - Accent3 2 3 4" xfId="17915"/>
    <cellStyle name="40% - Accent3 3 3 4" xfId="17916"/>
    <cellStyle name="40% - Accent3 4 3 4" xfId="17917"/>
    <cellStyle name="40% - Accent3 5 3 4" xfId="17918"/>
    <cellStyle name="40% - Accent4 2 3 4" xfId="17919"/>
    <cellStyle name="40% - Accent4 3 3 4" xfId="17920"/>
    <cellStyle name="40% - Accent4 4 3 4" xfId="17921"/>
    <cellStyle name="40% - Accent4 5 3 4" xfId="17922"/>
    <cellStyle name="40% - Accent5 2 3 4" xfId="17923"/>
    <cellStyle name="40% - Accent5 3 3 4" xfId="17924"/>
    <cellStyle name="40% - Accent5 4 3 4" xfId="17925"/>
    <cellStyle name="40% - Accent6 2 3 4" xfId="17926"/>
    <cellStyle name="40% - Accent6 3 3 4" xfId="17927"/>
    <cellStyle name="40% - Accent6 4 3 4" xfId="17928"/>
    <cellStyle name="40% - Accent6 5 3 4" xfId="17929"/>
    <cellStyle name="Comma 143 3 4" xfId="17930"/>
    <cellStyle name="Comma 144 3 4" xfId="17931"/>
    <cellStyle name="Comma 145 3 4" xfId="17932"/>
    <cellStyle name="Comma 146 3 4" xfId="17933"/>
    <cellStyle name="Comma 147 3 4" xfId="17934"/>
    <cellStyle name="Comma 148 3 4" xfId="17935"/>
    <cellStyle name="Comma 149 3 4" xfId="17936"/>
    <cellStyle name="Comma 150 3 4" xfId="17937"/>
    <cellStyle name="Comma 151 3 4" xfId="17938"/>
    <cellStyle name="Comma 152 3 4" xfId="17939"/>
    <cellStyle name="Comma 153 3 4" xfId="17940"/>
    <cellStyle name="Comma 182 3 4" xfId="17941"/>
    <cellStyle name="Comma 2 23 3 4" xfId="17942"/>
    <cellStyle name="Comma 2 2 10 3 4" xfId="17943"/>
    <cellStyle name="Comma 2 2 11 3 4" xfId="17944"/>
    <cellStyle name="Comma 2 2 12 3 4" xfId="17945"/>
    <cellStyle name="Comma 2 2 13 3 4" xfId="17946"/>
    <cellStyle name="Comma 2 2 14 3 4" xfId="17947"/>
    <cellStyle name="Comma 2 2 15 3 4" xfId="17948"/>
    <cellStyle name="Comma 2 2 16 3 4" xfId="17949"/>
    <cellStyle name="Comma 2 2 17 3 4" xfId="17950"/>
    <cellStyle name="Comma 2 2 2 2 7 4" xfId="17951"/>
    <cellStyle name="Comma 2 2 2 2 2 3 4" xfId="17952"/>
    <cellStyle name="Comma 2 2 2 2 3 3 4" xfId="17953"/>
    <cellStyle name="Comma 2 2 2 2 4 3 4" xfId="17954"/>
    <cellStyle name="Comma 2 2 2 2 5 3 4" xfId="17955"/>
    <cellStyle name="Comma 2 2 2 3 3 4" xfId="17956"/>
    <cellStyle name="Comma 2 2 2 4 3 4" xfId="17957"/>
    <cellStyle name="Comma 2 2 2 5 3 4" xfId="17958"/>
    <cellStyle name="Comma 2 2 2 6 3 4" xfId="17959"/>
    <cellStyle name="Comma 2 2 3 7 4" xfId="17960"/>
    <cellStyle name="Comma 2 2 3 2 2 3 4" xfId="17961"/>
    <cellStyle name="Comma 2 2 3 2 3 3 4" xfId="17962"/>
    <cellStyle name="Comma 2 2 3 2 4 3 4" xfId="17963"/>
    <cellStyle name="Comma 2 2 3 2 5 3 4" xfId="17964"/>
    <cellStyle name="Comma 2 2 3 3 3 4" xfId="17965"/>
    <cellStyle name="Comma 2 2 4 2 3 4" xfId="17966"/>
    <cellStyle name="Comma 2 2 5 3 4" xfId="17967"/>
    <cellStyle name="Comma 2 2 6 3 4" xfId="17968"/>
    <cellStyle name="Comma 2 2 7 3 4" xfId="17969"/>
    <cellStyle name="Comma 2 2 8 3 4" xfId="17970"/>
    <cellStyle name="Comma 2 2 9 3 4" xfId="17971"/>
    <cellStyle name="Comma 3 10 3 4" xfId="17972"/>
    <cellStyle name="Comma 3 11 3 4" xfId="17973"/>
    <cellStyle name="Comma 3 12 3 4" xfId="17974"/>
    <cellStyle name="Comma 3 13 3 4" xfId="17975"/>
    <cellStyle name="Comma 3 14 3 4" xfId="17976"/>
    <cellStyle name="Comma 3 15 3 4" xfId="17977"/>
    <cellStyle name="Comma 3 16 3 4" xfId="17978"/>
    <cellStyle name="Comma 3 17 3 4" xfId="17979"/>
    <cellStyle name="Comma 3 18 3 4" xfId="17980"/>
    <cellStyle name="Comma 3 19 3 4" xfId="17981"/>
    <cellStyle name="Comma 3 2 2 3 4" xfId="17982"/>
    <cellStyle name="Comma 3 2 3 3 4" xfId="17983"/>
    <cellStyle name="Comma 3 2 4 3 4" xfId="17984"/>
    <cellStyle name="Comma 3 2 5 3 4" xfId="17985"/>
    <cellStyle name="Comma 3 20 3 4" xfId="17986"/>
    <cellStyle name="Comma 3 21 3 4" xfId="17987"/>
    <cellStyle name="Comma 3 3 7 4" xfId="17988"/>
    <cellStyle name="Comma 3 3 2 3 4" xfId="17989"/>
    <cellStyle name="Comma 3 3 3 3 4" xfId="17990"/>
    <cellStyle name="Comma 3 3 4 3 4" xfId="17991"/>
    <cellStyle name="Comma 3 3 5 3 4" xfId="17992"/>
    <cellStyle name="Comma 3 4 4 4" xfId="17993"/>
    <cellStyle name="Comma 3 4 2 3 4" xfId="17994"/>
    <cellStyle name="Comma 3 5 4 4" xfId="17995"/>
    <cellStyle name="Comma 3 5 2 3 4" xfId="17996"/>
    <cellStyle name="Comma 3 6 4 4" xfId="17997"/>
    <cellStyle name="Comma 3 6 2 3 4" xfId="17998"/>
    <cellStyle name="Comma 3 7 3 4" xfId="17999"/>
    <cellStyle name="Comma 3 8 3 4" xfId="18000"/>
    <cellStyle name="Comma 3 9 3 4" xfId="18001"/>
    <cellStyle name="Currency 120 3 4" xfId="18002"/>
    <cellStyle name="Currency 121 3 4" xfId="18003"/>
    <cellStyle name="Currency 122 3 4" xfId="18004"/>
    <cellStyle name="Currency 123 3 4" xfId="18005"/>
    <cellStyle name="Currency 124 3 4" xfId="18006"/>
    <cellStyle name="Currency 125 3 4" xfId="18007"/>
    <cellStyle name="Currency 126 3 4" xfId="18008"/>
    <cellStyle name="Currency 127 3 4" xfId="18009"/>
    <cellStyle name="Currency 128 3 4" xfId="18010"/>
    <cellStyle name="Currency 129 3 4" xfId="18011"/>
    <cellStyle name="Currency 130 3 4" xfId="18012"/>
    <cellStyle name="Currency 159 3 4" xfId="18013"/>
    <cellStyle name="Currency 2 27 3 4" xfId="18014"/>
    <cellStyle name="Currency 2 2 20 3 4" xfId="18015"/>
    <cellStyle name="Currency 2 2 10 3 4" xfId="18016"/>
    <cellStyle name="Currency 2 2 11 3 4" xfId="18017"/>
    <cellStyle name="Currency 2 2 12 3 4" xfId="18018"/>
    <cellStyle name="Currency 2 2 13 3 4" xfId="18019"/>
    <cellStyle name="Currency 2 2 14 3 4" xfId="18020"/>
    <cellStyle name="Currency 2 2 15 3 4" xfId="18021"/>
    <cellStyle name="Currency 2 2 16 3 4" xfId="18022"/>
    <cellStyle name="Currency 2 2 17 3 4" xfId="18023"/>
    <cellStyle name="Currency 2 2 18 3 4" xfId="18024"/>
    <cellStyle name="Currency 2 2 2 2 3 4" xfId="18025"/>
    <cellStyle name="Currency 2 2 2 3 3 4" xfId="18026"/>
    <cellStyle name="Currency 2 2 2 4 3 4" xfId="18027"/>
    <cellStyle name="Currency 2 2 2 5 3 4" xfId="18028"/>
    <cellStyle name="Currency 2 2 3 7 4" xfId="18029"/>
    <cellStyle name="Currency 2 2 3 2 3 4" xfId="18030"/>
    <cellStyle name="Currency 2 2 3 3 3 4" xfId="18031"/>
    <cellStyle name="Currency 2 2 3 4 3 4" xfId="18032"/>
    <cellStyle name="Currency 2 2 3 5 3 4" xfId="18033"/>
    <cellStyle name="Currency 2 2 4 3 4" xfId="18034"/>
    <cellStyle name="Currency 2 2 5 3 4" xfId="18035"/>
    <cellStyle name="Currency 2 2 6 3 4" xfId="18036"/>
    <cellStyle name="Currency 2 2 7 3 4" xfId="18037"/>
    <cellStyle name="Currency 2 2 8 3 4" xfId="18038"/>
    <cellStyle name="Currency 2 2 9 3 4" xfId="18039"/>
    <cellStyle name="Currency 3 10 3 4" xfId="18040"/>
    <cellStyle name="Currency 3 11 3 4" xfId="18041"/>
    <cellStyle name="Currency 3 12 3 4" xfId="18042"/>
    <cellStyle name="Currency 3 13 3 4" xfId="18043"/>
    <cellStyle name="Currency 3 14 3 4" xfId="18044"/>
    <cellStyle name="Currency 3 15 3 4" xfId="18045"/>
    <cellStyle name="Currency 3 16 3 4" xfId="18046"/>
    <cellStyle name="Currency 3 17 3 4" xfId="18047"/>
    <cellStyle name="Currency 3 18 3 4" xfId="18048"/>
    <cellStyle name="Currency 3 19 3 4" xfId="18049"/>
    <cellStyle name="Currency 3 2 2 3 4" xfId="18050"/>
    <cellStyle name="Currency 3 2 3 3 4" xfId="18051"/>
    <cellStyle name="Currency 3 2 4 3 4" xfId="18052"/>
    <cellStyle name="Currency 3 2 5 3 4" xfId="18053"/>
    <cellStyle name="Currency 3 20 3 4" xfId="18054"/>
    <cellStyle name="Currency 3 21 3 4" xfId="18055"/>
    <cellStyle name="Currency 3 3 9 4" xfId="18056"/>
    <cellStyle name="Currency 3 3 2 3 4" xfId="18057"/>
    <cellStyle name="Currency 3 3 3 3 4" xfId="18058"/>
    <cellStyle name="Currency 3 3 4 3 4" xfId="18059"/>
    <cellStyle name="Currency 3 3 5 3 4" xfId="18060"/>
    <cellStyle name="Currency 3 3 6 3 4" xfId="18061"/>
    <cellStyle name="Currency 3 4 4 4" xfId="18062"/>
    <cellStyle name="Currency 3 4 2 3 4" xfId="18063"/>
    <cellStyle name="Currency 3 5 4 4" xfId="18064"/>
    <cellStyle name="Currency 3 5 2 3 4" xfId="18065"/>
    <cellStyle name="Currency 3 6 4 4" xfId="18066"/>
    <cellStyle name="Currency 3 6 2 3 4" xfId="18067"/>
    <cellStyle name="Currency 3 7 3 4" xfId="18068"/>
    <cellStyle name="Currency 3 8 3 4" xfId="18069"/>
    <cellStyle name="Currency 3 9 3 4" xfId="18070"/>
    <cellStyle name="Normal 10 3 7 4" xfId="18071"/>
    <cellStyle name="Normal 10 3 2 6 4" xfId="18072"/>
    <cellStyle name="Normal 10 3 2 2 4 4" xfId="18073"/>
    <cellStyle name="Normal 10 3 2 2 2 3 4" xfId="18074"/>
    <cellStyle name="Normal 10 3 2 3 4 4" xfId="18075"/>
    <cellStyle name="Normal 10 3 2 3 2 3 4" xfId="18076"/>
    <cellStyle name="Normal 10 3 2 4 3 4" xfId="18077"/>
    <cellStyle name="Normal 10 3 3 4 4" xfId="18078"/>
    <cellStyle name="Normal 10 3 3 2 3 4" xfId="18079"/>
    <cellStyle name="Normal 10 3 4 4 4" xfId="18080"/>
    <cellStyle name="Normal 10 3 4 2 3 4" xfId="18081"/>
    <cellStyle name="Normal 10 3 5 3 4" xfId="18082"/>
    <cellStyle name="Normal 10 4 6 4" xfId="18083"/>
    <cellStyle name="Normal 10 4 2 4 4" xfId="18084"/>
    <cellStyle name="Normal 10 4 2 2 3 4" xfId="18085"/>
    <cellStyle name="Normal 10 4 3 4 4" xfId="18086"/>
    <cellStyle name="Normal 10 4 3 2 3 4" xfId="18087"/>
    <cellStyle name="Normal 10 4 4 3 4" xfId="18088"/>
    <cellStyle name="Normal 10 5 6 4" xfId="18089"/>
    <cellStyle name="Normal 10 5 2 4 4" xfId="18090"/>
    <cellStyle name="Normal 10 5 2 2 3 4" xfId="18091"/>
    <cellStyle name="Normal 10 5 3 4 4" xfId="18092"/>
    <cellStyle name="Normal 10 5 3 2 3 4" xfId="18093"/>
    <cellStyle name="Normal 10 5 4 3 4" xfId="18094"/>
    <cellStyle name="Normal 10 6 4 4" xfId="18095"/>
    <cellStyle name="Normal 10 6 2 3 4" xfId="18096"/>
    <cellStyle name="Normal 10 7 4 4" xfId="18097"/>
    <cellStyle name="Normal 10 7 2 3 4" xfId="18098"/>
    <cellStyle name="Normal 10 8 2 3 4" xfId="18099"/>
    <cellStyle name="Normal 10 9 3 4" xfId="18100"/>
    <cellStyle name="Normal 11 4 3 4" xfId="18101"/>
    <cellStyle name="Normal 11 3 3 4" xfId="18102"/>
    <cellStyle name="Normal 12 9 4" xfId="18103"/>
    <cellStyle name="Normal 12 2 2 6 4" xfId="18104"/>
    <cellStyle name="Normal 12 2 2 2 4 4" xfId="18105"/>
    <cellStyle name="Normal 12 2 2 2 2 3 4" xfId="18106"/>
    <cellStyle name="Normal 12 2 2 3 4 4" xfId="18107"/>
    <cellStyle name="Normal 12 2 2 3 2 3 4" xfId="18108"/>
    <cellStyle name="Normal 12 2 2 4 3 4" xfId="18109"/>
    <cellStyle name="Normal 12 2 3 4 4" xfId="18110"/>
    <cellStyle name="Normal 12 2 3 2 3 4" xfId="18111"/>
    <cellStyle name="Normal 12 2 4 4 4" xfId="18112"/>
    <cellStyle name="Normal 12 2 4 2 3 4" xfId="18113"/>
    <cellStyle name="Normal 12 2 5 2 3 4" xfId="18114"/>
    <cellStyle name="Normal 12 2 6 3 4" xfId="18115"/>
    <cellStyle name="Normal 12 3 6 4" xfId="18116"/>
    <cellStyle name="Normal 12 3 2 4 4" xfId="18117"/>
    <cellStyle name="Normal 12 3 2 2 3 4" xfId="18118"/>
    <cellStyle name="Normal 12 3 3 4 4" xfId="18119"/>
    <cellStyle name="Normal 12 3 3 2 3 4" xfId="18120"/>
    <cellStyle name="Normal 12 3 4 3 4" xfId="18121"/>
    <cellStyle name="Normal 12 4 6 4" xfId="18122"/>
    <cellStyle name="Normal 12 4 2 4 4" xfId="18123"/>
    <cellStyle name="Normal 12 4 2 2 3 4" xfId="18124"/>
    <cellStyle name="Normal 12 4 3 4 4" xfId="18125"/>
    <cellStyle name="Normal 12 4 3 2 3 4" xfId="18126"/>
    <cellStyle name="Normal 12 4 4 3 4" xfId="18127"/>
    <cellStyle name="Normal 12 5 4 4" xfId="18128"/>
    <cellStyle name="Normal 12 5 2 3 4" xfId="18129"/>
    <cellStyle name="Normal 12 6 4 4" xfId="18130"/>
    <cellStyle name="Normal 12 6 2 3 4" xfId="18131"/>
    <cellStyle name="Normal 12 7 3 4" xfId="18132"/>
    <cellStyle name="Normal 15 7 4" xfId="18133"/>
    <cellStyle name="Normal 15 3 3 4" xfId="18134"/>
    <cellStyle name="Normal 16 2 6 4" xfId="18135"/>
    <cellStyle name="Normal 16 2 2 4 4" xfId="18136"/>
    <cellStyle name="Normal 16 2 2 2 3 4" xfId="18137"/>
    <cellStyle name="Normal 16 2 3 4 4" xfId="18138"/>
    <cellStyle name="Normal 16 2 3 2 3 4" xfId="18139"/>
    <cellStyle name="Normal 16 2 4 3 4" xfId="18140"/>
    <cellStyle name="Normal 16 3 4 4" xfId="18141"/>
    <cellStyle name="Normal 16 3 2 3 4" xfId="18142"/>
    <cellStyle name="Normal 16 4 4 4" xfId="18143"/>
    <cellStyle name="Normal 16 4 2 3 4" xfId="18144"/>
    <cellStyle name="Normal 16 5 2 3 4" xfId="18145"/>
    <cellStyle name="Normal 16 6 3 4" xfId="18146"/>
    <cellStyle name="Normal 17 2 6 4" xfId="18147"/>
    <cellStyle name="Normal 17 2 2 4 4" xfId="18148"/>
    <cellStyle name="Normal 17 2 2 2 3 4" xfId="18149"/>
    <cellStyle name="Normal 17 2 3 4 4" xfId="18150"/>
    <cellStyle name="Normal 17 2 3 2 3 4" xfId="18151"/>
    <cellStyle name="Normal 17 2 4 3 4" xfId="18152"/>
    <cellStyle name="Normal 17 3 4 4" xfId="18153"/>
    <cellStyle name="Normal 17 3 2 3 4" xfId="18154"/>
    <cellStyle name="Normal 17 4 4 4" xfId="18155"/>
    <cellStyle name="Normal 17 4 2 3 4" xfId="18156"/>
    <cellStyle name="Normal 17 5 2 3 4" xfId="18157"/>
    <cellStyle name="Normal 17 6 3 4" xfId="18158"/>
    <cellStyle name="Normal 2 10 3 3 4" xfId="18159"/>
    <cellStyle name="Normal 2 11 3 3 4" xfId="18160"/>
    <cellStyle name="Normal 2 12 3 3 4" xfId="18161"/>
    <cellStyle name="Normal 2 13 3 3 4" xfId="18162"/>
    <cellStyle name="Normal 2 14 3 3 4" xfId="18163"/>
    <cellStyle name="Normal 2 15 3 3 4" xfId="18164"/>
    <cellStyle name="Normal 2 16 3 3 4" xfId="18165"/>
    <cellStyle name="Normal 2 17 3 3 4" xfId="18166"/>
    <cellStyle name="Normal 2 18 3 3 4" xfId="18167"/>
    <cellStyle name="Normal 2 19 3 3 4" xfId="18168"/>
    <cellStyle name="Normal 2 2 10 3 4" xfId="18169"/>
    <cellStyle name="Normal 2 2 11 3 4" xfId="18170"/>
    <cellStyle name="Normal 2 2 12 3 4" xfId="18171"/>
    <cellStyle name="Normal 2 2 13 3 4" xfId="18172"/>
    <cellStyle name="Normal 2 2 14 3 4" xfId="18173"/>
    <cellStyle name="Normal 2 2 15 3 4" xfId="18174"/>
    <cellStyle name="Normal 2 2 16 3 4" xfId="18175"/>
    <cellStyle name="Normal 2 2 17 3 4" xfId="18176"/>
    <cellStyle name="Normal 2 2 18 3 4" xfId="18177"/>
    <cellStyle name="Normal 2 2 19 3 4" xfId="18178"/>
    <cellStyle name="Normal 2 2 2 2 7 4" xfId="18179"/>
    <cellStyle name="Normal 2 2 2 2 2 4 4" xfId="18180"/>
    <cellStyle name="Normal 2 2 2 2 2 2 3 4" xfId="18181"/>
    <cellStyle name="Normal 2 2 2 2 3 3 4" xfId="18182"/>
    <cellStyle name="Normal 2 2 2 2 4 3 4" xfId="18183"/>
    <cellStyle name="Normal 2 2 2 2 5 3 4" xfId="18184"/>
    <cellStyle name="Normal 2 2 20 3 4" xfId="18185"/>
    <cellStyle name="Normal 2 2 21 3 4" xfId="18186"/>
    <cellStyle name="Normal 2 2 22 3 4" xfId="18187"/>
    <cellStyle name="Normal 2 2 3 10 4" xfId="18188"/>
    <cellStyle name="Normal 2 2 3 2 3 4" xfId="18189"/>
    <cellStyle name="Normal 2 2 3 3 3 4" xfId="18190"/>
    <cellStyle name="Normal 2 2 3 4 3 4" xfId="18191"/>
    <cellStyle name="Normal 2 2 3 5 3 4" xfId="18192"/>
    <cellStyle name="Normal 2 2 3 6 3 4" xfId="18193"/>
    <cellStyle name="Normal 2 2 4 6 4" xfId="18194"/>
    <cellStyle name="Normal 2 2 4 2 3 4" xfId="18195"/>
    <cellStyle name="Normal 2 2 5 5 4" xfId="18196"/>
    <cellStyle name="Normal 2 2 5 2 3 4" xfId="18197"/>
    <cellStyle name="Normal 2 2 6 3 4" xfId="18198"/>
    <cellStyle name="Normal 2 2 7 3 4" xfId="18199"/>
    <cellStyle name="Normal 2 2 8 3 4" xfId="18200"/>
    <cellStyle name="Normal 2 2 9 3 4" xfId="18201"/>
    <cellStyle name="Normal 2 20 3 4" xfId="18202"/>
    <cellStyle name="Normal 2 3 2 4 4" xfId="18203"/>
    <cellStyle name="Normal 2 3 3 3 4" xfId="18204"/>
    <cellStyle name="Normal 2 3 4 3 4" xfId="18205"/>
    <cellStyle name="Normal 2 3 5 3 4" xfId="18206"/>
    <cellStyle name="Normal 2 3 6 3 4" xfId="18207"/>
    <cellStyle name="Normal 2 4 5 3 4" xfId="18208"/>
    <cellStyle name="Normal 2 4 2 3 4" xfId="18209"/>
    <cellStyle name="Normal 2 5 3 3 4" xfId="18210"/>
    <cellStyle name="Normal 2 6 3 3 4" xfId="18211"/>
    <cellStyle name="Normal 2 7 3 3 4" xfId="18212"/>
    <cellStyle name="Normal 2 8 3 3 4" xfId="18213"/>
    <cellStyle name="Normal 2 9 3 3 4" xfId="18214"/>
    <cellStyle name="Normal 21 10 4" xfId="18215"/>
    <cellStyle name="Normal 21 2 8 4" xfId="18216"/>
    <cellStyle name="Normal 21 2 2 3 4" xfId="18217"/>
    <cellStyle name="Normal 21 2 3 3 4" xfId="18218"/>
    <cellStyle name="Normal 21 2 4 3 4" xfId="18219"/>
    <cellStyle name="Normal 21 2 5 3 4" xfId="18220"/>
    <cellStyle name="Normal 21 2 6 3 4" xfId="18221"/>
    <cellStyle name="Normal 21 3 4 4" xfId="18222"/>
    <cellStyle name="Normal 21 3 2 3 4" xfId="18223"/>
    <cellStyle name="Normal 21 4 3 4" xfId="18224"/>
    <cellStyle name="Normal 21 5 3 4" xfId="18225"/>
    <cellStyle name="Normal 21 6 3 4" xfId="18226"/>
    <cellStyle name="Normal 21 8 3 4" xfId="18227"/>
    <cellStyle name="Normal 22 9 4" xfId="18228"/>
    <cellStyle name="Normal 22 2 8 4" xfId="18229"/>
    <cellStyle name="Normal 22 2 2 3 4" xfId="18230"/>
    <cellStyle name="Normal 22 2 3 3 4" xfId="18231"/>
    <cellStyle name="Normal 22 2 4 3 4" xfId="18232"/>
    <cellStyle name="Normal 22 2 5 3 4" xfId="18233"/>
    <cellStyle name="Normal 22 3 3 4" xfId="18234"/>
    <cellStyle name="Normal 22 4 3 4" xfId="18235"/>
    <cellStyle name="Normal 22 5 3 4" xfId="18236"/>
    <cellStyle name="Normal 22 6 3 4" xfId="18237"/>
    <cellStyle name="Normal 23 9 4" xfId="18238"/>
    <cellStyle name="Normal 23 2 7 4" xfId="18239"/>
    <cellStyle name="Normal 23 2 2 3 4" xfId="18240"/>
    <cellStyle name="Normal 23 2 3 3 4" xfId="18241"/>
    <cellStyle name="Normal 23 2 4 3 4" xfId="18242"/>
    <cellStyle name="Normal 23 2 5 3 4" xfId="18243"/>
    <cellStyle name="Normal 23 3 3 4" xfId="18244"/>
    <cellStyle name="Normal 23 4 3 4" xfId="18245"/>
    <cellStyle name="Normal 23 5 3 4" xfId="18246"/>
    <cellStyle name="Normal 23 6 3 4" xfId="18247"/>
    <cellStyle name="Normal 24 9 4" xfId="18248"/>
    <cellStyle name="Normal 24 2 7 4" xfId="18249"/>
    <cellStyle name="Normal 24 2 2 3 4" xfId="18250"/>
    <cellStyle name="Normal 24 2 3 3 4" xfId="18251"/>
    <cellStyle name="Normal 24 2 4 3 4" xfId="18252"/>
    <cellStyle name="Normal 24 2 5 3 4" xfId="18253"/>
    <cellStyle name="Normal 24 3 3 4" xfId="18254"/>
    <cellStyle name="Normal 24 4 3 4" xfId="18255"/>
    <cellStyle name="Normal 24 5 3 4" xfId="18256"/>
    <cellStyle name="Normal 24 6 3 4" xfId="18257"/>
    <cellStyle name="Normal 26 9 4" xfId="18258"/>
    <cellStyle name="Normal 26 2 7 4" xfId="18259"/>
    <cellStyle name="Normal 26 2 2 3 4" xfId="18260"/>
    <cellStyle name="Normal 26 2 3 3 4" xfId="18261"/>
    <cellStyle name="Normal 26 2 4 3 4" xfId="18262"/>
    <cellStyle name="Normal 26 2 5 3 4" xfId="18263"/>
    <cellStyle name="Normal 26 3 3 4" xfId="18264"/>
    <cellStyle name="Normal 26 4 3 4" xfId="18265"/>
    <cellStyle name="Normal 26 5 3 4" xfId="18266"/>
    <cellStyle name="Normal 26 6 3 4" xfId="18267"/>
    <cellStyle name="Normal 3 10 3 4" xfId="18268"/>
    <cellStyle name="Normal 3 11 3 4" xfId="18269"/>
    <cellStyle name="Normal 3 12 3 4" xfId="18270"/>
    <cellStyle name="Normal 3 13 3 4" xfId="18271"/>
    <cellStyle name="Normal 3 14 3 4" xfId="18272"/>
    <cellStyle name="Normal 3 15 3 4" xfId="18273"/>
    <cellStyle name="Normal 3 16 3 4" xfId="18274"/>
    <cellStyle name="Normal 3 17 3 4" xfId="18275"/>
    <cellStyle name="Normal 3 18 3 4" xfId="18276"/>
    <cellStyle name="Normal 3 19 3 4" xfId="18277"/>
    <cellStyle name="Normal 3 2 2 3 4" xfId="18278"/>
    <cellStyle name="Normal 3 2 3 3 4" xfId="18279"/>
    <cellStyle name="Normal 3 2 4 3 4" xfId="18280"/>
    <cellStyle name="Normal 3 2 5 3 4" xfId="18281"/>
    <cellStyle name="Normal 3 2 6 3 4" xfId="18282"/>
    <cellStyle name="Normal 3 20 3 4" xfId="18283"/>
    <cellStyle name="Normal 3 21 3 4" xfId="18284"/>
    <cellStyle name="Normal 3 22 3 4" xfId="18285"/>
    <cellStyle name="Normal 3 23 3 4" xfId="18286"/>
    <cellStyle name="Normal 3 24 3 4" xfId="18287"/>
    <cellStyle name="Normal 3 3 6 4" xfId="18288"/>
    <cellStyle name="Normal 3 3 2 3 4" xfId="18289"/>
    <cellStyle name="Normal 3 3 3 3 4" xfId="18290"/>
    <cellStyle name="Normal 3 4 4 4" xfId="18291"/>
    <cellStyle name="Normal 3 4 2 3 4" xfId="18292"/>
    <cellStyle name="Normal 3 5 4 4" xfId="18293"/>
    <cellStyle name="Normal 3 5 2 3 4" xfId="18294"/>
    <cellStyle name="Normal 3 6 3 4" xfId="18295"/>
    <cellStyle name="Normal 3 7 3 4" xfId="18296"/>
    <cellStyle name="Normal 3 8 3 4" xfId="18297"/>
    <cellStyle name="Normal 3 9 3 4" xfId="18298"/>
    <cellStyle name="Normal 4 2 10 3 4" xfId="18299"/>
    <cellStyle name="Normal 4 2 11 3 4" xfId="18300"/>
    <cellStyle name="Normal 4 2 12 3 4" xfId="18301"/>
    <cellStyle name="Normal 4 2 13 3 4" xfId="18302"/>
    <cellStyle name="Normal 4 2 14 3 4" xfId="18303"/>
    <cellStyle name="Normal 4 2 15 3 4" xfId="18304"/>
    <cellStyle name="Normal 4 2 16 3 4" xfId="18305"/>
    <cellStyle name="Normal 4 2 17 3 4" xfId="18306"/>
    <cellStyle name="Normal 4 2 18 3 4" xfId="18307"/>
    <cellStyle name="Normal 4 2 19 3 4" xfId="18308"/>
    <cellStyle name="Normal 4 2 2 7 4" xfId="18309"/>
    <cellStyle name="Normal 4 2 2 2 3 4" xfId="18310"/>
    <cellStyle name="Normal 4 2 2 3 3 4" xfId="18311"/>
    <cellStyle name="Normal 4 2 2 4 3 4" xfId="18312"/>
    <cellStyle name="Normal 4 2 2 5 3 4" xfId="18313"/>
    <cellStyle name="Normal 4 2 20 3 4" xfId="18314"/>
    <cellStyle name="Normal 4 2 21 3 4" xfId="18315"/>
    <cellStyle name="Normal 4 2 22 3 4" xfId="18316"/>
    <cellStyle name="Normal 4 2 23 3 4" xfId="18317"/>
    <cellStyle name="Normal 4 2 24 3 4" xfId="18318"/>
    <cellStyle name="Normal 4 2 3 4 4" xfId="18319"/>
    <cellStyle name="Normal 4 2 3 2 3 4" xfId="18320"/>
    <cellStyle name="Normal 4 2 4 4 4" xfId="18321"/>
    <cellStyle name="Normal 4 2 4 2 3 4" xfId="18322"/>
    <cellStyle name="Normal 4 2 5 4 4" xfId="18323"/>
    <cellStyle name="Normal 4 2 5 2 3 4" xfId="18324"/>
    <cellStyle name="Normal 4 2 6 3 4" xfId="18325"/>
    <cellStyle name="Normal 4 2 7 3 4" xfId="18326"/>
    <cellStyle name="Normal 4 2 8 3 4" xfId="18327"/>
    <cellStyle name="Normal 4 2 9 3 4" xfId="18328"/>
    <cellStyle name="Normal 4 3 8 4" xfId="18329"/>
    <cellStyle name="Normal 4 3 2 7 4" xfId="18330"/>
    <cellStyle name="Normal 4 3 2 2 6 4" xfId="18331"/>
    <cellStyle name="Normal 4 3 2 2 2 4 4" xfId="18332"/>
    <cellStyle name="Normal 4 3 2 2 2 2 3 4" xfId="18333"/>
    <cellStyle name="Normal 4 3 2 2 3 4 4" xfId="18334"/>
    <cellStyle name="Normal 4 3 2 2 3 2 3 4" xfId="18335"/>
    <cellStyle name="Normal 4 3 2 2 4 3 4" xfId="18336"/>
    <cellStyle name="Normal 4 3 2 3 4 4" xfId="18337"/>
    <cellStyle name="Normal 4 3 2 3 2 3 4" xfId="18338"/>
    <cellStyle name="Normal 4 3 2 4 4 4" xfId="18339"/>
    <cellStyle name="Normal 4 3 2 4 2 3 4" xfId="18340"/>
    <cellStyle name="Normal 4 3 2 5 3 4" xfId="18341"/>
    <cellStyle name="Normal 4 3 3 6 4" xfId="18342"/>
    <cellStyle name="Normal 4 3 3 2 4 4" xfId="18343"/>
    <cellStyle name="Normal 4 3 3 2 2 3 4" xfId="18344"/>
    <cellStyle name="Normal 4 3 3 3 4 4" xfId="18345"/>
    <cellStyle name="Normal 4 3 3 3 2 3 4" xfId="18346"/>
    <cellStyle name="Normal 4 3 3 4 3 4" xfId="18347"/>
    <cellStyle name="Normal 4 3 4 4 4" xfId="18348"/>
    <cellStyle name="Normal 4 3 4 2 3 4" xfId="18349"/>
    <cellStyle name="Normal 4 3 5 4 4" xfId="18350"/>
    <cellStyle name="Normal 4 3 5 2 3 4" xfId="18351"/>
    <cellStyle name="Normal 4 3 6 3 4" xfId="18352"/>
    <cellStyle name="Normal 4 4 5 4" xfId="18353"/>
    <cellStyle name="Normal 4 4 2 3 4" xfId="18354"/>
    <cellStyle name="Normal 4 5 3 4" xfId="18355"/>
    <cellStyle name="Normal 4 6 3 4" xfId="18356"/>
    <cellStyle name="Normal 4 7 3 4" xfId="18357"/>
    <cellStyle name="Normal 4 8 3 4" xfId="18358"/>
    <cellStyle name="Normal 41 2 3 4" xfId="18359"/>
    <cellStyle name="Normal 46 3 4" xfId="18360"/>
    <cellStyle name="Normal 5 28 3 4" xfId="18361"/>
    <cellStyle name="Normal 5 2 8 4" xfId="18362"/>
    <cellStyle name="Normal 5 2 2 2 2 3 4" xfId="18363"/>
    <cellStyle name="Normal 5 2 2 3 3 4" xfId="18364"/>
    <cellStyle name="Normal 5 2 3 2 2 3 4" xfId="18365"/>
    <cellStyle name="Normal 5 2 3 3 3 4" xfId="18366"/>
    <cellStyle name="Normal 5 2 4 2 3 4" xfId="18367"/>
    <cellStyle name="Normal 5 2 6 3 4" xfId="18368"/>
    <cellStyle name="Normal 5 24 3 4" xfId="18369"/>
    <cellStyle name="Normal 5 3 4 4" xfId="18370"/>
    <cellStyle name="Normal 5 4 4 4" xfId="18371"/>
    <cellStyle name="Normal 5 5 4 4" xfId="18372"/>
    <cellStyle name="Normal 5 6 4 4" xfId="18373"/>
    <cellStyle name="Normal 5 7 4 4" xfId="18374"/>
    <cellStyle name="Normal 7 25 3 4" xfId="18375"/>
    <cellStyle name="Normal 7 10 3 4" xfId="18376"/>
    <cellStyle name="Normal 7 11 3 4" xfId="18377"/>
    <cellStyle name="Normal 7 12 3 4" xfId="18378"/>
    <cellStyle name="Normal 7 13 3 4" xfId="18379"/>
    <cellStyle name="Normal 7 14 3 4" xfId="18380"/>
    <cellStyle name="Normal 7 15 3 4" xfId="18381"/>
    <cellStyle name="Normal 7 16 3 4" xfId="18382"/>
    <cellStyle name="Normal 7 17 3 4" xfId="18383"/>
    <cellStyle name="Normal 7 18 3 4" xfId="18384"/>
    <cellStyle name="Normal 7 19 3 4" xfId="18385"/>
    <cellStyle name="Normal 7 2 7 4" xfId="18386"/>
    <cellStyle name="Normal 7 2 2 3 4" xfId="18387"/>
    <cellStyle name="Normal 7 2 3 3 4" xfId="18388"/>
    <cellStyle name="Normal 7 2 4 3 4" xfId="18389"/>
    <cellStyle name="Normal 7 2 5 3 4" xfId="18390"/>
    <cellStyle name="Normal 7 20 3 4" xfId="18391"/>
    <cellStyle name="Normal 7 22 3 4" xfId="18392"/>
    <cellStyle name="Normal 7 3 7 4" xfId="18393"/>
    <cellStyle name="Normal 7 3 2 3 4" xfId="18394"/>
    <cellStyle name="Normal 7 3 3 3 4" xfId="18395"/>
    <cellStyle name="Normal 7 3 4 3 4" xfId="18396"/>
    <cellStyle name="Normal 7 3 5 3 4" xfId="18397"/>
    <cellStyle name="Normal 7 4 3 4" xfId="18398"/>
    <cellStyle name="Normal 7 5 3 4" xfId="18399"/>
    <cellStyle name="Normal 7 6 3 4" xfId="18400"/>
    <cellStyle name="Normal 7 7 3 4" xfId="18401"/>
    <cellStyle name="Normal 7 8 3 4" xfId="18402"/>
    <cellStyle name="Normal 7 9 3 4" xfId="18403"/>
    <cellStyle name="Normal 8 25 3 4" xfId="18404"/>
    <cellStyle name="Normal 8 10 3 4" xfId="18405"/>
    <cellStyle name="Normal 8 11 3 4" xfId="18406"/>
    <cellStyle name="Normal 8 12 3 4" xfId="18407"/>
    <cellStyle name="Normal 8 13 3 4" xfId="18408"/>
    <cellStyle name="Normal 8 14 3 4" xfId="18409"/>
    <cellStyle name="Normal 8 15 3 4" xfId="18410"/>
    <cellStyle name="Normal 8 16 3 4" xfId="18411"/>
    <cellStyle name="Normal 8 17 3 4" xfId="18412"/>
    <cellStyle name="Normal 8 18 3 4" xfId="18413"/>
    <cellStyle name="Normal 8 19 3 4" xfId="18414"/>
    <cellStyle name="Normal 8 2 6 3 4" xfId="18415"/>
    <cellStyle name="Normal 8 2 2 2 3 4" xfId="18416"/>
    <cellStyle name="Normal 8 2 3 3 4" xfId="18417"/>
    <cellStyle name="Normal 8 2 4 3 4" xfId="18418"/>
    <cellStyle name="Normal 8 2 5 3 4" xfId="18419"/>
    <cellStyle name="Normal 8 20 3 4" xfId="18420"/>
    <cellStyle name="Normal 8 22 3 4" xfId="18421"/>
    <cellStyle name="Normal 8 3 6 3 4" xfId="18422"/>
    <cellStyle name="Normal 8 3 2 3 4" xfId="18423"/>
    <cellStyle name="Normal 8 3 3 3 4" xfId="18424"/>
    <cellStyle name="Normal 8 3 4 3 4" xfId="18425"/>
    <cellStyle name="Normal 8 3 5 3 4" xfId="18426"/>
    <cellStyle name="Normal 8 4 3 4" xfId="18427"/>
    <cellStyle name="Normal 8 5 3 4" xfId="18428"/>
    <cellStyle name="Normal 8 6 3 4" xfId="18429"/>
    <cellStyle name="Normal 8 7 3 4" xfId="18430"/>
    <cellStyle name="Normal 8 8 3 4" xfId="18431"/>
    <cellStyle name="Normal 8 9 3 4" xfId="18432"/>
    <cellStyle name="Normal 9 25 3 4" xfId="18433"/>
    <cellStyle name="Normal 9 10 3 4" xfId="18434"/>
    <cellStyle name="Normal 9 11 3 4" xfId="18435"/>
    <cellStyle name="Normal 9 12 3 4" xfId="18436"/>
    <cellStyle name="Normal 9 13 3 4" xfId="18437"/>
    <cellStyle name="Normal 9 14 3 4" xfId="18438"/>
    <cellStyle name="Normal 9 15 3 4" xfId="18439"/>
    <cellStyle name="Normal 9 16 3 4" xfId="18440"/>
    <cellStyle name="Normal 9 17 3 4" xfId="18441"/>
    <cellStyle name="Normal 9 18 3 4" xfId="18442"/>
    <cellStyle name="Normal 9 19 3 4" xfId="18443"/>
    <cellStyle name="Normal 9 2 7 4" xfId="18444"/>
    <cellStyle name="Normal 9 2 2 3 4" xfId="18445"/>
    <cellStyle name="Normal 9 2 3 3 4" xfId="18446"/>
    <cellStyle name="Normal 9 2 4 3 4" xfId="18447"/>
    <cellStyle name="Normal 9 2 5 3 4" xfId="18448"/>
    <cellStyle name="Normal 9 20 3 4" xfId="18449"/>
    <cellStyle name="Normal 9 22 3 4" xfId="18450"/>
    <cellStyle name="Normal 9 3 7 4" xfId="18451"/>
    <cellStyle name="Normal 9 3 2 3 4" xfId="18452"/>
    <cellStyle name="Normal 9 3 3 3 4" xfId="18453"/>
    <cellStyle name="Normal 9 3 4 3 4" xfId="18454"/>
    <cellStyle name="Normal 9 3 5 3 4" xfId="18455"/>
    <cellStyle name="Normal 9 4 3 4" xfId="18456"/>
    <cellStyle name="Normal 9 5 3 4" xfId="18457"/>
    <cellStyle name="Normal 9 6 3 4" xfId="18458"/>
    <cellStyle name="Normal 9 7 3 4" xfId="18459"/>
    <cellStyle name="Normal 9 8 3 4" xfId="18460"/>
    <cellStyle name="Normal 9 9 3 4" xfId="18461"/>
    <cellStyle name="Note 2 3 4" xfId="18462"/>
    <cellStyle name="Note 3 3 4" xfId="18463"/>
    <cellStyle name="Note 4 3 4" xfId="18464"/>
    <cellStyle name="Note 7 3 4" xfId="18465"/>
    <cellStyle name="Percent 120 3 4" xfId="18466"/>
    <cellStyle name="Percent 121 3 4" xfId="18467"/>
    <cellStyle name="Percent 122 3 4" xfId="18468"/>
    <cellStyle name="Percent 123 3 4" xfId="18469"/>
    <cellStyle name="Percent 124 3 4" xfId="18470"/>
    <cellStyle name="Percent 125 3 4" xfId="18471"/>
    <cellStyle name="Percent 126 3 4" xfId="18472"/>
    <cellStyle name="Percent 127 3 4" xfId="18473"/>
    <cellStyle name="Percent 128 3 4" xfId="18474"/>
    <cellStyle name="Percent 129 3 4" xfId="18475"/>
    <cellStyle name="Percent 130 3 4" xfId="18476"/>
    <cellStyle name="Percent 159 3 4" xfId="18477"/>
    <cellStyle name="Percent 2 22 3 4" xfId="18478"/>
    <cellStyle name="Percent 25 2 4 4" xfId="18479"/>
    <cellStyle name="Percent 25 2 2 3 4" xfId="18480"/>
    <cellStyle name="Percent 25 3 4 4" xfId="18481"/>
    <cellStyle name="Percent 25 3 2 3 4" xfId="18482"/>
    <cellStyle name="Percent 25 4 2 3 4" xfId="18483"/>
    <cellStyle name="Percent 25 5 3 4" xfId="18484"/>
    <cellStyle name="Percent 26 2 4 4" xfId="18485"/>
    <cellStyle name="Percent 26 2 2 3 4" xfId="18486"/>
    <cellStyle name="Percent 26 3 4 4" xfId="18487"/>
    <cellStyle name="Percent 26 3 2 3 4" xfId="18488"/>
    <cellStyle name="Percent 26 4 2 3 4" xfId="18489"/>
    <cellStyle name="Percent 26 5 3 4" xfId="18490"/>
    <cellStyle name="Percent 27 2 4 4" xfId="18491"/>
    <cellStyle name="Percent 27 2 2 3 4" xfId="18492"/>
    <cellStyle name="Percent 27 3 4 4" xfId="18493"/>
    <cellStyle name="Percent 27 3 2 3 4" xfId="18494"/>
    <cellStyle name="Percent 27 4 2 3 4" xfId="18495"/>
    <cellStyle name="Percent 27 5 3 4" xfId="18496"/>
    <cellStyle name="Percent 28 2 4 4" xfId="18497"/>
    <cellStyle name="Percent 28 2 2 3 4" xfId="18498"/>
    <cellStyle name="Percent 28 3 4 4" xfId="18499"/>
    <cellStyle name="Percent 28 3 2 3 4" xfId="18500"/>
    <cellStyle name="Percent 28 4 2 3 4" xfId="18501"/>
    <cellStyle name="Percent 28 5 3 4" xfId="18502"/>
    <cellStyle name="Percent 29 2 4 4" xfId="18503"/>
    <cellStyle name="Percent 29 2 2 3 4" xfId="18504"/>
    <cellStyle name="Percent 29 3 4 4" xfId="18505"/>
    <cellStyle name="Percent 29 3 2 3 4" xfId="18506"/>
    <cellStyle name="Percent 29 4 2 3 4" xfId="18507"/>
    <cellStyle name="Percent 29 5 3 4" xfId="18508"/>
    <cellStyle name="Percent 3 10 3 4" xfId="18509"/>
    <cellStyle name="Percent 3 11 3 4" xfId="18510"/>
    <cellStyle name="Percent 3 12 3 4" xfId="18511"/>
    <cellStyle name="Percent 3 13 3 4" xfId="18512"/>
    <cellStyle name="Percent 3 14 3 4" xfId="18513"/>
    <cellStyle name="Percent 3 15 3 4" xfId="18514"/>
    <cellStyle name="Percent 3 16 3 4" xfId="18515"/>
    <cellStyle name="Percent 3 17 3 4" xfId="18516"/>
    <cellStyle name="Percent 3 18 3 4" xfId="18517"/>
    <cellStyle name="Percent 3 19 3 4" xfId="18518"/>
    <cellStyle name="Percent 3 2 24 4" xfId="18519"/>
    <cellStyle name="Percent 3 2 10 3 4" xfId="18520"/>
    <cellStyle name="Percent 3 2 11 3 4" xfId="18521"/>
    <cellStyle name="Percent 3 2 12 3 4" xfId="18522"/>
    <cellStyle name="Percent 3 2 13 3 4" xfId="18523"/>
    <cellStyle name="Percent 3 2 14 3 4" xfId="18524"/>
    <cellStyle name="Percent 3 2 15 3 4" xfId="18525"/>
    <cellStyle name="Percent 3 2 16 3 4" xfId="18526"/>
    <cellStyle name="Percent 3 2 17 3 4" xfId="18527"/>
    <cellStyle name="Percent 3 2 18 3 4" xfId="18528"/>
    <cellStyle name="Percent 3 2 19 3 4" xfId="18529"/>
    <cellStyle name="Percent 3 2 2 2 3 4" xfId="18530"/>
    <cellStyle name="Percent 3 2 2 3 3 4" xfId="18531"/>
    <cellStyle name="Percent 3 2 2 4 3 4" xfId="18532"/>
    <cellStyle name="Percent 3 2 2 5 3 4" xfId="18533"/>
    <cellStyle name="Percent 3 2 20 3 4" xfId="18534"/>
    <cellStyle name="Percent 3 2 21 2 3 4" xfId="18535"/>
    <cellStyle name="Percent 3 2 3 7 4" xfId="18536"/>
    <cellStyle name="Percent 3 2 3 2 3 4" xfId="18537"/>
    <cellStyle name="Percent 3 2 3 3 3 4" xfId="18538"/>
    <cellStyle name="Percent 3 2 3 4 3 4" xfId="18539"/>
    <cellStyle name="Percent 3 2 3 5 3 4" xfId="18540"/>
    <cellStyle name="Percent 3 2 4 4 4" xfId="18541"/>
    <cellStyle name="Percent 3 2 4 2 3 4" xfId="18542"/>
    <cellStyle name="Percent 3 2 5 4 4" xfId="18543"/>
    <cellStyle name="Percent 3 2 5 2 3 4" xfId="18544"/>
    <cellStyle name="Percent 3 2 6 4 4" xfId="18545"/>
    <cellStyle name="Percent 3 2 6 2 3 4" xfId="18546"/>
    <cellStyle name="Percent 3 2 7 3 4" xfId="18547"/>
    <cellStyle name="Percent 3 2 8 3 4" xfId="18548"/>
    <cellStyle name="Percent 3 2 9 3 4" xfId="18549"/>
    <cellStyle name="Percent 3 20 3 4" xfId="18550"/>
    <cellStyle name="Percent 3 21 3 4" xfId="18551"/>
    <cellStyle name="Percent 3 3 2 3 4" xfId="18552"/>
    <cellStyle name="Percent 3 3 3 3 4" xfId="18553"/>
    <cellStyle name="Percent 3 3 4 3 4" xfId="18554"/>
    <cellStyle name="Percent 3 3 5 3 4" xfId="18555"/>
    <cellStyle name="Percent 3 4 7 4" xfId="18556"/>
    <cellStyle name="Percent 3 4 2 3 4" xfId="18557"/>
    <cellStyle name="Percent 3 4 3 3 4" xfId="18558"/>
    <cellStyle name="Percent 3 4 4 3 4" xfId="18559"/>
    <cellStyle name="Percent 3 4 5 3 4" xfId="18560"/>
    <cellStyle name="Percent 3 5 4 4" xfId="18561"/>
    <cellStyle name="Percent 3 5 2 3 4" xfId="18562"/>
    <cellStyle name="Percent 3 6 4 4" xfId="18563"/>
    <cellStyle name="Percent 3 6 2 3 4" xfId="18564"/>
    <cellStyle name="Percent 3 7 4 4" xfId="18565"/>
    <cellStyle name="Percent 3 7 2 3 4" xfId="18566"/>
    <cellStyle name="Percent 3 8 3 4" xfId="18567"/>
    <cellStyle name="Percent 3 9 3 4" xfId="18568"/>
    <cellStyle name="Percent 30 2 4 4" xfId="18569"/>
    <cellStyle name="Percent 30 2 2 3 4" xfId="18570"/>
    <cellStyle name="Percent 30 3 4 4" xfId="18571"/>
    <cellStyle name="Percent 30 3 2 3 4" xfId="18572"/>
    <cellStyle name="Percent 30 4 2 3 4" xfId="18573"/>
    <cellStyle name="Percent 30 5 3 4" xfId="18574"/>
    <cellStyle name="Percent 31 2 4 4" xfId="18575"/>
    <cellStyle name="Percent 31 2 2 3 4" xfId="18576"/>
    <cellStyle name="Percent 31 3 4 4" xfId="18577"/>
    <cellStyle name="Percent 31 3 2 3 4" xfId="18578"/>
    <cellStyle name="Percent 31 4 2 3 4" xfId="18579"/>
    <cellStyle name="Percent 31 5 3 4" xfId="18580"/>
    <cellStyle name="Percent 32 2 4 4" xfId="18581"/>
    <cellStyle name="Percent 32 2 2 3 4" xfId="18582"/>
    <cellStyle name="Percent 32 3 4 4" xfId="18583"/>
    <cellStyle name="Percent 32 3 2 3 4" xfId="18584"/>
    <cellStyle name="Percent 32 4 2 3 4" xfId="18585"/>
    <cellStyle name="Percent 32 5 3 4" xfId="18586"/>
    <cellStyle name="Percent 33 2 4 4" xfId="18587"/>
    <cellStyle name="Percent 33 2 2 3 4" xfId="18588"/>
    <cellStyle name="Percent 33 3 4 4" xfId="18589"/>
    <cellStyle name="Percent 33 3 2 3 4" xfId="18590"/>
    <cellStyle name="Percent 33 4 2 3 4" xfId="18591"/>
    <cellStyle name="Percent 33 5 3 4" xfId="18592"/>
    <cellStyle name="Percent 34 2 4 4" xfId="18593"/>
    <cellStyle name="Percent 34 2 2 3 4" xfId="18594"/>
    <cellStyle name="Percent 34 3 4 4" xfId="18595"/>
    <cellStyle name="Percent 34 3 2 3 4" xfId="18596"/>
    <cellStyle name="Percent 34 4 2 3 4" xfId="18597"/>
    <cellStyle name="Percent 34 5 3 4" xfId="18598"/>
    <cellStyle name="Percent 35 2 4 4" xfId="18599"/>
    <cellStyle name="Percent 35 2 2 3 4" xfId="18600"/>
    <cellStyle name="Percent 35 3 4 4" xfId="18601"/>
    <cellStyle name="Percent 35 3 2 3 4" xfId="18602"/>
    <cellStyle name="Percent 35 4 2 3 4" xfId="18603"/>
    <cellStyle name="Percent 35 5 3 4" xfId="18604"/>
    <cellStyle name="Currency 5 4 3 4" xfId="18605"/>
    <cellStyle name="Comma 5 7 3 4" xfId="18606"/>
    <cellStyle name="Percent 5 4 3 4" xfId="18607"/>
    <cellStyle name="Comma 6 5 3 4" xfId="18608"/>
    <cellStyle name="Currency 5 2 4 3 4" xfId="18609"/>
    <cellStyle name="Comma 5 2 4 3 4" xfId="18610"/>
    <cellStyle name="Percent 5 2 4 3 4" xfId="18611"/>
    <cellStyle name="Comma 6 2 3 3 4" xfId="18612"/>
    <cellStyle name="Currency 5 3 2 3 4" xfId="18613"/>
    <cellStyle name="Comma 5 3 2 3 4" xfId="18614"/>
    <cellStyle name="Percent 5 3 2 3 4" xfId="18615"/>
    <cellStyle name="Comma 6 3 4 3 4" xfId="18616"/>
    <cellStyle name="Normal 11 2 2 3 4" xfId="18617"/>
    <cellStyle name="Currency 5 2 2 2 3 4" xfId="18618"/>
    <cellStyle name="Comma 5 2 2 2 3 4" xfId="18619"/>
    <cellStyle name="Percent 5 2 2 2 3 4" xfId="18620"/>
    <cellStyle name="Comma 6 2 2 2 3 4" xfId="18621"/>
    <cellStyle name="Normal 51 3 4" xfId="18622"/>
    <cellStyle name="Comma 187 3 4" xfId="18623"/>
    <cellStyle name="Percent 163 3 4" xfId="18624"/>
    <cellStyle name="Currency 162 3 4" xfId="18625"/>
    <cellStyle name="Currency 5 6 2 4" xfId="18626"/>
    <cellStyle name="Currency 179 2 4" xfId="18627"/>
    <cellStyle name="Percent 180 2 4" xfId="18628"/>
    <cellStyle name="Comma 204 2 4" xfId="18629"/>
    <cellStyle name="Normal 8 26 2 4" xfId="18630"/>
    <cellStyle name="Comma 5 9 2 4" xfId="18631"/>
    <cellStyle name="Percent 5 6 2 4" xfId="18632"/>
    <cellStyle name="Comma 6 7 2 4" xfId="18633"/>
    <cellStyle name="Normal 11 5 2 4" xfId="18634"/>
    <cellStyle name="Currency 5 2 6 2 4" xfId="18635"/>
    <cellStyle name="Normal 8 2 7 2 4" xfId="18636"/>
    <cellStyle name="Comma 5 2 6 2 4" xfId="18637"/>
    <cellStyle name="Percent 5 2 6 2 4" xfId="18638"/>
    <cellStyle name="Comma 6 2 5 2 4" xfId="18639"/>
    <cellStyle name="Currency 5 3 4 2 4" xfId="18640"/>
    <cellStyle name="Normal 8 3 7 2 4" xfId="18641"/>
    <cellStyle name="Comma 5 3 4 2 4" xfId="18642"/>
    <cellStyle name="Percent 5 3 4 2 4" xfId="18643"/>
    <cellStyle name="Comma 6 3 6 2 4" xfId="18644"/>
    <cellStyle name="Normal 11 2 4 2 4" xfId="18645"/>
    <cellStyle name="Currency 5 2 2 4 2 4" xfId="18646"/>
    <cellStyle name="Normal 8 2 2 3 2 4" xfId="18647"/>
    <cellStyle name="Comma 5 2 2 4 2 4" xfId="18648"/>
    <cellStyle name="Percent 5 2 2 4 2 4" xfId="18649"/>
    <cellStyle name="Comma 6 2 2 3 2 4" xfId="18650"/>
    <cellStyle name="Normal 50 2 2 4" xfId="18651"/>
    <cellStyle name="Comma 186 2 2 4" xfId="18652"/>
    <cellStyle name="Percent 162 2 2 4" xfId="18653"/>
    <cellStyle name="Normal 2 24 2 2 4" xfId="18654"/>
    <cellStyle name="20% - Accent1 2 2 2 4" xfId="18655"/>
    <cellStyle name="20% - Accent1 3 2 2 4" xfId="18656"/>
    <cellStyle name="20% - Accent1 4 2 2 4" xfId="18657"/>
    <cellStyle name="20% - Accent1 5 2 2 4" xfId="18658"/>
    <cellStyle name="20% - Accent2 2 2 2 4" xfId="18659"/>
    <cellStyle name="20% - Accent2 3 2 2 4" xfId="18660"/>
    <cellStyle name="20% - Accent2 4 2 2 4" xfId="18661"/>
    <cellStyle name="20% - Accent2 5 2 2 4" xfId="18662"/>
    <cellStyle name="20% - Accent3 2 2 2 4" xfId="18663"/>
    <cellStyle name="20% - Accent3 3 2 2 4" xfId="18664"/>
    <cellStyle name="20% - Accent3 4 2 2 4" xfId="18665"/>
    <cellStyle name="20% - Accent3 5 2 2 4" xfId="18666"/>
    <cellStyle name="20% - Accent4 2 2 2 4" xfId="18667"/>
    <cellStyle name="20% - Accent4 3 2 2 4" xfId="18668"/>
    <cellStyle name="20% - Accent4 4 2 2 4" xfId="18669"/>
    <cellStyle name="20% - Accent4 5 2 2 4" xfId="18670"/>
    <cellStyle name="20% - Accent5 2 2 2 4" xfId="18671"/>
    <cellStyle name="20% - Accent5 3 2 2 4" xfId="18672"/>
    <cellStyle name="20% - Accent5 4 2 2 4" xfId="18673"/>
    <cellStyle name="20% - Accent6 2 2 2 4" xfId="18674"/>
    <cellStyle name="20% - Accent6 3 2 2 4" xfId="18675"/>
    <cellStyle name="20% - Accent6 4 2 2 4" xfId="18676"/>
    <cellStyle name="40% - Accent1 2 2 2 4" xfId="18677"/>
    <cellStyle name="40% - Accent1 3 2 2 4" xfId="18678"/>
    <cellStyle name="40% - Accent1 4 2 2 4" xfId="18679"/>
    <cellStyle name="40% - Accent1 5 2 2 4" xfId="18680"/>
    <cellStyle name="40% - Accent2 2 2 2 4" xfId="18681"/>
    <cellStyle name="40% - Accent2 3 2 2 4" xfId="18682"/>
    <cellStyle name="40% - Accent2 4 2 2 4" xfId="18683"/>
    <cellStyle name="40% - Accent3 2 2 2 4" xfId="18684"/>
    <cellStyle name="40% - Accent3 3 2 2 4" xfId="18685"/>
    <cellStyle name="40% - Accent3 4 2 2 4" xfId="18686"/>
    <cellStyle name="40% - Accent3 5 2 2 4" xfId="18687"/>
    <cellStyle name="40% - Accent4 2 2 2 4" xfId="18688"/>
    <cellStyle name="40% - Accent4 3 2 2 4" xfId="18689"/>
    <cellStyle name="40% - Accent4 4 2 2 4" xfId="18690"/>
    <cellStyle name="40% - Accent4 5 2 2 4" xfId="18691"/>
    <cellStyle name="40% - Accent5 2 2 2 4" xfId="18692"/>
    <cellStyle name="40% - Accent5 3 2 2 4" xfId="18693"/>
    <cellStyle name="40% - Accent5 4 2 2 4" xfId="18694"/>
    <cellStyle name="40% - Accent6 2 2 2 4" xfId="18695"/>
    <cellStyle name="40% - Accent6 3 2 2 4" xfId="18696"/>
    <cellStyle name="40% - Accent6 4 2 2 4" xfId="18697"/>
    <cellStyle name="40% - Accent6 5 2 2 4" xfId="18698"/>
    <cellStyle name="Comma 143 2 2 4" xfId="18699"/>
    <cellStyle name="Comma 144 2 2 4" xfId="18700"/>
    <cellStyle name="Comma 145 2 2 4" xfId="18701"/>
    <cellStyle name="Comma 146 2 2 4" xfId="18702"/>
    <cellStyle name="Comma 147 2 2 4" xfId="18703"/>
    <cellStyle name="Comma 148 2 2 4" xfId="18704"/>
    <cellStyle name="Comma 149 2 2 4" xfId="18705"/>
    <cellStyle name="Comma 150 2 2 4" xfId="18706"/>
    <cellStyle name="Comma 151 2 2 4" xfId="18707"/>
    <cellStyle name="Comma 152 2 2 4" xfId="18708"/>
    <cellStyle name="Comma 153 2 2 4" xfId="18709"/>
    <cellStyle name="Comma 182 2 2 4" xfId="18710"/>
    <cellStyle name="Comma 2 23 2 2 4" xfId="18711"/>
    <cellStyle name="Comma 2 2 10 2 2 4" xfId="18712"/>
    <cellStyle name="Comma 2 2 11 2 2 4" xfId="18713"/>
    <cellStyle name="Comma 2 2 12 2 2 4" xfId="18714"/>
    <cellStyle name="Comma 2 2 13 2 2 4" xfId="18715"/>
    <cellStyle name="Comma 2 2 14 2 2 4" xfId="18716"/>
    <cellStyle name="Comma 2 2 15 2 2 4" xfId="18717"/>
    <cellStyle name="Comma 2 2 16 2 2 4" xfId="18718"/>
    <cellStyle name="Comma 2 2 17 2 2 4" xfId="18719"/>
    <cellStyle name="Comma 2 2 2 2 6 2 4" xfId="18720"/>
    <cellStyle name="Comma 2 2 2 2 2 2 2 4" xfId="18721"/>
    <cellStyle name="Comma 2 2 2 2 3 2 2 4" xfId="18722"/>
    <cellStyle name="Comma 2 2 2 2 4 2 2 4" xfId="18723"/>
    <cellStyle name="Comma 2 2 2 2 5 2 2 4" xfId="18724"/>
    <cellStyle name="Comma 2 2 2 3 2 2 4" xfId="18725"/>
    <cellStyle name="Comma 2 2 2 4 2 2 4" xfId="18726"/>
    <cellStyle name="Comma 2 2 2 5 2 2 4" xfId="18727"/>
    <cellStyle name="Comma 2 2 2 6 2 2 4" xfId="18728"/>
    <cellStyle name="Comma 2 2 3 6 2 4" xfId="18729"/>
    <cellStyle name="Comma 2 2 3 2 2 2 2 4" xfId="18730"/>
    <cellStyle name="Comma 2 2 3 2 3 2 2 4" xfId="18731"/>
    <cellStyle name="Comma 2 2 3 2 4 2 2 4" xfId="18732"/>
    <cellStyle name="Comma 2 2 3 2 5 2 2 4" xfId="18733"/>
    <cellStyle name="Comma 2 2 3 3 2 2 4" xfId="18734"/>
    <cellStyle name="Comma 2 2 4 2 2 2 4" xfId="18735"/>
    <cellStyle name="Comma 2 2 5 2 2 4" xfId="18736"/>
    <cellStyle name="Comma 2 2 6 2 2 4" xfId="18737"/>
    <cellStyle name="Comma 2 2 7 2 2 4" xfId="18738"/>
    <cellStyle name="Comma 2 2 8 2 2 4" xfId="18739"/>
    <cellStyle name="Comma 2 2 9 2 2 4" xfId="18740"/>
    <cellStyle name="Comma 3 10 2 2 4" xfId="18741"/>
    <cellStyle name="Comma 3 11 2 2 4" xfId="18742"/>
    <cellStyle name="Comma 3 12 2 2 4" xfId="18743"/>
    <cellStyle name="Comma 3 13 2 2 4" xfId="18744"/>
    <cellStyle name="Comma 3 14 2 2 4" xfId="18745"/>
    <cellStyle name="Comma 3 15 2 2 4" xfId="18746"/>
    <cellStyle name="Comma 3 16 2 2 4" xfId="18747"/>
    <cellStyle name="Comma 3 17 2 2 4" xfId="18748"/>
    <cellStyle name="Comma 3 18 2 2 4" xfId="18749"/>
    <cellStyle name="Comma 3 19 2 2 4" xfId="18750"/>
    <cellStyle name="Comma 3 2 2 2 2 4" xfId="18751"/>
    <cellStyle name="Comma 3 2 3 2 2 4" xfId="18752"/>
    <cellStyle name="Comma 3 2 4 2 2 4" xfId="18753"/>
    <cellStyle name="Comma 3 2 5 2 2 4" xfId="18754"/>
    <cellStyle name="Comma 3 20 2 2 4" xfId="18755"/>
    <cellStyle name="Comma 3 21 2 2 4" xfId="18756"/>
    <cellStyle name="Comma 3 3 6 2 4" xfId="18757"/>
    <cellStyle name="Comma 3 3 2 2 2 4" xfId="18758"/>
    <cellStyle name="Comma 3 3 3 2 2 4" xfId="18759"/>
    <cellStyle name="Comma 3 3 4 2 2 4" xfId="18760"/>
    <cellStyle name="Comma 3 3 5 2 2 4" xfId="18761"/>
    <cellStyle name="Comma 3 4 3 2 4" xfId="18762"/>
    <cellStyle name="Comma 3 4 2 2 2 4" xfId="18763"/>
    <cellStyle name="Comma 3 5 3 2 4" xfId="18764"/>
    <cellStyle name="Comma 3 5 2 2 2 4" xfId="18765"/>
    <cellStyle name="Comma 3 6 3 2 4" xfId="18766"/>
    <cellStyle name="Comma 3 6 2 2 2 4" xfId="18767"/>
    <cellStyle name="Comma 3 7 2 2 4" xfId="18768"/>
    <cellStyle name="Comma 3 8 2 2 4" xfId="18769"/>
    <cellStyle name="Comma 3 9 2 2 4" xfId="18770"/>
    <cellStyle name="Currency 120 2 2 4" xfId="18771"/>
    <cellStyle name="Currency 121 2 2 4" xfId="18772"/>
    <cellStyle name="Currency 122 2 2 4" xfId="18773"/>
    <cellStyle name="Currency 123 2 2 4" xfId="18774"/>
    <cellStyle name="Currency 124 2 2 4" xfId="18775"/>
    <cellStyle name="Currency 125 2 2 4" xfId="18776"/>
    <cellStyle name="Currency 126 2 2 4" xfId="18777"/>
    <cellStyle name="Currency 127 2 2 4" xfId="18778"/>
    <cellStyle name="Currency 128 2 2 4" xfId="18779"/>
    <cellStyle name="Currency 129 2 2 4" xfId="18780"/>
    <cellStyle name="Currency 130 2 2 4" xfId="18781"/>
    <cellStyle name="Currency 159 2 2 4" xfId="18782"/>
    <cellStyle name="Currency 2 27 2 2 4" xfId="18783"/>
    <cellStyle name="Currency 2 2 20 2 2 4" xfId="18784"/>
    <cellStyle name="Currency 2 2 10 2 2 4" xfId="18785"/>
    <cellStyle name="Currency 2 2 11 2 2 4" xfId="18786"/>
    <cellStyle name="Currency 2 2 12 2 2 4" xfId="18787"/>
    <cellStyle name="Currency 2 2 13 2 2 4" xfId="18788"/>
    <cellStyle name="Currency 2 2 14 2 2 4" xfId="18789"/>
    <cellStyle name="Currency 2 2 15 2 2 4" xfId="18790"/>
    <cellStyle name="Currency 2 2 16 2 2 4" xfId="18791"/>
    <cellStyle name="Currency 2 2 17 2 2 4" xfId="18792"/>
    <cellStyle name="Currency 2 2 18 2 2 4" xfId="18793"/>
    <cellStyle name="Currency 2 2 2 2 2 2 4" xfId="18794"/>
    <cellStyle name="Currency 2 2 2 3 2 2 4" xfId="18795"/>
    <cellStyle name="Currency 2 2 2 4 2 2 4" xfId="18796"/>
    <cellStyle name="Currency 2 2 2 5 2 2 4" xfId="18797"/>
    <cellStyle name="Currency 2 2 3 6 2 4" xfId="18798"/>
    <cellStyle name="Currency 2 2 3 2 2 2 4" xfId="18799"/>
    <cellStyle name="Currency 2 2 3 3 2 2 4" xfId="18800"/>
    <cellStyle name="Currency 2 2 3 4 2 2 4" xfId="18801"/>
    <cellStyle name="Currency 2 2 3 5 2 2 4" xfId="18802"/>
    <cellStyle name="Currency 2 2 4 2 2 4" xfId="18803"/>
    <cellStyle name="Currency 2 2 5 2 2 4" xfId="18804"/>
    <cellStyle name="Currency 2 2 6 2 2 4" xfId="18805"/>
    <cellStyle name="Currency 2 2 7 2 2 4" xfId="18806"/>
    <cellStyle name="Currency 2 2 8 2 2 4" xfId="18807"/>
    <cellStyle name="Currency 2 2 9 2 2 4" xfId="18808"/>
    <cellStyle name="Currency 3 10 2 2 4" xfId="18809"/>
    <cellStyle name="Currency 3 11 2 2 4" xfId="18810"/>
    <cellStyle name="Currency 3 12 2 2 4" xfId="18811"/>
    <cellStyle name="Currency 3 13 2 2 4" xfId="18812"/>
    <cellStyle name="Currency 3 14 2 2 4" xfId="18813"/>
    <cellStyle name="Currency 3 15 2 2 4" xfId="18814"/>
    <cellStyle name="Currency 3 16 2 2 4" xfId="18815"/>
    <cellStyle name="Currency 3 17 2 2 4" xfId="18816"/>
    <cellStyle name="Currency 3 18 2 2 4" xfId="18817"/>
    <cellStyle name="Currency 3 19 2 2 4" xfId="18818"/>
    <cellStyle name="Currency 3 2 2 2 2 4" xfId="18819"/>
    <cellStyle name="Currency 3 2 3 2 2 4" xfId="18820"/>
    <cellStyle name="Currency 3 2 4 2 2 4" xfId="18821"/>
    <cellStyle name="Currency 3 2 5 2 2 4" xfId="18822"/>
    <cellStyle name="Currency 3 20 2 2 4" xfId="18823"/>
    <cellStyle name="Currency 3 21 2 2 4" xfId="18824"/>
    <cellStyle name="Currency 3 3 8 2 4" xfId="18825"/>
    <cellStyle name="Currency 3 3 2 2 2 4" xfId="18826"/>
    <cellStyle name="Currency 3 3 3 2 2 4" xfId="18827"/>
    <cellStyle name="Currency 3 3 4 2 2 4" xfId="18828"/>
    <cellStyle name="Currency 3 3 5 2 2 4" xfId="18829"/>
    <cellStyle name="Currency 3 3 6 2 2 4" xfId="18830"/>
    <cellStyle name="Currency 3 4 3 2 4" xfId="18831"/>
    <cellStyle name="Currency 3 4 2 2 2 4" xfId="18832"/>
    <cellStyle name="Currency 3 5 3 2 4" xfId="18833"/>
    <cellStyle name="Currency 3 5 2 2 2 4" xfId="18834"/>
    <cellStyle name="Currency 3 6 3 2 4" xfId="18835"/>
    <cellStyle name="Currency 3 6 2 2 2 4" xfId="18836"/>
    <cellStyle name="Currency 3 7 2 2 4" xfId="18837"/>
    <cellStyle name="Currency 3 8 2 2 4" xfId="18838"/>
    <cellStyle name="Currency 3 9 2 2 4" xfId="18839"/>
    <cellStyle name="Normal 10 3 6 2 4" xfId="18840"/>
    <cellStyle name="Normal 10 3 2 5 2 4" xfId="18841"/>
    <cellStyle name="Normal 10 3 2 2 3 2 4" xfId="18842"/>
    <cellStyle name="Normal 10 3 2 2 2 2 2 4" xfId="18843"/>
    <cellStyle name="Normal 10 3 2 3 3 2 4" xfId="18844"/>
    <cellStyle name="Normal 10 3 2 3 2 2 2 4" xfId="18845"/>
    <cellStyle name="Normal 10 3 2 4 2 2 4" xfId="18846"/>
    <cellStyle name="Normal 10 3 3 3 2 4" xfId="18847"/>
    <cellStyle name="Normal 10 3 3 2 2 2 4" xfId="18848"/>
    <cellStyle name="Normal 10 3 4 3 2 4" xfId="18849"/>
    <cellStyle name="Normal 10 3 4 2 2 2 4" xfId="18850"/>
    <cellStyle name="Normal 10 3 5 2 2 4" xfId="18851"/>
    <cellStyle name="Normal 10 4 5 2 4" xfId="18852"/>
    <cellStyle name="Normal 10 4 2 3 2 4" xfId="18853"/>
    <cellStyle name="Normal 10 4 2 2 2 2 4" xfId="18854"/>
    <cellStyle name="Normal 10 4 3 3 2 4" xfId="18855"/>
    <cellStyle name="Normal 10 4 3 2 2 2 4" xfId="18856"/>
    <cellStyle name="Normal 10 4 4 2 2 4" xfId="18857"/>
    <cellStyle name="Normal 10 5 5 2 4" xfId="18858"/>
    <cellStyle name="Normal 10 5 2 3 2 4" xfId="18859"/>
    <cellStyle name="Normal 10 5 2 2 2 2 4" xfId="18860"/>
    <cellStyle name="Normal 10 5 3 3 2 4" xfId="18861"/>
    <cellStyle name="Normal 10 5 3 2 2 2 4" xfId="18862"/>
    <cellStyle name="Normal 10 5 4 2 2 4" xfId="18863"/>
    <cellStyle name="Normal 10 6 3 2 4" xfId="18864"/>
    <cellStyle name="Normal 10 6 2 2 2 4" xfId="18865"/>
    <cellStyle name="Normal 10 7 3 2 4" xfId="18866"/>
    <cellStyle name="Normal 10 7 2 2 2 4" xfId="18867"/>
    <cellStyle name="Normal 10 8 2 2 2 4" xfId="18868"/>
    <cellStyle name="Normal 10 9 2 2 4" xfId="18869"/>
    <cellStyle name="Normal 11 4 2 2 4" xfId="18870"/>
    <cellStyle name="Normal 11 3 2 2 4" xfId="18871"/>
    <cellStyle name="Normal 12 8 2 4" xfId="18872"/>
    <cellStyle name="Normal 12 2 2 5 2 4" xfId="18873"/>
    <cellStyle name="Normal 12 2 2 2 3 2 4" xfId="18874"/>
    <cellStyle name="Normal 12 2 2 2 2 2 2 4" xfId="18875"/>
    <cellStyle name="Normal 12 2 2 3 3 2 4" xfId="18876"/>
    <cellStyle name="Normal 12 2 2 3 2 2 2 4" xfId="18877"/>
    <cellStyle name="Normal 12 2 2 4 2 2 4" xfId="18878"/>
    <cellStyle name="Normal 12 2 3 3 2 4" xfId="18879"/>
    <cellStyle name="Normal 12 2 3 2 2 2 4" xfId="18880"/>
    <cellStyle name="Normal 12 2 4 3 2 4" xfId="18881"/>
    <cellStyle name="Normal 12 2 4 2 2 2 4" xfId="18882"/>
    <cellStyle name="Normal 12 2 5 2 2 2 4" xfId="18883"/>
    <cellStyle name="Normal 12 2 6 2 2 4" xfId="18884"/>
    <cellStyle name="Normal 12 3 5 2 4" xfId="18885"/>
    <cellStyle name="Normal 12 3 2 3 2 4" xfId="18886"/>
    <cellStyle name="Normal 12 3 2 2 2 2 4" xfId="18887"/>
    <cellStyle name="Normal 12 3 3 3 2 4" xfId="18888"/>
    <cellStyle name="Normal 12 3 3 2 2 2 4" xfId="18889"/>
    <cellStyle name="Normal 12 3 4 2 2 4" xfId="18890"/>
    <cellStyle name="Normal 12 4 5 2 4" xfId="18891"/>
    <cellStyle name="Normal 12 4 2 3 2 4" xfId="18892"/>
    <cellStyle name="Normal 12 4 2 2 2 2 4" xfId="18893"/>
    <cellStyle name="Normal 12 4 3 3 2 4" xfId="18894"/>
    <cellStyle name="Normal 12 4 3 2 2 2 4" xfId="18895"/>
    <cellStyle name="Normal 12 4 4 2 2 4" xfId="18896"/>
    <cellStyle name="Normal 12 5 3 2 4" xfId="18897"/>
    <cellStyle name="Normal 12 5 2 2 2 4" xfId="18898"/>
    <cellStyle name="Normal 12 6 3 2 4" xfId="18899"/>
    <cellStyle name="Normal 12 6 2 2 2 4" xfId="18900"/>
    <cellStyle name="Normal 12 7 2 2 4" xfId="18901"/>
    <cellStyle name="Normal 15 6 2 4" xfId="18902"/>
    <cellStyle name="Normal 15 3 2 2 4" xfId="18903"/>
    <cellStyle name="Normal 16 2 5 2 4" xfId="18904"/>
    <cellStyle name="Normal 16 2 2 3 2 4" xfId="18905"/>
    <cellStyle name="Normal 16 2 2 2 2 2 4" xfId="18906"/>
    <cellStyle name="Normal 16 2 3 3 2 4" xfId="18907"/>
    <cellStyle name="Normal 16 2 3 2 2 2 4" xfId="18908"/>
    <cellStyle name="Normal 16 2 4 2 2 4" xfId="18909"/>
    <cellStyle name="Normal 16 3 3 2 4" xfId="18910"/>
    <cellStyle name="Normal 16 3 2 2 2 4" xfId="18911"/>
    <cellStyle name="Normal 16 4 3 2 4" xfId="18912"/>
    <cellStyle name="Normal 16 4 2 2 2 4" xfId="18913"/>
    <cellStyle name="Normal 16 5 2 2 2 4" xfId="18914"/>
    <cellStyle name="Normal 16 6 2 2 4" xfId="18915"/>
    <cellStyle name="Normal 17 2 5 2 4" xfId="18916"/>
    <cellStyle name="Normal 17 2 2 3 2 4" xfId="18917"/>
    <cellStyle name="Normal 17 2 2 2 2 2 4" xfId="18918"/>
    <cellStyle name="Normal 17 2 3 3 2 4" xfId="18919"/>
    <cellStyle name="Normal 17 2 3 2 2 2 4" xfId="18920"/>
    <cellStyle name="Normal 17 2 4 2 2 4" xfId="18921"/>
    <cellStyle name="Normal 17 3 3 2 4" xfId="18922"/>
    <cellStyle name="Normal 17 3 2 2 2 4" xfId="18923"/>
    <cellStyle name="Normal 17 4 3 2 4" xfId="18924"/>
    <cellStyle name="Normal 17 4 2 2 2 4" xfId="18925"/>
    <cellStyle name="Normal 17 5 2 2 2 4" xfId="18926"/>
    <cellStyle name="Normal 17 6 2 2 4" xfId="18927"/>
    <cellStyle name="Normal 2 10 3 2 2 4" xfId="18928"/>
    <cellStyle name="Normal 2 11 3 2 2 4" xfId="18929"/>
    <cellStyle name="Normal 2 12 3 2 2 4" xfId="18930"/>
    <cellStyle name="Normal 2 13 3 2 2 4" xfId="18931"/>
    <cellStyle name="Normal 2 14 3 2 2 4" xfId="18932"/>
    <cellStyle name="Normal 2 15 3 2 2 4" xfId="18933"/>
    <cellStyle name="Normal 2 16 3 2 2 4" xfId="18934"/>
    <cellStyle name="Normal 2 17 3 2 2 4" xfId="18935"/>
    <cellStyle name="Normal 2 18 3 2 2 4" xfId="18936"/>
    <cellStyle name="Normal 2 19 3 2 2 4" xfId="18937"/>
    <cellStyle name="Normal 2 2 10 2 2 4" xfId="18938"/>
    <cellStyle name="Normal 2 2 11 2 2 4" xfId="18939"/>
    <cellStyle name="Normal 2 2 12 2 2 4" xfId="18940"/>
    <cellStyle name="Normal 2 2 13 2 2 4" xfId="18941"/>
    <cellStyle name="Normal 2 2 14 2 2 4" xfId="18942"/>
    <cellStyle name="Normal 2 2 15 2 2 4" xfId="18943"/>
    <cellStyle name="Normal 2 2 16 2 2 4" xfId="18944"/>
    <cellStyle name="Normal 2 2 17 2 2 4" xfId="18945"/>
    <cellStyle name="Normal 2 2 18 2 2 4" xfId="18946"/>
    <cellStyle name="Normal 2 2 19 2 2 4" xfId="18947"/>
    <cellStyle name="Normal 2 2 2 2 6 2 4" xfId="18948"/>
    <cellStyle name="Normal 2 2 2 2 2 3 2 4" xfId="18949"/>
    <cellStyle name="Normal 2 2 2 2 2 2 2 2 4" xfId="18950"/>
    <cellStyle name="Normal 2 2 2 2 3 2 2 4" xfId="18951"/>
    <cellStyle name="Normal 2 2 2 2 4 2 2 4" xfId="18952"/>
    <cellStyle name="Normal 2 2 2 2 5 2 2 4" xfId="18953"/>
    <cellStyle name="Normal 2 2 20 2 2 4" xfId="18954"/>
    <cellStyle name="Normal 2 2 21 2 2 4" xfId="18955"/>
    <cellStyle name="Normal 2 2 22 2 2 4" xfId="18956"/>
    <cellStyle name="Normal 2 2 3 9 2 4" xfId="18957"/>
    <cellStyle name="Normal 2 2 3 2 2 2 4" xfId="18958"/>
    <cellStyle name="Normal 2 2 3 3 2 2 4" xfId="18959"/>
    <cellStyle name="Normal 2 2 3 4 2 2 4" xfId="18960"/>
    <cellStyle name="Normal 2 2 3 5 2 2 4" xfId="18961"/>
    <cellStyle name="Normal 2 2 3 6 2 2 4" xfId="18962"/>
    <cellStyle name="Normal 2 2 4 5 2 4" xfId="18963"/>
    <cellStyle name="Normal 2 2 4 2 2 2 4" xfId="18964"/>
    <cellStyle name="Normal 2 2 5 4 2 4" xfId="18965"/>
    <cellStyle name="Normal 2 2 5 2 2 2 4" xfId="18966"/>
    <cellStyle name="Normal 2 2 6 2 2 4" xfId="18967"/>
    <cellStyle name="Normal 2 2 7 2 2 4" xfId="18968"/>
    <cellStyle name="Normal 2 2 8 2 2 4" xfId="18969"/>
    <cellStyle name="Normal 2 2 9 2 2 4" xfId="18970"/>
    <cellStyle name="Normal 2 20 2 2 4" xfId="18971"/>
    <cellStyle name="Normal 2 3 2 3 2 4" xfId="18972"/>
    <cellStyle name="Normal 2 3 3 2 2 4" xfId="18973"/>
    <cellStyle name="Normal 2 3 4 2 2 4" xfId="18974"/>
    <cellStyle name="Normal 2 3 5 2 2 4" xfId="18975"/>
    <cellStyle name="Normal 2 3 6 2 2 4" xfId="18976"/>
    <cellStyle name="Normal 2 4 5 2 2 4" xfId="18977"/>
    <cellStyle name="Normal 2 4 2 2 2 4" xfId="18978"/>
    <cellStyle name="Normal 2 5 3 2 2 4" xfId="18979"/>
    <cellStyle name="Normal 2 6 3 2 2 4" xfId="18980"/>
    <cellStyle name="Normal 2 7 3 2 2 4" xfId="18981"/>
    <cellStyle name="Normal 2 8 3 2 2 4" xfId="18982"/>
    <cellStyle name="Normal 2 9 3 2 2 4" xfId="18983"/>
    <cellStyle name="Normal 21 9 2 4" xfId="18984"/>
    <cellStyle name="Normal 21 2 7 2 4" xfId="18985"/>
    <cellStyle name="Normal 21 2 2 2 2 4" xfId="18986"/>
    <cellStyle name="Normal 21 2 3 2 2 4" xfId="18987"/>
    <cellStyle name="Normal 21 2 4 2 2 4" xfId="18988"/>
    <cellStyle name="Normal 21 2 5 2 2 4" xfId="18989"/>
    <cellStyle name="Normal 21 2 6 2 2 4" xfId="18990"/>
    <cellStyle name="Normal 21 3 3 2 4" xfId="18991"/>
    <cellStyle name="Normal 21 3 2 2 2 4" xfId="18992"/>
    <cellStyle name="Normal 21 4 2 2 4" xfId="18993"/>
    <cellStyle name="Normal 21 5 2 2 4" xfId="18994"/>
    <cellStyle name="Normal 21 6 2 2 4" xfId="18995"/>
    <cellStyle name="Normal 21 8 2 2 4" xfId="18996"/>
    <cellStyle name="Normal 22 8 2 4" xfId="18997"/>
    <cellStyle name="Normal 22 2 7 2 4" xfId="18998"/>
    <cellStyle name="Normal 22 2 2 2 2 4" xfId="18999"/>
    <cellStyle name="Normal 22 2 3 2 2 4" xfId="19000"/>
    <cellStyle name="Normal 22 2 4 2 2 4" xfId="19001"/>
    <cellStyle name="Normal 22 2 5 2 2 4" xfId="19002"/>
    <cellStyle name="Normal 22 3 2 2 4" xfId="19003"/>
    <cellStyle name="Normal 22 4 2 2 4" xfId="19004"/>
    <cellStyle name="Normal 22 5 2 2 4" xfId="19005"/>
    <cellStyle name="Normal 22 6 2 2 4" xfId="19006"/>
    <cellStyle name="Normal 23 8 2 4" xfId="19007"/>
    <cellStyle name="Normal 23 2 6 2 4" xfId="19008"/>
    <cellStyle name="Normal 23 2 2 2 2 4" xfId="19009"/>
    <cellStyle name="Normal 23 2 3 2 2 4" xfId="19010"/>
    <cellStyle name="Normal 23 2 4 2 2 4" xfId="19011"/>
    <cellStyle name="Normal 23 2 5 2 2 4" xfId="19012"/>
    <cellStyle name="Normal 23 3 2 2 4" xfId="19013"/>
    <cellStyle name="Normal 23 4 2 2 4" xfId="19014"/>
    <cellStyle name="Normal 23 5 2 2 4" xfId="19015"/>
    <cellStyle name="Normal 23 6 2 2 4" xfId="19016"/>
    <cellStyle name="Normal 24 8 2 4" xfId="19017"/>
    <cellStyle name="Normal 24 2 6 2 4" xfId="19018"/>
    <cellStyle name="Normal 24 2 2 2 2 4" xfId="19019"/>
    <cellStyle name="Normal 24 2 3 2 2 4" xfId="19020"/>
    <cellStyle name="Normal 24 2 4 2 2 4" xfId="19021"/>
    <cellStyle name="Normal 24 2 5 2 2 4" xfId="19022"/>
    <cellStyle name="Normal 24 3 2 2 4" xfId="19023"/>
    <cellStyle name="Normal 24 4 2 2 4" xfId="19024"/>
    <cellStyle name="Normal 24 5 2 2 4" xfId="19025"/>
    <cellStyle name="Normal 24 6 2 2 4" xfId="19026"/>
    <cellStyle name="Normal 26 8 2 4" xfId="19027"/>
    <cellStyle name="Normal 26 2 6 2 4" xfId="19028"/>
    <cellStyle name="Normal 26 2 2 2 2 4" xfId="19029"/>
    <cellStyle name="Normal 26 2 3 2 2 4" xfId="19030"/>
    <cellStyle name="Normal 26 2 4 2 2 4" xfId="19031"/>
    <cellStyle name="Normal 26 2 5 2 2 4" xfId="19032"/>
    <cellStyle name="Normal 26 3 2 2 4" xfId="19033"/>
    <cellStyle name="Normal 26 4 2 2 4" xfId="19034"/>
    <cellStyle name="Normal 26 5 2 2 4" xfId="19035"/>
    <cellStyle name="Normal 26 6 2 2 4" xfId="19036"/>
    <cellStyle name="Normal 3 10 2 2 4" xfId="19037"/>
    <cellStyle name="Normal 3 11 2 2 4" xfId="19038"/>
    <cellStyle name="Normal 3 12 2 2 4" xfId="19039"/>
    <cellStyle name="Normal 3 13 2 2 4" xfId="19040"/>
    <cellStyle name="Normal 3 14 2 2 4" xfId="19041"/>
    <cellStyle name="Normal 3 15 2 2 4" xfId="19042"/>
    <cellStyle name="Normal 3 16 2 2 4" xfId="19043"/>
    <cellStyle name="Normal 3 17 2 2 4" xfId="19044"/>
    <cellStyle name="Normal 3 18 2 2 4" xfId="19045"/>
    <cellStyle name="Normal 3 19 2 2 4" xfId="19046"/>
    <cellStyle name="Normal 3 2 2 2 2 4" xfId="19047"/>
    <cellStyle name="Normal 3 2 3 2 2 4" xfId="19048"/>
    <cellStyle name="Normal 3 2 4 2 2 4" xfId="19049"/>
    <cellStyle name="Normal 3 2 5 2 2 4" xfId="19050"/>
    <cellStyle name="Normal 3 2 6 2 2 4" xfId="19051"/>
    <cellStyle name="Normal 3 20 2 2 4" xfId="19052"/>
    <cellStyle name="Normal 3 21 2 2 4" xfId="19053"/>
    <cellStyle name="Normal 3 22 2 2 4" xfId="19054"/>
    <cellStyle name="Normal 3 23 2 2 4" xfId="19055"/>
    <cellStyle name="Normal 3 24 2 2 4" xfId="19056"/>
    <cellStyle name="Normal 3 3 5 2 4" xfId="19057"/>
    <cellStyle name="Normal 3 3 2 2 2 4" xfId="19058"/>
    <cellStyle name="Normal 3 3 3 2 2 4" xfId="19059"/>
    <cellStyle name="Normal 3 4 3 2 4" xfId="19060"/>
    <cellStyle name="Normal 3 4 2 2 2 4" xfId="19061"/>
    <cellStyle name="Normal 3 5 3 2 4" xfId="19062"/>
    <cellStyle name="Normal 3 5 2 2 2 4" xfId="19063"/>
    <cellStyle name="Normal 3 6 2 2 4" xfId="19064"/>
    <cellStyle name="Normal 3 7 2 2 4" xfId="19065"/>
    <cellStyle name="Normal 3 8 2 2 4" xfId="19066"/>
    <cellStyle name="Normal 3 9 2 2 4" xfId="19067"/>
    <cellStyle name="Normal 4 2 10 2 2 4" xfId="19068"/>
    <cellStyle name="Normal 4 2 11 2 2 4" xfId="19069"/>
    <cellStyle name="Normal 4 2 12 2 2 4" xfId="19070"/>
    <cellStyle name="Normal 4 2 13 2 2 4" xfId="19071"/>
    <cellStyle name="Normal 4 2 14 2 2 4" xfId="19072"/>
    <cellStyle name="Normal 4 2 15 2 2 4" xfId="19073"/>
    <cellStyle name="Normal 4 2 16 2 2 4" xfId="19074"/>
    <cellStyle name="Normal 4 2 17 2 2 4" xfId="19075"/>
    <cellStyle name="Normal 4 2 18 2 2 4" xfId="19076"/>
    <cellStyle name="Normal 4 2 19 2 2 4" xfId="19077"/>
    <cellStyle name="Normal 4 2 2 6 2 4" xfId="19078"/>
    <cellStyle name="Normal 4 2 2 2 2 2 4" xfId="19079"/>
    <cellStyle name="Normal 4 2 2 3 2 2 4" xfId="19080"/>
    <cellStyle name="Normal 4 2 2 4 2 2 4" xfId="19081"/>
    <cellStyle name="Normal 4 2 2 5 2 2 4" xfId="19082"/>
    <cellStyle name="Normal 4 2 20 2 2 4" xfId="19083"/>
    <cellStyle name="Normal 4 2 21 2 2 4" xfId="19084"/>
    <cellStyle name="Normal 4 2 22 2 2 4" xfId="19085"/>
    <cellStyle name="Normal 4 2 23 2 2 4" xfId="19086"/>
    <cellStyle name="Normal 4 2 24 2 2 4" xfId="19087"/>
    <cellStyle name="Normal 4 2 3 3 2 4" xfId="19088"/>
    <cellStyle name="Normal 4 2 3 2 2 2 4" xfId="19089"/>
    <cellStyle name="Normal 4 2 4 3 2 4" xfId="19090"/>
    <cellStyle name="Normal 4 2 4 2 2 2 4" xfId="19091"/>
    <cellStyle name="Normal 4 2 5 3 2 4" xfId="19092"/>
    <cellStyle name="Normal 4 2 5 2 2 2 4" xfId="19093"/>
    <cellStyle name="Normal 4 2 6 2 2 4" xfId="19094"/>
    <cellStyle name="Normal 4 2 7 2 2 4" xfId="19095"/>
    <cellStyle name="Normal 4 2 8 2 2 4" xfId="19096"/>
    <cellStyle name="Normal 4 2 9 2 2 4" xfId="19097"/>
    <cellStyle name="Normal 4 3 7 2 4" xfId="19098"/>
    <cellStyle name="Normal 4 3 2 6 2 4" xfId="19099"/>
    <cellStyle name="Normal 4 3 2 2 5 2 4" xfId="19100"/>
    <cellStyle name="Normal 4 3 2 2 2 3 2 4" xfId="19101"/>
    <cellStyle name="Normal 4 3 2 2 2 2 2 2 4" xfId="19102"/>
    <cellStyle name="Normal 4 3 2 2 3 3 2 4" xfId="19103"/>
    <cellStyle name="Normal 4 3 2 2 3 2 2 2 4" xfId="19104"/>
    <cellStyle name="Normal 4 3 2 2 4 2 2 4" xfId="19105"/>
    <cellStyle name="Normal 4 3 2 3 3 2 4" xfId="19106"/>
    <cellStyle name="Normal 4 3 2 3 2 2 2 4" xfId="19107"/>
    <cellStyle name="Normal 4 3 2 4 3 2 4" xfId="19108"/>
    <cellStyle name="Normal 4 3 2 4 2 2 2 4" xfId="19109"/>
    <cellStyle name="Normal 4 3 2 5 2 2 4" xfId="19110"/>
    <cellStyle name="Normal 4 3 3 5 2 4" xfId="19111"/>
    <cellStyle name="Normal 4 3 3 2 3 2 4" xfId="19112"/>
    <cellStyle name="Normal 4 3 3 2 2 2 2 4" xfId="19113"/>
    <cellStyle name="Normal 4 3 3 3 3 2 4" xfId="19114"/>
    <cellStyle name="Normal 4 3 3 3 2 2 2 4" xfId="19115"/>
    <cellStyle name="Normal 4 3 3 4 2 2 4" xfId="19116"/>
    <cellStyle name="Normal 4 3 4 3 2 4" xfId="19117"/>
    <cellStyle name="Normal 4 3 4 2 2 2 4" xfId="19118"/>
    <cellStyle name="Normal 4 3 5 3 2 4" xfId="19119"/>
    <cellStyle name="Normal 4 3 5 2 2 2 4" xfId="19120"/>
    <cellStyle name="Normal 4 3 6 2 2 4" xfId="19121"/>
    <cellStyle name="Normal 4 4 4 2 4" xfId="19122"/>
    <cellStyle name="Normal 4 4 2 2 2 4" xfId="19123"/>
    <cellStyle name="Normal 4 5 2 2 4" xfId="19124"/>
    <cellStyle name="Normal 4 6 2 2 4" xfId="19125"/>
    <cellStyle name="Normal 4 7 2 2 4" xfId="19126"/>
    <cellStyle name="Normal 4 8 2 2 4" xfId="19127"/>
    <cellStyle name="Normal 41 2 2 2 4" xfId="19128"/>
    <cellStyle name="Normal 46 2 2 4" xfId="19129"/>
    <cellStyle name="Normal 5 28 2 2 4" xfId="19130"/>
    <cellStyle name="Normal 5 2 7 2 4" xfId="19131"/>
    <cellStyle name="Normal 5 2 2 2 2 2 2 4" xfId="19132"/>
    <cellStyle name="Normal 5 2 2 3 2 2 4" xfId="19133"/>
    <cellStyle name="Normal 5 2 3 2 2 2 2 4" xfId="19134"/>
    <cellStyle name="Normal 5 2 3 3 2 2 4" xfId="19135"/>
    <cellStyle name="Normal 5 2 4 2 2 2 4" xfId="19136"/>
    <cellStyle name="Normal 5 2 6 2 2 4" xfId="19137"/>
    <cellStyle name="Normal 5 24 2 2 4" xfId="19138"/>
    <cellStyle name="Normal 5 3 3 2 4" xfId="19139"/>
    <cellStyle name="Normal 5 4 3 2 4" xfId="19140"/>
    <cellStyle name="Normal 5 5 3 2 4" xfId="19141"/>
    <cellStyle name="Normal 5 6 3 2 4" xfId="19142"/>
    <cellStyle name="Normal 5 7 3 2 4" xfId="19143"/>
    <cellStyle name="Normal 7 25 2 2 4" xfId="19144"/>
    <cellStyle name="Normal 7 10 2 2 4" xfId="19145"/>
    <cellStyle name="Normal 7 11 2 2 4" xfId="19146"/>
    <cellStyle name="Normal 7 12 2 2 4" xfId="19147"/>
    <cellStyle name="Normal 7 13 2 2 4" xfId="19148"/>
    <cellStyle name="Normal 7 14 2 2 4" xfId="19149"/>
    <cellStyle name="Normal 7 15 2 2 4" xfId="19150"/>
    <cellStyle name="Normal 7 16 2 2 4" xfId="19151"/>
    <cellStyle name="Normal 7 17 2 2 4" xfId="19152"/>
    <cellStyle name="Normal 7 18 2 2 4" xfId="19153"/>
    <cellStyle name="Normal 7 19 2 2 4" xfId="19154"/>
    <cellStyle name="Normal 7 2 6 2 4" xfId="19155"/>
    <cellStyle name="Normal 7 2 2 2 2 4" xfId="19156"/>
    <cellStyle name="Normal 7 2 3 2 2 4" xfId="19157"/>
    <cellStyle name="Normal 7 2 4 2 2 4" xfId="19158"/>
    <cellStyle name="Normal 7 2 5 2 2 4" xfId="19159"/>
    <cellStyle name="Normal 7 20 2 2 4" xfId="19160"/>
    <cellStyle name="Normal 7 22 2 2 4" xfId="19161"/>
    <cellStyle name="Normal 7 3 6 2 4" xfId="19162"/>
    <cellStyle name="Normal 7 3 2 2 2 4" xfId="19163"/>
    <cellStyle name="Normal 7 3 3 2 2 4" xfId="19164"/>
    <cellStyle name="Normal 7 3 4 2 2 4" xfId="19165"/>
    <cellStyle name="Normal 7 3 5 2 2 4" xfId="19166"/>
    <cellStyle name="Normal 7 4 2 2 4" xfId="19167"/>
    <cellStyle name="Normal 7 5 2 2 4" xfId="19168"/>
    <cellStyle name="Normal 7 6 2 2 4" xfId="19169"/>
    <cellStyle name="Normal 7 7 2 2 4" xfId="19170"/>
    <cellStyle name="Normal 7 8 2 2 4" xfId="19171"/>
    <cellStyle name="Normal 7 9 2 2 4" xfId="19172"/>
    <cellStyle name="Normal 8 25 2 2 4" xfId="19173"/>
    <cellStyle name="Normal 8 10 2 2 4" xfId="19174"/>
    <cellStyle name="Normal 8 11 2 2 4" xfId="19175"/>
    <cellStyle name="Normal 8 12 2 2 4" xfId="19176"/>
    <cellStyle name="Normal 8 13 2 2 4" xfId="19177"/>
    <cellStyle name="Normal 8 14 2 2 4" xfId="19178"/>
    <cellStyle name="Normal 8 15 2 2 4" xfId="19179"/>
    <cellStyle name="Normal 8 16 2 2 4" xfId="19180"/>
    <cellStyle name="Normal 8 17 2 2 4" xfId="19181"/>
    <cellStyle name="Normal 8 18 2 2 4" xfId="19182"/>
    <cellStyle name="Normal 8 19 2 2 4" xfId="19183"/>
    <cellStyle name="Normal 8 2 6 2 2 4" xfId="19184"/>
    <cellStyle name="Normal 8 2 2 2 2 2 4" xfId="19185"/>
    <cellStyle name="Normal 8 2 3 2 2 4" xfId="19186"/>
    <cellStyle name="Normal 8 2 4 2 2 4" xfId="19187"/>
    <cellStyle name="Normal 8 2 5 2 2 4" xfId="19188"/>
    <cellStyle name="Normal 8 20 2 2 4" xfId="19189"/>
    <cellStyle name="Normal 8 22 2 2 4" xfId="19190"/>
    <cellStyle name="Normal 8 3 6 2 2 4" xfId="19191"/>
    <cellStyle name="Normal 8 3 2 2 2 4" xfId="19192"/>
    <cellStyle name="Normal 8 3 3 2 2 4" xfId="19193"/>
    <cellStyle name="Normal 8 3 4 2 2 4" xfId="19194"/>
    <cellStyle name="Normal 8 3 5 2 2 4" xfId="19195"/>
    <cellStyle name="Normal 8 4 2 2 4" xfId="19196"/>
    <cellStyle name="Normal 8 5 2 2 4" xfId="19197"/>
    <cellStyle name="Normal 8 6 2 2 4" xfId="19198"/>
    <cellStyle name="Normal 8 7 2 2 4" xfId="19199"/>
    <cellStyle name="Normal 8 8 2 2 4" xfId="19200"/>
    <cellStyle name="Normal 8 9 2 2 4" xfId="19201"/>
    <cellStyle name="Normal 9 25 2 2 4" xfId="19202"/>
    <cellStyle name="Normal 9 10 2 2 4" xfId="19203"/>
    <cellStyle name="Normal 9 11 2 2 4" xfId="19204"/>
    <cellStyle name="Normal 9 12 2 2 4" xfId="19205"/>
    <cellStyle name="Normal 9 13 2 2 4" xfId="19206"/>
    <cellStyle name="Normal 9 14 2 2 4" xfId="19207"/>
    <cellStyle name="Normal 9 15 2 2 4" xfId="19208"/>
    <cellStyle name="Normal 9 16 2 2 4" xfId="19209"/>
    <cellStyle name="Normal 9 17 2 2 4" xfId="19210"/>
    <cellStyle name="Normal 9 18 2 2 4" xfId="19211"/>
    <cellStyle name="Normal 9 19 2 2 4" xfId="19212"/>
    <cellStyle name="Normal 9 2 6 2 4" xfId="19213"/>
    <cellStyle name="Normal 9 2 2 2 2 4" xfId="19214"/>
    <cellStyle name="Normal 9 2 3 2 2 4" xfId="19215"/>
    <cellStyle name="Normal 9 2 4 2 2 4" xfId="19216"/>
    <cellStyle name="Normal 9 2 5 2 2 4" xfId="19217"/>
    <cellStyle name="Normal 9 20 2 2 4" xfId="19218"/>
    <cellStyle name="Normal 9 22 2 2 4" xfId="19219"/>
    <cellStyle name="Normal 9 3 6 2 4" xfId="19220"/>
    <cellStyle name="Normal 9 3 2 2 2 4" xfId="19221"/>
    <cellStyle name="Normal 9 3 3 2 2 4" xfId="19222"/>
    <cellStyle name="Normal 9 3 4 2 2 4" xfId="19223"/>
    <cellStyle name="Normal 9 3 5 2 2 4" xfId="19224"/>
    <cellStyle name="Normal 9 4 2 2 4" xfId="19225"/>
    <cellStyle name="Normal 9 5 2 2 4" xfId="19226"/>
    <cellStyle name="Normal 9 6 2 2 4" xfId="19227"/>
    <cellStyle name="Normal 9 7 2 2 4" xfId="19228"/>
    <cellStyle name="Normal 9 8 2 2 4" xfId="19229"/>
    <cellStyle name="Normal 9 9 2 2 4" xfId="19230"/>
    <cellStyle name="Note 2 2 2 4" xfId="19231"/>
    <cellStyle name="Note 3 2 2 4" xfId="19232"/>
    <cellStyle name="Note 4 2 2 4" xfId="19233"/>
    <cellStyle name="Note 7 2 2 4" xfId="19234"/>
    <cellStyle name="Percent 120 2 2 4" xfId="19235"/>
    <cellStyle name="Percent 121 2 2 4" xfId="19236"/>
    <cellStyle name="Percent 122 2 2 4" xfId="19237"/>
    <cellStyle name="Percent 123 2 2 4" xfId="19238"/>
    <cellStyle name="Percent 124 2 2 4" xfId="19239"/>
    <cellStyle name="Percent 125 2 2 4" xfId="19240"/>
    <cellStyle name="Percent 126 2 2 4" xfId="19241"/>
    <cellStyle name="Percent 127 2 2 4" xfId="19242"/>
    <cellStyle name="Percent 128 2 2 4" xfId="19243"/>
    <cellStyle name="Percent 129 2 2 4" xfId="19244"/>
    <cellStyle name="Percent 130 2 2 4" xfId="19245"/>
    <cellStyle name="Percent 159 2 2 4" xfId="19246"/>
    <cellStyle name="Percent 2 22 2 2 4" xfId="19247"/>
    <cellStyle name="Percent 25 2 3 2 4" xfId="19248"/>
    <cellStyle name="Percent 25 2 2 2 2 4" xfId="19249"/>
    <cellStyle name="Percent 25 3 3 2 4" xfId="19250"/>
    <cellStyle name="Percent 25 3 2 2 2 4" xfId="19251"/>
    <cellStyle name="Percent 25 4 2 2 2 4" xfId="19252"/>
    <cellStyle name="Percent 25 5 2 2 4" xfId="19253"/>
    <cellStyle name="Percent 26 2 3 2 4" xfId="19254"/>
    <cellStyle name="Percent 26 2 2 2 2 4" xfId="19255"/>
    <cellStyle name="Percent 26 3 3 2 4" xfId="19256"/>
    <cellStyle name="Percent 26 3 2 2 2 4" xfId="19257"/>
    <cellStyle name="Percent 26 4 2 2 2 4" xfId="19258"/>
    <cellStyle name="Percent 26 5 2 2 4" xfId="19259"/>
    <cellStyle name="Percent 27 2 3 2 4" xfId="19260"/>
    <cellStyle name="Percent 27 2 2 2 2 4" xfId="19261"/>
    <cellStyle name="Percent 27 3 3 2 4" xfId="19262"/>
    <cellStyle name="Percent 27 3 2 2 2 4" xfId="19263"/>
    <cellStyle name="Percent 27 4 2 2 2 4" xfId="19264"/>
    <cellStyle name="Percent 27 5 2 2 4" xfId="19265"/>
    <cellStyle name="Percent 28 2 3 2 4" xfId="19266"/>
    <cellStyle name="Percent 28 2 2 2 2 4" xfId="19267"/>
    <cellStyle name="Percent 28 3 3 2 4" xfId="19268"/>
    <cellStyle name="Percent 28 3 2 2 2 4" xfId="19269"/>
    <cellStyle name="Percent 28 4 2 2 2 4" xfId="19270"/>
    <cellStyle name="Percent 28 5 2 2 4" xfId="19271"/>
    <cellStyle name="Percent 29 2 3 2 4" xfId="19272"/>
    <cellStyle name="Percent 29 2 2 2 2 4" xfId="19273"/>
    <cellStyle name="Percent 29 3 3 2 4" xfId="19274"/>
    <cellStyle name="Percent 29 3 2 2 2 4" xfId="19275"/>
    <cellStyle name="Percent 29 4 2 2 2 4" xfId="19276"/>
    <cellStyle name="Percent 29 5 2 2 4" xfId="19277"/>
    <cellStyle name="Percent 3 10 2 2 4" xfId="19278"/>
    <cellStyle name="Percent 3 11 2 2 4" xfId="19279"/>
    <cellStyle name="Percent 3 12 2 2 4" xfId="19280"/>
    <cellStyle name="Percent 3 13 2 2 4" xfId="19281"/>
    <cellStyle name="Percent 3 14 2 2 4" xfId="19282"/>
    <cellStyle name="Percent 3 15 2 2 4" xfId="19283"/>
    <cellStyle name="Percent 3 16 2 2 4" xfId="19284"/>
    <cellStyle name="Percent 3 17 2 2 4" xfId="19285"/>
    <cellStyle name="Percent 3 18 2 2 4" xfId="19286"/>
    <cellStyle name="Percent 3 19 2 2 4" xfId="19287"/>
    <cellStyle name="Percent 3 2 23 2 4" xfId="19288"/>
    <cellStyle name="Percent 3 2 10 2 2 4" xfId="19289"/>
    <cellStyle name="Percent 3 2 11 2 2 4" xfId="19290"/>
    <cellStyle name="Percent 3 2 12 2 2 4" xfId="19291"/>
    <cellStyle name="Percent 3 2 13 2 2 4" xfId="19292"/>
    <cellStyle name="Percent 3 2 14 2 2 4" xfId="19293"/>
    <cellStyle name="Percent 3 2 15 2 2 4" xfId="19294"/>
    <cellStyle name="Percent 3 2 16 2 2 4" xfId="19295"/>
    <cellStyle name="Percent 3 2 17 2 2 4" xfId="19296"/>
    <cellStyle name="Percent 3 2 18 2 2 4" xfId="19297"/>
    <cellStyle name="Percent 3 2 19 2 2 4" xfId="19298"/>
    <cellStyle name="Percent 3 2 2 2 2 2 4" xfId="19299"/>
    <cellStyle name="Percent 3 2 2 3 2 2 4" xfId="19300"/>
    <cellStyle name="Percent 3 2 2 4 2 2 4" xfId="19301"/>
    <cellStyle name="Percent 3 2 2 5 2 2 4" xfId="19302"/>
    <cellStyle name="Percent 3 2 20 2 2 4" xfId="19303"/>
    <cellStyle name="Percent 3 2 21 2 2 2 4" xfId="19304"/>
    <cellStyle name="Percent 3 2 3 6 2 4" xfId="19305"/>
    <cellStyle name="Percent 3 2 3 2 2 2 4" xfId="19306"/>
    <cellStyle name="Percent 3 2 3 3 2 2 4" xfId="19307"/>
    <cellStyle name="Percent 3 2 3 4 2 2 4" xfId="19308"/>
    <cellStyle name="Percent 3 2 3 5 2 2 4" xfId="19309"/>
    <cellStyle name="Percent 3 2 4 3 2 4" xfId="19310"/>
    <cellStyle name="Percent 3 2 4 2 2 2 4" xfId="19311"/>
    <cellStyle name="Percent 3 2 5 3 2 4" xfId="19312"/>
    <cellStyle name="Percent 3 2 5 2 2 2 4" xfId="19313"/>
    <cellStyle name="Percent 3 2 6 3 2 4" xfId="19314"/>
    <cellStyle name="Percent 3 2 6 2 2 2 4" xfId="19315"/>
    <cellStyle name="Percent 3 2 7 2 2 4" xfId="19316"/>
    <cellStyle name="Percent 3 2 8 2 2 4" xfId="19317"/>
    <cellStyle name="Percent 3 2 9 2 2 4" xfId="19318"/>
    <cellStyle name="Percent 3 20 2 2 4" xfId="19319"/>
    <cellStyle name="Percent 3 21 2 2 4" xfId="19320"/>
    <cellStyle name="Percent 3 3 2 2 2 4" xfId="19321"/>
    <cellStyle name="Percent 3 3 3 2 2 4" xfId="19322"/>
    <cellStyle name="Percent 3 3 4 2 2 4" xfId="19323"/>
    <cellStyle name="Percent 3 3 5 2 2 4" xfId="19324"/>
    <cellStyle name="Percent 3 4 6 2 4" xfId="19325"/>
    <cellStyle name="Percent 3 4 2 2 2 4" xfId="19326"/>
    <cellStyle name="Percent 3 4 3 2 2 4" xfId="19327"/>
    <cellStyle name="Percent 3 4 4 2 2 4" xfId="19328"/>
    <cellStyle name="Percent 3 4 5 2 2 4" xfId="19329"/>
    <cellStyle name="Percent 3 5 3 2 4" xfId="19330"/>
    <cellStyle name="Percent 3 5 2 2 2 4" xfId="19331"/>
    <cellStyle name="Percent 3 6 3 2 4" xfId="19332"/>
    <cellStyle name="Percent 3 6 2 2 2 4" xfId="19333"/>
    <cellStyle name="Percent 3 7 3 2 4" xfId="19334"/>
    <cellStyle name="Percent 3 7 2 2 2 4" xfId="19335"/>
    <cellStyle name="Percent 3 8 2 2 4" xfId="19336"/>
    <cellStyle name="Percent 3 9 2 2 4" xfId="19337"/>
    <cellStyle name="Percent 30 2 3 2 4" xfId="19338"/>
    <cellStyle name="Percent 30 2 2 2 2 4" xfId="19339"/>
    <cellStyle name="Percent 30 3 3 2 4" xfId="19340"/>
    <cellStyle name="Percent 30 3 2 2 2 4" xfId="19341"/>
    <cellStyle name="Percent 30 4 2 2 2 4" xfId="19342"/>
    <cellStyle name="Percent 30 5 2 2 4" xfId="19343"/>
    <cellStyle name="Percent 31 2 3 2 4" xfId="19344"/>
    <cellStyle name="Percent 31 2 2 2 2 4" xfId="19345"/>
    <cellStyle name="Percent 31 3 3 2 4" xfId="19346"/>
    <cellStyle name="Percent 31 3 2 2 2 4" xfId="19347"/>
    <cellStyle name="Percent 31 4 2 2 2 4" xfId="19348"/>
    <cellStyle name="Percent 31 5 2 2 4" xfId="19349"/>
    <cellStyle name="Percent 32 2 3 2 4" xfId="19350"/>
    <cellStyle name="Percent 32 2 2 2 2 4" xfId="19351"/>
    <cellStyle name="Percent 32 3 3 2 4" xfId="19352"/>
    <cellStyle name="Percent 32 3 2 2 2 4" xfId="19353"/>
    <cellStyle name="Percent 32 4 2 2 2 4" xfId="19354"/>
    <cellStyle name="Percent 32 5 2 2 4" xfId="19355"/>
    <cellStyle name="Percent 33 2 3 2 4" xfId="19356"/>
    <cellStyle name="Percent 33 2 2 2 2 4" xfId="19357"/>
    <cellStyle name="Percent 33 3 3 2 4" xfId="19358"/>
    <cellStyle name="Percent 33 3 2 2 2 4" xfId="19359"/>
    <cellStyle name="Percent 33 4 2 2 2 4" xfId="19360"/>
    <cellStyle name="Percent 33 5 2 2 4" xfId="19361"/>
    <cellStyle name="Percent 34 2 3 2 4" xfId="19362"/>
    <cellStyle name="Percent 34 2 2 2 2 4" xfId="19363"/>
    <cellStyle name="Percent 34 3 3 2 4" xfId="19364"/>
    <cellStyle name="Percent 34 3 2 2 2 4" xfId="19365"/>
    <cellStyle name="Percent 34 4 2 2 2 4" xfId="19366"/>
    <cellStyle name="Percent 34 5 2 2 4" xfId="19367"/>
    <cellStyle name="Percent 35 2 3 2 4" xfId="19368"/>
    <cellStyle name="Percent 35 2 2 2 2 4" xfId="19369"/>
    <cellStyle name="Percent 35 3 3 2 4" xfId="19370"/>
    <cellStyle name="Percent 35 3 2 2 2 4" xfId="19371"/>
    <cellStyle name="Percent 35 4 2 2 2 4" xfId="19372"/>
    <cellStyle name="Percent 35 5 2 2 4" xfId="19373"/>
    <cellStyle name="Currency 5 4 2 2 4" xfId="19374"/>
    <cellStyle name="Comma 5 7 2 2 4" xfId="19375"/>
    <cellStyle name="Percent 5 4 2 2 4" xfId="19376"/>
    <cellStyle name="Comma 6 5 2 2 4" xfId="19377"/>
    <cellStyle name="Currency 5 2 4 2 2 4" xfId="19378"/>
    <cellStyle name="Comma 5 2 4 2 2 4" xfId="19379"/>
    <cellStyle name="Percent 5 2 4 2 2 4" xfId="19380"/>
    <cellStyle name="Comma 6 2 3 2 2 4" xfId="19381"/>
    <cellStyle name="Currency 5 3 2 2 2 4" xfId="19382"/>
    <cellStyle name="Comma 5 3 2 2 2 4" xfId="19383"/>
    <cellStyle name="Percent 5 3 2 2 2 4" xfId="19384"/>
    <cellStyle name="Comma 6 3 4 2 2 4" xfId="19385"/>
    <cellStyle name="Normal 11 2 2 2 2 4" xfId="19386"/>
    <cellStyle name="Currency 5 2 2 2 2 2 4" xfId="19387"/>
    <cellStyle name="Comma 5 2 2 2 2 2 4" xfId="19388"/>
    <cellStyle name="Percent 5 2 2 2 2 2 4" xfId="19389"/>
    <cellStyle name="Comma 6 2 2 2 2 2 4" xfId="19390"/>
    <cellStyle name="Normal 54 3" xfId="19391"/>
    <cellStyle name="Currency 5 8 3" xfId="19392"/>
    <cellStyle name="Normal 8 28 3" xfId="19393"/>
    <cellStyle name="Comma 5 11 3" xfId="19394"/>
    <cellStyle name="Percent 5 8 3" xfId="19395"/>
    <cellStyle name="Comma 6 9 3" xfId="19396"/>
    <cellStyle name="Normal 11 7 3" xfId="19397"/>
    <cellStyle name="Currency 5 2 8 3" xfId="19398"/>
    <cellStyle name="Normal 8 2 9 3" xfId="19399"/>
    <cellStyle name="Comma 5 2 8 3" xfId="19400"/>
    <cellStyle name="Percent 5 2 8 3" xfId="19401"/>
    <cellStyle name="Comma 6 2 7 3" xfId="19402"/>
    <cellStyle name="Currency 5 3 6 3" xfId="19403"/>
    <cellStyle name="Normal 8 3 9 3" xfId="19404"/>
    <cellStyle name="Comma 5 3 6 3" xfId="19405"/>
    <cellStyle name="Percent 5 3 6 3" xfId="19406"/>
    <cellStyle name="Comma 6 3 8 3" xfId="19407"/>
    <cellStyle name="Normal 11 2 6 3" xfId="19408"/>
    <cellStyle name="Currency 5 2 2 6 3" xfId="19409"/>
    <cellStyle name="Normal 8 2 2 5 3" xfId="19410"/>
    <cellStyle name="Comma 5 2 2 6 3" xfId="19411"/>
    <cellStyle name="Percent 5 2 2 6 3" xfId="19412"/>
    <cellStyle name="Comma 6 2 2 5 3" xfId="19413"/>
    <cellStyle name="Normal 50 4 3" xfId="19414"/>
    <cellStyle name="Comma 186 4 3" xfId="19415"/>
    <cellStyle name="Percent 162 4 3" xfId="19416"/>
    <cellStyle name="Normal 2 24 4 3" xfId="19417"/>
    <cellStyle name="20% - Accent1 2 4 3" xfId="19418"/>
    <cellStyle name="20% - Accent1 3 4 3" xfId="19419"/>
    <cellStyle name="20% - Accent1 4 4 3" xfId="19420"/>
    <cellStyle name="20% - Accent1 5 4 3" xfId="19421"/>
    <cellStyle name="20% - Accent2 2 4 3" xfId="19422"/>
    <cellStyle name="20% - Accent2 3 4 3" xfId="19423"/>
    <cellStyle name="20% - Accent2 4 4 3" xfId="19424"/>
    <cellStyle name="20% - Accent2 5 4 3" xfId="19425"/>
    <cellStyle name="20% - Accent3 2 4 3" xfId="19426"/>
    <cellStyle name="20% - Accent3 3 4 3" xfId="19427"/>
    <cellStyle name="20% - Accent3 4 4 3" xfId="19428"/>
    <cellStyle name="20% - Accent3 5 4 3" xfId="19429"/>
    <cellStyle name="20% - Accent4 2 4 3" xfId="19430"/>
    <cellStyle name="20% - Accent4 3 4 3" xfId="19431"/>
    <cellStyle name="20% - Accent4 4 4 3" xfId="19432"/>
    <cellStyle name="20% - Accent4 5 4 3" xfId="19433"/>
    <cellStyle name="20% - Accent5 2 4 3" xfId="19434"/>
    <cellStyle name="20% - Accent5 3 4 3" xfId="19435"/>
    <cellStyle name="20% - Accent5 4 4 3" xfId="19436"/>
    <cellStyle name="20% - Accent6 2 4 3" xfId="19437"/>
    <cellStyle name="20% - Accent6 3 4 3" xfId="19438"/>
    <cellStyle name="20% - Accent6 4 4 3" xfId="19439"/>
    <cellStyle name="40% - Accent1 2 4 3" xfId="19440"/>
    <cellStyle name="40% - Accent1 3 4 3" xfId="19441"/>
    <cellStyle name="40% - Accent1 4 4 3" xfId="19442"/>
    <cellStyle name="40% - Accent1 5 4 3" xfId="19443"/>
    <cellStyle name="40% - Accent2 2 4 3" xfId="19444"/>
    <cellStyle name="40% - Accent2 3 4 3" xfId="19445"/>
    <cellStyle name="40% - Accent2 4 4 3" xfId="19446"/>
    <cellStyle name="40% - Accent3 2 4 3" xfId="19447"/>
    <cellStyle name="40% - Accent3 3 4 3" xfId="19448"/>
    <cellStyle name="40% - Accent3 4 4 3" xfId="19449"/>
    <cellStyle name="40% - Accent3 5 4 3" xfId="19450"/>
    <cellStyle name="40% - Accent4 2 4 3" xfId="19451"/>
    <cellStyle name="40% - Accent4 3 4 3" xfId="19452"/>
    <cellStyle name="40% - Accent4 4 4 3" xfId="19453"/>
    <cellStyle name="40% - Accent4 5 4 3" xfId="19454"/>
    <cellStyle name="40% - Accent5 2 4 3" xfId="19455"/>
    <cellStyle name="40% - Accent5 3 4 3" xfId="19456"/>
    <cellStyle name="40% - Accent5 4 4 3" xfId="19457"/>
    <cellStyle name="40% - Accent6 2 4 3" xfId="19458"/>
    <cellStyle name="40% - Accent6 3 4 3" xfId="19459"/>
    <cellStyle name="40% - Accent6 4 4 3" xfId="19460"/>
    <cellStyle name="40% - Accent6 5 4 3" xfId="19461"/>
    <cellStyle name="Comma 143 4 3" xfId="19462"/>
    <cellStyle name="Comma 144 4 3" xfId="19463"/>
    <cellStyle name="Comma 145 4 3" xfId="19464"/>
    <cellStyle name="Comma 146 4 3" xfId="19465"/>
    <cellStyle name="Comma 147 4 3" xfId="19466"/>
    <cellStyle name="Comma 148 4 3" xfId="19467"/>
    <cellStyle name="Comma 149 4 3" xfId="19468"/>
    <cellStyle name="Comma 150 4 3" xfId="19469"/>
    <cellStyle name="Comma 151 4 3" xfId="19470"/>
    <cellStyle name="Comma 152 4 3" xfId="19471"/>
    <cellStyle name="Comma 153 4 3" xfId="19472"/>
    <cellStyle name="Comma 182 4 3" xfId="19473"/>
    <cellStyle name="Comma 2 23 4 3" xfId="19474"/>
    <cellStyle name="Comma 2 2 10 4 3" xfId="19475"/>
    <cellStyle name="Comma 2 2 11 4 3" xfId="19476"/>
    <cellStyle name="Comma 2 2 12 4 3" xfId="19477"/>
    <cellStyle name="Comma 2 2 13 4 3" xfId="19478"/>
    <cellStyle name="Comma 2 2 14 4 3" xfId="19479"/>
    <cellStyle name="Comma 2 2 15 4 3" xfId="19480"/>
    <cellStyle name="Comma 2 2 16 4 3" xfId="19481"/>
    <cellStyle name="Comma 2 2 17 4 3" xfId="19482"/>
    <cellStyle name="Comma 2 2 2 2 8 3" xfId="19483"/>
    <cellStyle name="Comma 2 2 2 2 2 4 3" xfId="19484"/>
    <cellStyle name="Comma 2 2 2 2 3 4 3" xfId="19485"/>
    <cellStyle name="Comma 2 2 2 2 4 4 3" xfId="19486"/>
    <cellStyle name="Comma 2 2 2 2 5 4 3" xfId="19487"/>
    <cellStyle name="Comma 2 2 2 3 4 3" xfId="19488"/>
    <cellStyle name="Comma 2 2 2 4 4 3" xfId="19489"/>
    <cellStyle name="Comma 2 2 2 5 4 3" xfId="19490"/>
    <cellStyle name="Comma 2 2 2 6 4 3" xfId="19491"/>
    <cellStyle name="Comma 2 2 3 8 3" xfId="19492"/>
    <cellStyle name="Comma 2 2 3 2 2 4 3" xfId="19493"/>
    <cellStyle name="Comma 2 2 3 2 3 4 3" xfId="19494"/>
    <cellStyle name="Comma 2 2 3 2 4 4 3" xfId="19495"/>
    <cellStyle name="Comma 2 2 3 2 5 4 3" xfId="19496"/>
    <cellStyle name="Comma 2 2 3 3 4 3" xfId="19497"/>
    <cellStyle name="Comma 2 2 4 2 4 3" xfId="19498"/>
    <cellStyle name="Comma 2 2 5 4 3" xfId="19499"/>
    <cellStyle name="Comma 2 2 6 4 3" xfId="19500"/>
    <cellStyle name="Comma 2 2 7 4 3" xfId="19501"/>
    <cellStyle name="Comma 2 2 8 4 3" xfId="19502"/>
    <cellStyle name="Comma 2 2 9 4 3" xfId="19503"/>
    <cellStyle name="Comma 3 10 4 3" xfId="19504"/>
    <cellStyle name="Comma 3 11 4 3" xfId="19505"/>
    <cellStyle name="Comma 3 12 4 3" xfId="19506"/>
    <cellStyle name="Comma 3 13 4 3" xfId="19507"/>
    <cellStyle name="Comma 3 14 4 3" xfId="19508"/>
    <cellStyle name="Comma 3 15 4 3" xfId="19509"/>
    <cellStyle name="Comma 3 16 4 3" xfId="19510"/>
    <cellStyle name="Comma 3 17 4 3" xfId="19511"/>
    <cellStyle name="Comma 3 18 4 3" xfId="19512"/>
    <cellStyle name="Comma 3 19 4 3" xfId="19513"/>
    <cellStyle name="Comma 3 2 2 4 3" xfId="19514"/>
    <cellStyle name="Comma 3 2 3 4 3" xfId="19515"/>
    <cellStyle name="Comma 3 2 4 4 3" xfId="19516"/>
    <cellStyle name="Comma 3 2 5 4 3" xfId="19517"/>
    <cellStyle name="Comma 3 20 4 3" xfId="19518"/>
    <cellStyle name="Comma 3 21 4 3" xfId="19519"/>
    <cellStyle name="Comma 3 3 8 3" xfId="19520"/>
    <cellStyle name="Comma 3 3 2 4 3" xfId="19521"/>
    <cellStyle name="Comma 3 3 3 4 3" xfId="19522"/>
    <cellStyle name="Comma 3 3 4 4 3" xfId="19523"/>
    <cellStyle name="Comma 3 3 5 4 3" xfId="19524"/>
    <cellStyle name="Comma 3 4 5 3" xfId="19525"/>
    <cellStyle name="Comma 3 4 2 4 3" xfId="19526"/>
    <cellStyle name="Comma 3 5 5 3" xfId="19527"/>
    <cellStyle name="Comma 3 5 2 4 3" xfId="19528"/>
    <cellStyle name="Comma 3 6 5 3" xfId="19529"/>
    <cellStyle name="Comma 3 6 2 4 3" xfId="19530"/>
    <cellStyle name="Comma 3 7 4 3" xfId="19531"/>
    <cellStyle name="Comma 3 8 4 3" xfId="19532"/>
    <cellStyle name="Comma 3 9 4 3" xfId="19533"/>
    <cellStyle name="Currency 120 4 3" xfId="19534"/>
    <cellStyle name="Currency 121 4 3" xfId="19535"/>
    <cellStyle name="Currency 122 4 3" xfId="19536"/>
    <cellStyle name="Currency 123 4 3" xfId="19537"/>
    <cellStyle name="Currency 124 4 3" xfId="19538"/>
    <cellStyle name="Currency 125 4 3" xfId="19539"/>
    <cellStyle name="Currency 126 4 3" xfId="19540"/>
    <cellStyle name="Currency 127 4 3" xfId="19541"/>
    <cellStyle name="Currency 128 4 3" xfId="19542"/>
    <cellStyle name="Currency 129 4 3" xfId="19543"/>
    <cellStyle name="Currency 130 4 3" xfId="19544"/>
    <cellStyle name="Currency 159 4 3" xfId="19545"/>
    <cellStyle name="Currency 2 27 4 3" xfId="19546"/>
    <cellStyle name="Currency 2 2 20 4 3" xfId="19547"/>
    <cellStyle name="Currency 2 2 10 4 3" xfId="19548"/>
    <cellStyle name="Currency 2 2 11 4 3" xfId="19549"/>
    <cellStyle name="Currency 2 2 12 4 3" xfId="19550"/>
    <cellStyle name="Currency 2 2 13 4 3" xfId="19551"/>
    <cellStyle name="Currency 2 2 14 4 3" xfId="19552"/>
    <cellStyle name="Currency 2 2 15 4 3" xfId="19553"/>
    <cellStyle name="Currency 2 2 16 4 3" xfId="19554"/>
    <cellStyle name="Currency 2 2 17 4 3" xfId="19555"/>
    <cellStyle name="Currency 2 2 18 4 3" xfId="19556"/>
    <cellStyle name="Currency 2 2 2 2 4 3" xfId="19557"/>
    <cellStyle name="Currency 2 2 2 3 4 3" xfId="19558"/>
    <cellStyle name="Currency 2 2 2 4 4 3" xfId="19559"/>
    <cellStyle name="Currency 2 2 2 5 4 3" xfId="19560"/>
    <cellStyle name="Currency 2 2 3 8 3" xfId="19561"/>
    <cellStyle name="Currency 2 2 3 2 4 3" xfId="19562"/>
    <cellStyle name="Currency 2 2 3 3 4 3" xfId="19563"/>
    <cellStyle name="Currency 2 2 3 4 4 3" xfId="19564"/>
    <cellStyle name="Currency 2 2 3 5 4 3" xfId="19565"/>
    <cellStyle name="Currency 2 2 4 4 3" xfId="19566"/>
    <cellStyle name="Currency 2 2 5 4 3" xfId="19567"/>
    <cellStyle name="Currency 2 2 6 4 3" xfId="19568"/>
    <cellStyle name="Currency 2 2 7 4 3" xfId="19569"/>
    <cellStyle name="Currency 2 2 8 4 3" xfId="19570"/>
    <cellStyle name="Currency 2 2 9 4 3" xfId="19571"/>
    <cellStyle name="Currency 3 10 4 3" xfId="19572"/>
    <cellStyle name="Currency 3 11 4 3" xfId="19573"/>
    <cellStyle name="Currency 3 12 4 3" xfId="19574"/>
    <cellStyle name="Currency 3 13 4 3" xfId="19575"/>
    <cellStyle name="Currency 3 14 4 3" xfId="19576"/>
    <cellStyle name="Currency 3 15 4 3" xfId="19577"/>
    <cellStyle name="Currency 3 16 4 3" xfId="19578"/>
    <cellStyle name="Currency 3 17 4 3" xfId="19579"/>
    <cellStyle name="Currency 3 18 4 3" xfId="19580"/>
    <cellStyle name="Currency 3 19 4 3" xfId="19581"/>
    <cellStyle name="Currency 3 2 2 4 3" xfId="19582"/>
    <cellStyle name="Currency 3 2 3 4 3" xfId="19583"/>
    <cellStyle name="Currency 3 2 4 4 3" xfId="19584"/>
    <cellStyle name="Currency 3 2 5 4 3" xfId="19585"/>
    <cellStyle name="Currency 3 20 4 3" xfId="19586"/>
    <cellStyle name="Currency 3 21 4 3" xfId="19587"/>
    <cellStyle name="Currency 3 3 10 3" xfId="19588"/>
    <cellStyle name="Currency 3 3 2 4 3" xfId="19589"/>
    <cellStyle name="Currency 3 3 3 4 3" xfId="19590"/>
    <cellStyle name="Currency 3 3 4 4 3" xfId="19591"/>
    <cellStyle name="Currency 3 3 5 4 3" xfId="19592"/>
    <cellStyle name="Currency 3 3 6 4 3" xfId="19593"/>
    <cellStyle name="Currency 3 4 5 3" xfId="19594"/>
    <cellStyle name="Currency 3 4 2 4 3" xfId="19595"/>
    <cellStyle name="Currency 3 5 5 3" xfId="19596"/>
    <cellStyle name="Currency 3 5 2 4 3" xfId="19597"/>
    <cellStyle name="Currency 3 6 5 3" xfId="19598"/>
    <cellStyle name="Currency 3 6 2 4 3" xfId="19599"/>
    <cellStyle name="Currency 3 7 4 3" xfId="19600"/>
    <cellStyle name="Currency 3 8 4 3" xfId="19601"/>
    <cellStyle name="Currency 3 9 4 3" xfId="19602"/>
    <cellStyle name="Normal 10 3 8 3" xfId="19603"/>
    <cellStyle name="Normal 10 3 2 7 3" xfId="19604"/>
    <cellStyle name="Normal 10 3 2 2 5 3" xfId="19605"/>
    <cellStyle name="Normal 10 3 2 2 2 4 3" xfId="19606"/>
    <cellStyle name="Normal 10 3 2 3 5 3" xfId="19607"/>
    <cellStyle name="Normal 10 3 2 3 2 4 3" xfId="19608"/>
    <cellStyle name="Normal 10 3 2 4 4 3" xfId="19609"/>
    <cellStyle name="Normal 10 3 3 5 3" xfId="19610"/>
    <cellStyle name="Normal 10 3 3 2 4 3" xfId="19611"/>
    <cellStyle name="Normal 10 3 4 5 3" xfId="19612"/>
    <cellStyle name="Normal 10 3 4 2 4 3" xfId="19613"/>
    <cellStyle name="Normal 10 3 5 4 3" xfId="19614"/>
    <cellStyle name="Normal 10 4 7 3" xfId="19615"/>
    <cellStyle name="Normal 10 4 2 5 3" xfId="19616"/>
    <cellStyle name="Normal 10 4 2 2 4 3" xfId="19617"/>
    <cellStyle name="Normal 10 4 3 5 3" xfId="19618"/>
    <cellStyle name="Normal 10 4 3 2 4 3" xfId="19619"/>
    <cellStyle name="Normal 10 4 4 4 3" xfId="19620"/>
    <cellStyle name="Normal 10 5 7 3" xfId="19621"/>
    <cellStyle name="Normal 10 5 2 5 3" xfId="19622"/>
    <cellStyle name="Normal 10 5 2 2 4 3" xfId="19623"/>
    <cellStyle name="Normal 10 5 3 5 3" xfId="19624"/>
    <cellStyle name="Normal 10 5 3 2 4 3" xfId="19625"/>
    <cellStyle name="Normal 10 5 4 4 3" xfId="19626"/>
    <cellStyle name="Normal 10 6 5 3" xfId="19627"/>
    <cellStyle name="Normal 10 6 2 4 3" xfId="19628"/>
    <cellStyle name="Normal 10 7 5 3" xfId="19629"/>
    <cellStyle name="Normal 10 7 2 4 3" xfId="19630"/>
    <cellStyle name="Normal 10 8 2 4 3" xfId="19631"/>
    <cellStyle name="Normal 10 9 4 3" xfId="19632"/>
    <cellStyle name="Normal 11 4 4 3" xfId="19633"/>
    <cellStyle name="Normal 11 3 4 3" xfId="19634"/>
    <cellStyle name="Normal 12 10 3" xfId="19635"/>
    <cellStyle name="Normal 12 2 2 7 3" xfId="19636"/>
    <cellStyle name="Normal 12 2 2 2 5 3" xfId="19637"/>
    <cellStyle name="Normal 12 2 2 2 2 4 3" xfId="19638"/>
    <cellStyle name="Normal 12 2 2 3 5 3" xfId="19639"/>
    <cellStyle name="Normal 12 2 2 3 2 4 3" xfId="19640"/>
    <cellStyle name="Normal 12 2 2 4 4 3" xfId="19641"/>
    <cellStyle name="Normal 12 2 3 5 3" xfId="19642"/>
    <cellStyle name="Normal 12 2 3 2 4 3" xfId="19643"/>
    <cellStyle name="Normal 12 2 4 5 3" xfId="19644"/>
    <cellStyle name="Normal 12 2 4 2 4 3" xfId="19645"/>
    <cellStyle name="Normal 12 2 5 2 4 3" xfId="19646"/>
    <cellStyle name="Normal 12 2 6 4 3" xfId="19647"/>
    <cellStyle name="Normal 12 3 7 3" xfId="19648"/>
    <cellStyle name="Normal 12 3 2 5 3" xfId="19649"/>
    <cellStyle name="Normal 12 3 2 2 4 3" xfId="19650"/>
    <cellStyle name="Normal 12 3 3 5 3" xfId="19651"/>
    <cellStyle name="Normal 12 3 3 2 4 3" xfId="19652"/>
    <cellStyle name="Normal 12 3 4 4 3" xfId="19653"/>
    <cellStyle name="Normal 12 4 7 3" xfId="19654"/>
    <cellStyle name="Normal 12 4 2 5 3" xfId="19655"/>
    <cellStyle name="Normal 12 4 2 2 4 3" xfId="19656"/>
    <cellStyle name="Normal 12 4 3 5 3" xfId="19657"/>
    <cellStyle name="Normal 12 4 3 2 4 3" xfId="19658"/>
    <cellStyle name="Normal 12 4 4 4 3" xfId="19659"/>
    <cellStyle name="Normal 12 5 5 3" xfId="19660"/>
    <cellStyle name="Normal 12 5 2 4 3" xfId="19661"/>
    <cellStyle name="Normal 12 6 5 3" xfId="19662"/>
    <cellStyle name="Normal 12 6 2 4 3" xfId="19663"/>
    <cellStyle name="Normal 12 7 4 3" xfId="19664"/>
    <cellStyle name="Normal 15 8 3" xfId="19665"/>
    <cellStyle name="Normal 15 3 4 3" xfId="19666"/>
    <cellStyle name="Normal 16 2 7 3" xfId="19667"/>
    <cellStyle name="Normal 16 2 2 5 3" xfId="19668"/>
    <cellStyle name="Normal 16 2 2 2 4 3" xfId="19669"/>
    <cellStyle name="Normal 16 2 3 5 3" xfId="19670"/>
    <cellStyle name="Normal 16 2 3 2 4 3" xfId="19671"/>
    <cellStyle name="Normal 16 2 4 4 3" xfId="19672"/>
    <cellStyle name="Normal 16 3 5 3" xfId="19673"/>
    <cellStyle name="Normal 16 3 2 4 3" xfId="19674"/>
    <cellStyle name="Normal 16 4 5 3" xfId="19675"/>
    <cellStyle name="Normal 16 4 2 4 3" xfId="19676"/>
    <cellStyle name="Normal 16 5 2 4 3" xfId="19677"/>
    <cellStyle name="Normal 16 6 4 3" xfId="19678"/>
    <cellStyle name="Normal 17 2 7 3" xfId="19679"/>
    <cellStyle name="Normal 17 2 2 5 3" xfId="19680"/>
    <cellStyle name="Normal 17 2 2 2 4 3" xfId="19681"/>
    <cellStyle name="Normal 17 2 3 5 3" xfId="19682"/>
    <cellStyle name="Normal 17 2 3 2 4 3" xfId="19683"/>
    <cellStyle name="Normal 17 2 4 4 3" xfId="19684"/>
    <cellStyle name="Normal 17 3 5 3" xfId="19685"/>
    <cellStyle name="Normal 17 3 2 4 3" xfId="19686"/>
    <cellStyle name="Normal 17 4 5 3" xfId="19687"/>
    <cellStyle name="Normal 17 4 2 4 3" xfId="19688"/>
    <cellStyle name="Normal 17 5 2 4 3" xfId="19689"/>
    <cellStyle name="Normal 17 6 4 3" xfId="19690"/>
    <cellStyle name="Normal 2 10 3 4 3" xfId="19691"/>
    <cellStyle name="Normal 2 11 3 4 3" xfId="19692"/>
    <cellStyle name="Normal 2 12 3 4 3" xfId="19693"/>
    <cellStyle name="Normal 2 13 3 4 3" xfId="19694"/>
    <cellStyle name="Normal 2 14 3 4 3" xfId="19695"/>
    <cellStyle name="Normal 2 15 3 4 3" xfId="19696"/>
    <cellStyle name="Normal 2 16 3 4 3" xfId="19697"/>
    <cellStyle name="Normal 2 17 3 4 3" xfId="19698"/>
    <cellStyle name="Normal 2 18 3 4 3" xfId="19699"/>
    <cellStyle name="Normal 2 19 3 4 3" xfId="19700"/>
    <cellStyle name="Normal 2 2 10 4 3" xfId="19701"/>
    <cellStyle name="Normal 2 2 11 4 3" xfId="19702"/>
    <cellStyle name="Normal 2 2 12 4 3" xfId="19703"/>
    <cellStyle name="Normal 2 2 13 4 3" xfId="19704"/>
    <cellStyle name="Normal 2 2 14 4 3" xfId="19705"/>
    <cellStyle name="Normal 2 2 15 4 3" xfId="19706"/>
    <cellStyle name="Normal 2 2 16 4 3" xfId="19707"/>
    <cellStyle name="Normal 2 2 17 4 3" xfId="19708"/>
    <cellStyle name="Normal 2 2 18 4 3" xfId="19709"/>
    <cellStyle name="Normal 2 2 19 4 3" xfId="19710"/>
    <cellStyle name="Normal 2 2 2 2 8 3" xfId="19711"/>
    <cellStyle name="Normal 2 2 2 2 2 5 3" xfId="19712"/>
    <cellStyle name="Normal 2 2 2 2 2 2 4 3" xfId="19713"/>
    <cellStyle name="Normal 2 2 2 2 3 4 3" xfId="19714"/>
    <cellStyle name="Normal 2 2 2 2 4 4 3" xfId="19715"/>
    <cellStyle name="Normal 2 2 2 2 5 4 3" xfId="19716"/>
    <cellStyle name="Normal 2 2 20 4 3" xfId="19717"/>
    <cellStyle name="Normal 2 2 21 4 3" xfId="19718"/>
    <cellStyle name="Normal 2 2 22 4 3" xfId="19719"/>
    <cellStyle name="Normal 2 2 3 11 3" xfId="19720"/>
    <cellStyle name="Normal 2 2 3 2 4 3" xfId="19721"/>
    <cellStyle name="Normal 2 2 3 3 4 3" xfId="19722"/>
    <cellStyle name="Normal 2 2 3 4 4 3" xfId="19723"/>
    <cellStyle name="Normal 2 2 3 5 4 3" xfId="19724"/>
    <cellStyle name="Normal 2 2 3 6 4 3" xfId="19725"/>
    <cellStyle name="Normal 2 2 4 7 3" xfId="19726"/>
    <cellStyle name="Normal 2 2 4 2 4 3" xfId="19727"/>
    <cellStyle name="Normal 2 2 5 6 3" xfId="19728"/>
    <cellStyle name="Normal 2 2 5 2 4 3" xfId="19729"/>
    <cellStyle name="Normal 2 2 6 4 3" xfId="19730"/>
    <cellStyle name="Normal 2 2 7 4 3" xfId="19731"/>
    <cellStyle name="Normal 2 2 8 4 3" xfId="19732"/>
    <cellStyle name="Normal 2 2 9 4 3" xfId="19733"/>
    <cellStyle name="Normal 2 20 4 3" xfId="19734"/>
    <cellStyle name="Normal 2 3 2 5 3" xfId="19735"/>
    <cellStyle name="Normal 2 3 3 4 3" xfId="19736"/>
    <cellStyle name="Normal 2 3 4 4 3" xfId="19737"/>
    <cellStyle name="Normal 2 3 5 4 3" xfId="19738"/>
    <cellStyle name="Normal 2 3 6 4 3" xfId="19739"/>
    <cellStyle name="Normal 2 4 5 4 3" xfId="19740"/>
    <cellStyle name="Normal 2 4 2 4 3" xfId="19741"/>
    <cellStyle name="Normal 2 5 3 4 3" xfId="19742"/>
    <cellStyle name="Normal 2 6 3 4 3" xfId="19743"/>
    <cellStyle name="Normal 2 7 3 4 3" xfId="19744"/>
    <cellStyle name="Normal 2 8 3 4 3" xfId="19745"/>
    <cellStyle name="Normal 2 9 3 4 3" xfId="19746"/>
    <cellStyle name="Normal 21 11 3" xfId="19747"/>
    <cellStyle name="Normal 21 2 9 3" xfId="19748"/>
    <cellStyle name="Normal 21 2 2 4 3" xfId="19749"/>
    <cellStyle name="Normal 21 2 3 4 3" xfId="19750"/>
    <cellStyle name="Normal 21 2 4 4 3" xfId="19751"/>
    <cellStyle name="Normal 21 2 5 4 3" xfId="19752"/>
    <cellStyle name="Normal 21 2 6 4 3" xfId="19753"/>
    <cellStyle name="Normal 21 3 5 3" xfId="19754"/>
    <cellStyle name="Normal 21 3 2 4 3" xfId="19755"/>
    <cellStyle name="Normal 21 4 4 3" xfId="19756"/>
    <cellStyle name="Normal 21 5 4 3" xfId="19757"/>
    <cellStyle name="Normal 21 6 4 3" xfId="19758"/>
    <cellStyle name="Normal 21 8 4 3" xfId="19759"/>
    <cellStyle name="Normal 22 10 3" xfId="19760"/>
    <cellStyle name="Normal 22 2 9 3" xfId="19761"/>
    <cellStyle name="Normal 22 2 2 4 3" xfId="19762"/>
    <cellStyle name="Normal 22 2 3 4 3" xfId="19763"/>
    <cellStyle name="Normal 22 2 4 4 3" xfId="19764"/>
    <cellStyle name="Normal 22 2 5 4 3" xfId="19765"/>
    <cellStyle name="Normal 22 3 4 3" xfId="19766"/>
    <cellStyle name="Normal 22 4 4 3" xfId="19767"/>
    <cellStyle name="Normal 22 5 4 3" xfId="19768"/>
    <cellStyle name="Normal 22 6 4 3" xfId="19769"/>
    <cellStyle name="Normal 23 10 3" xfId="19770"/>
    <cellStyle name="Normal 23 2 8 3" xfId="19771"/>
    <cellStyle name="Normal 23 2 2 4 3" xfId="19772"/>
    <cellStyle name="Normal 23 2 3 4 3" xfId="19773"/>
    <cellStyle name="Normal 23 2 4 4 3" xfId="19774"/>
    <cellStyle name="Normal 23 2 5 4 3" xfId="19775"/>
    <cellStyle name="Normal 23 3 4 3" xfId="19776"/>
    <cellStyle name="Normal 23 4 4 3" xfId="19777"/>
    <cellStyle name="Normal 23 5 4 3" xfId="19778"/>
    <cellStyle name="Normal 23 6 4 3" xfId="19779"/>
    <cellStyle name="Normal 24 10 3" xfId="19780"/>
    <cellStyle name="Normal 24 2 8 3" xfId="19781"/>
    <cellStyle name="Normal 24 2 2 4 3" xfId="19782"/>
    <cellStyle name="Normal 24 2 3 4 3" xfId="19783"/>
    <cellStyle name="Normal 24 2 4 4 3" xfId="19784"/>
    <cellStyle name="Normal 24 2 5 4 3" xfId="19785"/>
    <cellStyle name="Normal 24 3 4 3" xfId="19786"/>
    <cellStyle name="Normal 24 4 4 3" xfId="19787"/>
    <cellStyle name="Normal 24 5 4 3" xfId="19788"/>
    <cellStyle name="Normal 24 6 4 3" xfId="19789"/>
    <cellStyle name="Normal 26 10 3" xfId="19790"/>
    <cellStyle name="Normal 26 2 8 3" xfId="19791"/>
    <cellStyle name="Normal 26 2 2 4 3" xfId="19792"/>
    <cellStyle name="Normal 26 2 3 4 3" xfId="19793"/>
    <cellStyle name="Normal 26 2 4 4 3" xfId="19794"/>
    <cellStyle name="Normal 26 2 5 4 3" xfId="19795"/>
    <cellStyle name="Normal 26 3 4 3" xfId="19796"/>
    <cellStyle name="Normal 26 4 4 3" xfId="19797"/>
    <cellStyle name="Normal 26 5 4 3" xfId="19798"/>
    <cellStyle name="Normal 26 6 4 3" xfId="19799"/>
    <cellStyle name="Normal 3 10 4 3" xfId="19800"/>
    <cellStyle name="Normal 3 11 4 3" xfId="19801"/>
    <cellStyle name="Normal 3 12 4 3" xfId="19802"/>
    <cellStyle name="Normal 3 13 4 3" xfId="19803"/>
    <cellStyle name="Normal 3 14 4 3" xfId="19804"/>
    <cellStyle name="Normal 3 15 4 3" xfId="19805"/>
    <cellStyle name="Normal 3 16 4 3" xfId="19806"/>
    <cellStyle name="Normal 3 17 4 3" xfId="19807"/>
    <cellStyle name="Normal 3 18 4 3" xfId="19808"/>
    <cellStyle name="Normal 3 19 4 3" xfId="19809"/>
    <cellStyle name="Normal 3 2 2 4 3" xfId="19810"/>
    <cellStyle name="Normal 3 2 3 4 3" xfId="19811"/>
    <cellStyle name="Normal 3 2 4 4 3" xfId="19812"/>
    <cellStyle name="Normal 3 2 5 4 3" xfId="19813"/>
    <cellStyle name="Normal 3 2 6 4 3" xfId="19814"/>
    <cellStyle name="Normal 3 20 4 3" xfId="19815"/>
    <cellStyle name="Normal 3 21 4 3" xfId="19816"/>
    <cellStyle name="Normal 3 22 4 3" xfId="19817"/>
    <cellStyle name="Normal 3 23 4 3" xfId="19818"/>
    <cellStyle name="Normal 3 24 4 3" xfId="19819"/>
    <cellStyle name="Normal 3 3 7 3" xfId="19820"/>
    <cellStyle name="Normal 3 3 2 4 3" xfId="19821"/>
    <cellStyle name="Normal 3 3 3 4 3" xfId="19822"/>
    <cellStyle name="Normal 3 4 5 3" xfId="19823"/>
    <cellStyle name="Normal 3 4 2 4 3" xfId="19824"/>
    <cellStyle name="Normal 3 5 5 3" xfId="19825"/>
    <cellStyle name="Normal 3 5 2 4 3" xfId="19826"/>
    <cellStyle name="Normal 3 6 4 3" xfId="19827"/>
    <cellStyle name="Normal 3 7 4 3" xfId="19828"/>
    <cellStyle name="Normal 3 8 4 3" xfId="19829"/>
    <cellStyle name="Normal 3 9 4 3" xfId="19830"/>
    <cellStyle name="Normal 4 2 10 4 3" xfId="19831"/>
    <cellStyle name="Normal 4 2 11 4 3" xfId="19832"/>
    <cellStyle name="Normal 4 2 12 4 3" xfId="19833"/>
    <cellStyle name="Normal 4 2 13 4 3" xfId="19834"/>
    <cellStyle name="Normal 4 2 14 4 3" xfId="19835"/>
    <cellStyle name="Normal 4 2 15 4 3" xfId="19836"/>
    <cellStyle name="Normal 4 2 16 4 3" xfId="19837"/>
    <cellStyle name="Normal 4 2 17 4 3" xfId="19838"/>
    <cellStyle name="Normal 4 2 18 4 3" xfId="19839"/>
    <cellStyle name="Normal 4 2 19 4 3" xfId="19840"/>
    <cellStyle name="Normal 4 2 2 8 3" xfId="19841"/>
    <cellStyle name="Normal 4 2 2 2 4 3" xfId="19842"/>
    <cellStyle name="Normal 4 2 2 3 4 3" xfId="19843"/>
    <cellStyle name="Normal 4 2 2 4 4 3" xfId="19844"/>
    <cellStyle name="Normal 4 2 2 5 4 3" xfId="19845"/>
    <cellStyle name="Normal 4 2 20 4 3" xfId="19846"/>
    <cellStyle name="Normal 4 2 21 4 3" xfId="19847"/>
    <cellStyle name="Normal 4 2 22 4 3" xfId="19848"/>
    <cellStyle name="Normal 4 2 23 4 3" xfId="19849"/>
    <cellStyle name="Normal 4 2 24 4 3" xfId="19850"/>
    <cellStyle name="Normal 4 2 3 5 3" xfId="19851"/>
    <cellStyle name="Normal 4 2 3 2 4 3" xfId="19852"/>
    <cellStyle name="Normal 4 2 4 5 3" xfId="19853"/>
    <cellStyle name="Normal 4 2 4 2 4 3" xfId="19854"/>
    <cellStyle name="Normal 4 2 5 5 3" xfId="19855"/>
    <cellStyle name="Normal 4 2 5 2 4 3" xfId="19856"/>
    <cellStyle name="Normal 4 2 6 4 3" xfId="19857"/>
    <cellStyle name="Normal 4 2 7 4 3" xfId="19858"/>
    <cellStyle name="Normal 4 2 8 4 3" xfId="19859"/>
    <cellStyle name="Normal 4 2 9 4 3" xfId="19860"/>
    <cellStyle name="Normal 4 3 9 3" xfId="19861"/>
    <cellStyle name="Normal 4 3 2 8 3" xfId="19862"/>
    <cellStyle name="Normal 4 3 2 2 7 3" xfId="19863"/>
    <cellStyle name="Normal 4 3 2 2 2 5 3" xfId="19864"/>
    <cellStyle name="Normal 4 3 2 2 2 2 4 3" xfId="19865"/>
    <cellStyle name="Normal 4 3 2 2 3 5 3" xfId="19866"/>
    <cellStyle name="Normal 4 3 2 2 3 2 4 3" xfId="19867"/>
    <cellStyle name="Normal 4 3 2 2 4 4 3" xfId="19868"/>
    <cellStyle name="Normal 4 3 2 3 5 3" xfId="19869"/>
    <cellStyle name="Normal 4 3 2 3 2 4 3" xfId="19870"/>
    <cellStyle name="Normal 4 3 2 4 5 3" xfId="19871"/>
    <cellStyle name="Normal 4 3 2 4 2 4 3" xfId="19872"/>
    <cellStyle name="Normal 4 3 2 5 4 3" xfId="19873"/>
    <cellStyle name="Normal 4 3 3 7 3" xfId="19874"/>
    <cellStyle name="Normal 4 3 3 2 5 3" xfId="19875"/>
    <cellStyle name="Normal 4 3 3 2 2 4 3" xfId="19876"/>
    <cellStyle name="Normal 4 3 3 3 5 3" xfId="19877"/>
    <cellStyle name="Normal 4 3 3 3 2 4 3" xfId="19878"/>
    <cellStyle name="Normal 4 3 3 4 4 3" xfId="19879"/>
    <cellStyle name="Normal 4 3 4 5 3" xfId="19880"/>
    <cellStyle name="Normal 4 3 4 2 4 3" xfId="19881"/>
    <cellStyle name="Normal 4 3 5 5 3" xfId="19882"/>
    <cellStyle name="Normal 4 3 5 2 4 3" xfId="19883"/>
    <cellStyle name="Normal 4 3 6 4 3" xfId="19884"/>
    <cellStyle name="Normal 4 4 6 3" xfId="19885"/>
    <cellStyle name="Normal 4 4 2 4 3" xfId="19886"/>
    <cellStyle name="Normal 4 5 4 3" xfId="19887"/>
    <cellStyle name="Normal 4 6 4 3" xfId="19888"/>
    <cellStyle name="Normal 4 7 4 3" xfId="19889"/>
    <cellStyle name="Normal 4 8 4 3" xfId="19890"/>
    <cellStyle name="Normal 41 2 4 3" xfId="19891"/>
    <cellStyle name="Normal 46 4 3" xfId="19892"/>
    <cellStyle name="Normal 5 28 4 3" xfId="19893"/>
    <cellStyle name="Normal 5 2 9 3" xfId="19894"/>
    <cellStyle name="Normal 5 2 2 2 2 4 3" xfId="19895"/>
    <cellStyle name="Normal 5 2 2 3 4 3" xfId="19896"/>
    <cellStyle name="Normal 5 2 3 2 2 4 3" xfId="19897"/>
    <cellStyle name="Normal 5 2 3 3 4 3" xfId="19898"/>
    <cellStyle name="Normal 5 2 4 2 4 3" xfId="19899"/>
    <cellStyle name="Normal 5 2 6 4 3" xfId="19900"/>
    <cellStyle name="Normal 5 24 4 3" xfId="19901"/>
    <cellStyle name="Normal 5 3 5 3" xfId="19902"/>
    <cellStyle name="Normal 5 4 5 3" xfId="19903"/>
    <cellStyle name="Normal 5 5 5 3" xfId="19904"/>
    <cellStyle name="Normal 5 6 5 3" xfId="19905"/>
    <cellStyle name="Normal 5 7 5 3" xfId="19906"/>
    <cellStyle name="Normal 7 25 4 3" xfId="19907"/>
    <cellStyle name="Normal 7 10 4 3" xfId="19908"/>
    <cellStyle name="Normal 7 11 4 3" xfId="19909"/>
    <cellStyle name="Normal 7 12 4 3" xfId="19910"/>
    <cellStyle name="Normal 7 13 4 3" xfId="19911"/>
    <cellStyle name="Normal 7 14 4 3" xfId="19912"/>
    <cellStyle name="Normal 7 15 4 3" xfId="19913"/>
    <cellStyle name="Normal 7 16 4 3" xfId="19914"/>
    <cellStyle name="Normal 7 17 4 3" xfId="19915"/>
    <cellStyle name="Normal 7 18 4 3" xfId="19916"/>
    <cellStyle name="Normal 7 19 4 3" xfId="19917"/>
    <cellStyle name="Normal 7 2 8 3" xfId="19918"/>
    <cellStyle name="Normal 7 2 2 4 3" xfId="19919"/>
    <cellStyle name="Normal 7 2 3 4 3" xfId="19920"/>
    <cellStyle name="Normal 7 2 4 4 3" xfId="19921"/>
    <cellStyle name="Normal 7 2 5 4 3" xfId="19922"/>
    <cellStyle name="Normal 7 20 4 3" xfId="19923"/>
    <cellStyle name="Normal 7 22 4 3" xfId="19924"/>
    <cellStyle name="Normal 7 3 8 3" xfId="19925"/>
    <cellStyle name="Normal 7 3 2 4 3" xfId="19926"/>
    <cellStyle name="Normal 7 3 3 4 3" xfId="19927"/>
    <cellStyle name="Normal 7 3 4 4 3" xfId="19928"/>
    <cellStyle name="Normal 7 3 5 4 3" xfId="19929"/>
    <cellStyle name="Normal 7 4 4 3" xfId="19930"/>
    <cellStyle name="Normal 7 5 4 3" xfId="19931"/>
    <cellStyle name="Normal 7 6 4 3" xfId="19932"/>
    <cellStyle name="Normal 7 7 4 3" xfId="19933"/>
    <cellStyle name="Normal 7 8 4 3" xfId="19934"/>
    <cellStyle name="Normal 7 9 4 3" xfId="19935"/>
    <cellStyle name="Normal 8 25 4 3" xfId="19936"/>
    <cellStyle name="Normal 8 10 4 3" xfId="19937"/>
    <cellStyle name="Normal 8 11 4 3" xfId="19938"/>
    <cellStyle name="Normal 8 12 4 3" xfId="19939"/>
    <cellStyle name="Normal 8 13 4 3" xfId="19940"/>
    <cellStyle name="Normal 8 14 4 3" xfId="19941"/>
    <cellStyle name="Normal 8 15 4 3" xfId="19942"/>
    <cellStyle name="Normal 8 16 4 3" xfId="19943"/>
    <cellStyle name="Normal 8 17 4 3" xfId="19944"/>
    <cellStyle name="Normal 8 18 4 3" xfId="19945"/>
    <cellStyle name="Normal 8 19 4 3" xfId="19946"/>
    <cellStyle name="Normal 8 2 6 4 3" xfId="19947"/>
    <cellStyle name="Normal 8 2 2 2 4 3" xfId="19948"/>
    <cellStyle name="Normal 8 2 3 4 3" xfId="19949"/>
    <cellStyle name="Normal 8 2 4 4 3" xfId="19950"/>
    <cellStyle name="Normal 8 2 5 4 3" xfId="19951"/>
    <cellStyle name="Normal 8 20 4 3" xfId="19952"/>
    <cellStyle name="Normal 8 22 4 3" xfId="19953"/>
    <cellStyle name="Normal 8 3 6 4 3" xfId="19954"/>
    <cellStyle name="Normal 8 3 2 4 3" xfId="19955"/>
    <cellStyle name="Normal 8 3 3 4 3" xfId="19956"/>
    <cellStyle name="Normal 8 3 4 4 3" xfId="19957"/>
    <cellStyle name="Normal 8 3 5 4 3" xfId="19958"/>
    <cellStyle name="Normal 8 4 4 3" xfId="19959"/>
    <cellStyle name="Normal 8 5 4 3" xfId="19960"/>
    <cellStyle name="Normal 8 6 4 3" xfId="19961"/>
    <cellStyle name="Normal 8 7 4 3" xfId="19962"/>
    <cellStyle name="Normal 8 8 4 3" xfId="19963"/>
    <cellStyle name="Normal 8 9 4 3" xfId="19964"/>
    <cellStyle name="Normal 9 25 4 3" xfId="19965"/>
    <cellStyle name="Normal 9 10 4 3" xfId="19966"/>
    <cellStyle name="Normal 9 11 4 3" xfId="19967"/>
    <cellStyle name="Normal 9 12 4 3" xfId="19968"/>
    <cellStyle name="Normal 9 13 4 3" xfId="19969"/>
    <cellStyle name="Normal 9 14 4 3" xfId="19970"/>
    <cellStyle name="Normal 9 15 4 3" xfId="19971"/>
    <cellStyle name="Normal 9 16 4 3" xfId="19972"/>
    <cellStyle name="Normal 9 17 4 3" xfId="19973"/>
    <cellStyle name="Normal 9 18 4 3" xfId="19974"/>
    <cellStyle name="Normal 9 19 4 3" xfId="19975"/>
    <cellStyle name="Normal 9 2 8 3" xfId="19976"/>
    <cellStyle name="Normal 9 2 2 4 3" xfId="19977"/>
    <cellStyle name="Normal 9 2 3 4 3" xfId="19978"/>
    <cellStyle name="Normal 9 2 4 4 3" xfId="19979"/>
    <cellStyle name="Normal 9 2 5 4 3" xfId="19980"/>
    <cellStyle name="Normal 9 20 4 3" xfId="19981"/>
    <cellStyle name="Normal 9 22 4 3" xfId="19982"/>
    <cellStyle name="Normal 9 3 8 3" xfId="19983"/>
    <cellStyle name="Normal 9 3 2 4 3" xfId="19984"/>
    <cellStyle name="Normal 9 3 3 4 3" xfId="19985"/>
    <cellStyle name="Normal 9 3 4 4 3" xfId="19986"/>
    <cellStyle name="Normal 9 3 5 4 3" xfId="19987"/>
    <cellStyle name="Normal 9 4 4 3" xfId="19988"/>
    <cellStyle name="Normal 9 5 4 3" xfId="19989"/>
    <cellStyle name="Normal 9 6 4 3" xfId="19990"/>
    <cellStyle name="Normal 9 7 4 3" xfId="19991"/>
    <cellStyle name="Normal 9 8 4 3" xfId="19992"/>
    <cellStyle name="Normal 9 9 4 3" xfId="19993"/>
    <cellStyle name="Note 2 4 3" xfId="19994"/>
    <cellStyle name="Note 3 4 3" xfId="19995"/>
    <cellStyle name="Note 4 4 3" xfId="19996"/>
    <cellStyle name="Note 7 4 3" xfId="19997"/>
    <cellStyle name="Percent 120 4 3" xfId="19998"/>
    <cellStyle name="Percent 121 4 3" xfId="19999"/>
    <cellStyle name="Percent 122 4 3" xfId="20000"/>
    <cellStyle name="Percent 123 4 3" xfId="20001"/>
    <cellStyle name="Percent 124 4 3" xfId="20002"/>
    <cellStyle name="Percent 125 4 3" xfId="20003"/>
    <cellStyle name="Percent 126 4 3" xfId="20004"/>
    <cellStyle name="Percent 127 4 3" xfId="20005"/>
    <cellStyle name="Percent 128 4 3" xfId="20006"/>
    <cellStyle name="Percent 129 4 3" xfId="20007"/>
    <cellStyle name="Percent 130 4 3" xfId="20008"/>
    <cellStyle name="Percent 159 4 3" xfId="20009"/>
    <cellStyle name="Percent 2 22 4 3" xfId="20010"/>
    <cellStyle name="Percent 25 2 5 3" xfId="20011"/>
    <cellStyle name="Percent 25 2 2 4 3" xfId="20012"/>
    <cellStyle name="Percent 25 3 5 3" xfId="20013"/>
    <cellStyle name="Percent 25 3 2 4 3" xfId="20014"/>
    <cellStyle name="Percent 25 4 2 4 3" xfId="20015"/>
    <cellStyle name="Percent 25 5 4 3" xfId="20016"/>
    <cellStyle name="Percent 26 2 5 3" xfId="20017"/>
    <cellStyle name="Percent 26 2 2 4 3" xfId="20018"/>
    <cellStyle name="Percent 26 3 5 3" xfId="20019"/>
    <cellStyle name="Percent 26 3 2 4 3" xfId="20020"/>
    <cellStyle name="Percent 26 4 2 4 3" xfId="20021"/>
    <cellStyle name="Percent 26 5 4 3" xfId="20022"/>
    <cellStyle name="Percent 27 2 5 3" xfId="20023"/>
    <cellStyle name="Percent 27 2 2 4 3" xfId="20024"/>
    <cellStyle name="Percent 27 3 5 3" xfId="20025"/>
    <cellStyle name="Percent 27 3 2 4 3" xfId="20026"/>
    <cellStyle name="Percent 27 4 2 4 3" xfId="20027"/>
    <cellStyle name="Percent 27 5 4 3" xfId="20028"/>
    <cellStyle name="Percent 28 2 5 3" xfId="20029"/>
    <cellStyle name="Percent 28 2 2 4 3" xfId="20030"/>
    <cellStyle name="Percent 28 3 5 3" xfId="20031"/>
    <cellStyle name="Percent 28 3 2 4 3" xfId="20032"/>
    <cellStyle name="Percent 28 4 2 4 3" xfId="20033"/>
    <cellStyle name="Percent 28 5 4 3" xfId="20034"/>
    <cellStyle name="Percent 29 2 5 3" xfId="20035"/>
    <cellStyle name="Percent 29 2 2 4 3" xfId="20036"/>
    <cellStyle name="Percent 29 3 5 3" xfId="20037"/>
    <cellStyle name="Percent 29 3 2 4 3" xfId="20038"/>
    <cellStyle name="Percent 29 4 2 4 3" xfId="20039"/>
    <cellStyle name="Percent 29 5 4 3" xfId="20040"/>
    <cellStyle name="Percent 3 10 4 3" xfId="20041"/>
    <cellStyle name="Percent 3 11 4 3" xfId="20042"/>
    <cellStyle name="Percent 3 12 4 3" xfId="20043"/>
    <cellStyle name="Percent 3 13 4 3" xfId="20044"/>
    <cellStyle name="Percent 3 14 4 3" xfId="20045"/>
    <cellStyle name="Percent 3 15 4 3" xfId="20046"/>
    <cellStyle name="Percent 3 16 4 3" xfId="20047"/>
    <cellStyle name="Percent 3 17 4 3" xfId="20048"/>
    <cellStyle name="Percent 3 18 4 3" xfId="20049"/>
    <cellStyle name="Percent 3 19 4 3" xfId="20050"/>
    <cellStyle name="Percent 3 2 25 3" xfId="20051"/>
    <cellStyle name="Percent 3 2 10 4 3" xfId="20052"/>
    <cellStyle name="Percent 3 2 11 4 3" xfId="20053"/>
    <cellStyle name="Percent 3 2 12 4 3" xfId="20054"/>
    <cellStyle name="Percent 3 2 13 4 3" xfId="20055"/>
    <cellStyle name="Percent 3 2 14 4 3" xfId="20056"/>
    <cellStyle name="Percent 3 2 15 4 3" xfId="20057"/>
    <cellStyle name="Percent 3 2 16 4 3" xfId="20058"/>
    <cellStyle name="Percent 3 2 17 4 3" xfId="20059"/>
    <cellStyle name="Percent 3 2 18 4 3" xfId="20060"/>
    <cellStyle name="Percent 3 2 19 4 3" xfId="20061"/>
    <cellStyle name="Percent 3 2 2 2 4 3" xfId="20062"/>
    <cellStyle name="Percent 3 2 2 3 4 3" xfId="20063"/>
    <cellStyle name="Percent 3 2 2 4 4 3" xfId="20064"/>
    <cellStyle name="Percent 3 2 2 5 4 3" xfId="20065"/>
    <cellStyle name="Percent 3 2 20 4 3" xfId="20066"/>
    <cellStyle name="Percent 3 2 21 2 4 3" xfId="20067"/>
    <cellStyle name="Percent 3 2 3 8 3" xfId="20068"/>
    <cellStyle name="Percent 3 2 3 2 4 3" xfId="20069"/>
    <cellStyle name="Percent 3 2 3 3 4 3" xfId="20070"/>
    <cellStyle name="Percent 3 2 3 4 4 3" xfId="20071"/>
    <cellStyle name="Percent 3 2 3 5 4 3" xfId="20072"/>
    <cellStyle name="Percent 3 2 4 5 3" xfId="20073"/>
    <cellStyle name="Percent 3 2 4 2 4 3" xfId="20074"/>
    <cellStyle name="Percent 3 2 5 5 3" xfId="20075"/>
    <cellStyle name="Percent 3 2 5 2 4 3" xfId="20076"/>
    <cellStyle name="Percent 3 2 6 5 3" xfId="20077"/>
    <cellStyle name="Percent 3 2 6 2 4 3" xfId="20078"/>
    <cellStyle name="Percent 3 2 7 4 3" xfId="20079"/>
    <cellStyle name="Percent 3 2 8 4 3" xfId="20080"/>
    <cellStyle name="Percent 3 2 9 4 3" xfId="20081"/>
    <cellStyle name="Percent 3 20 4 3" xfId="20082"/>
    <cellStyle name="Percent 3 21 4 3" xfId="20083"/>
    <cellStyle name="Percent 3 3 2 4 3" xfId="20084"/>
    <cellStyle name="Percent 3 3 3 4 3" xfId="20085"/>
    <cellStyle name="Percent 3 3 4 4 3" xfId="20086"/>
    <cellStyle name="Percent 3 3 5 4 3" xfId="20087"/>
    <cellStyle name="Percent 3 4 8 3" xfId="20088"/>
    <cellStyle name="Percent 3 4 2 4 3" xfId="20089"/>
    <cellStyle name="Percent 3 4 3 4 3" xfId="20090"/>
    <cellStyle name="Percent 3 4 4 4 3" xfId="20091"/>
    <cellStyle name="Percent 3 4 5 4 3" xfId="20092"/>
    <cellStyle name="Percent 3 5 5 3" xfId="20093"/>
    <cellStyle name="Percent 3 5 2 4 3" xfId="20094"/>
    <cellStyle name="Percent 3 6 5 3" xfId="20095"/>
    <cellStyle name="Percent 3 6 2 4 3" xfId="20096"/>
    <cellStyle name="Percent 3 7 5 3" xfId="20097"/>
    <cellStyle name="Percent 3 7 2 4 3" xfId="20098"/>
    <cellStyle name="Percent 3 8 4 3" xfId="20099"/>
    <cellStyle name="Percent 3 9 4 3" xfId="20100"/>
    <cellStyle name="Percent 30 2 5 3" xfId="20101"/>
    <cellStyle name="Percent 30 2 2 4 3" xfId="20102"/>
    <cellStyle name="Percent 30 3 5 3" xfId="20103"/>
    <cellStyle name="Percent 30 3 2 4 3" xfId="20104"/>
    <cellStyle name="Percent 30 4 2 4 3" xfId="20105"/>
    <cellStyle name="Percent 30 5 4 3" xfId="20106"/>
    <cellStyle name="Percent 31 2 5 3" xfId="20107"/>
    <cellStyle name="Percent 31 2 2 4 3" xfId="20108"/>
    <cellStyle name="Percent 31 3 5 3" xfId="20109"/>
    <cellStyle name="Percent 31 3 2 4 3" xfId="20110"/>
    <cellStyle name="Percent 31 4 2 4 3" xfId="20111"/>
    <cellStyle name="Percent 31 5 4 3" xfId="20112"/>
    <cellStyle name="Percent 32 2 5 3" xfId="20113"/>
    <cellStyle name="Percent 32 2 2 4 3" xfId="20114"/>
    <cellStyle name="Percent 32 3 5 3" xfId="20115"/>
    <cellStyle name="Percent 32 3 2 4 3" xfId="20116"/>
    <cellStyle name="Percent 32 4 2 4 3" xfId="20117"/>
    <cellStyle name="Percent 32 5 4 3" xfId="20118"/>
    <cellStyle name="Percent 33 2 5 3" xfId="20119"/>
    <cellStyle name="Percent 33 2 2 4 3" xfId="20120"/>
    <cellStyle name="Percent 33 3 5 3" xfId="20121"/>
    <cellStyle name="Percent 33 3 2 4 3" xfId="20122"/>
    <cellStyle name="Percent 33 4 2 4 3" xfId="20123"/>
    <cellStyle name="Percent 33 5 4 3" xfId="20124"/>
    <cellStyle name="Percent 34 2 5 3" xfId="20125"/>
    <cellStyle name="Percent 34 2 2 4 3" xfId="20126"/>
    <cellStyle name="Percent 34 3 5 3" xfId="20127"/>
    <cellStyle name="Percent 34 3 2 4 3" xfId="20128"/>
    <cellStyle name="Percent 34 4 2 4 3" xfId="20129"/>
    <cellStyle name="Percent 34 5 4 3" xfId="20130"/>
    <cellStyle name="Percent 35 2 5 3" xfId="20131"/>
    <cellStyle name="Percent 35 2 2 4 3" xfId="20132"/>
    <cellStyle name="Percent 35 3 5 3" xfId="20133"/>
    <cellStyle name="Percent 35 3 2 4 3" xfId="20134"/>
    <cellStyle name="Percent 35 4 2 4 3" xfId="20135"/>
    <cellStyle name="Percent 35 5 4 3" xfId="20136"/>
    <cellStyle name="Currency 5 4 4 3" xfId="20137"/>
    <cellStyle name="Comma 5 7 4 3" xfId="20138"/>
    <cellStyle name="Percent 5 4 4 3" xfId="20139"/>
    <cellStyle name="Comma 6 5 4 3" xfId="20140"/>
    <cellStyle name="Currency 5 2 4 4 3" xfId="20141"/>
    <cellStyle name="Comma 5 2 4 4 3" xfId="20142"/>
    <cellStyle name="Percent 5 2 4 4 3" xfId="20143"/>
    <cellStyle name="Comma 6 2 3 4 3" xfId="20144"/>
    <cellStyle name="Currency 5 3 2 4 3" xfId="20145"/>
    <cellStyle name="Comma 5 3 2 4 3" xfId="20146"/>
    <cellStyle name="Percent 5 3 2 4 3" xfId="20147"/>
    <cellStyle name="Comma 6 3 4 4 3" xfId="20148"/>
    <cellStyle name="Normal 11 2 2 4 3" xfId="20149"/>
    <cellStyle name="Currency 5 2 2 2 4 3" xfId="20150"/>
    <cellStyle name="Comma 5 2 2 2 4 3" xfId="20151"/>
    <cellStyle name="Percent 5 2 2 2 4 3" xfId="20152"/>
    <cellStyle name="Comma 6 2 2 2 4 3" xfId="20153"/>
    <cellStyle name="Normal 51 4 3" xfId="20154"/>
    <cellStyle name="Comma 187 4 3" xfId="20155"/>
    <cellStyle name="Percent 163 4 3" xfId="20156"/>
    <cellStyle name="Currency 162 4 3" xfId="20157"/>
    <cellStyle name="Currency 5 6 3 3" xfId="20158"/>
    <cellStyle name="Currency 179 3 3" xfId="20159"/>
    <cellStyle name="Percent 180 3 3" xfId="20160"/>
    <cellStyle name="Comma 204 3 3" xfId="20161"/>
    <cellStyle name="Normal 8 26 3 3" xfId="20162"/>
    <cellStyle name="Comma 5 9 3 3" xfId="20163"/>
    <cellStyle name="Percent 5 6 3 3" xfId="20164"/>
    <cellStyle name="Comma 6 7 3 3" xfId="20165"/>
    <cellStyle name="Normal 11 5 3 3" xfId="20166"/>
    <cellStyle name="Currency 5 2 6 3 3" xfId="20167"/>
    <cellStyle name="Normal 8 2 7 3 3" xfId="20168"/>
    <cellStyle name="Comma 5 2 6 3 3" xfId="20169"/>
    <cellStyle name="Percent 5 2 6 3 3" xfId="20170"/>
    <cellStyle name="Comma 6 2 5 3 3" xfId="20171"/>
    <cellStyle name="Currency 5 3 4 3 3" xfId="20172"/>
    <cellStyle name="Normal 8 3 7 3 3" xfId="20173"/>
    <cellStyle name="Comma 5 3 4 3 3" xfId="20174"/>
    <cellStyle name="Percent 5 3 4 3 3" xfId="20175"/>
    <cellStyle name="Comma 6 3 6 3 3" xfId="20176"/>
    <cellStyle name="Normal 11 2 4 3 3" xfId="20177"/>
    <cellStyle name="Currency 5 2 2 4 3 3" xfId="20178"/>
    <cellStyle name="Normal 8 2 2 3 3 3" xfId="20179"/>
    <cellStyle name="Comma 5 2 2 4 3 3" xfId="20180"/>
    <cellStyle name="Percent 5 2 2 4 3 3" xfId="20181"/>
    <cellStyle name="Comma 6 2 2 3 3 3" xfId="20182"/>
    <cellStyle name="Normal 50 2 3 3" xfId="20183"/>
    <cellStyle name="Comma 186 2 3 3" xfId="20184"/>
    <cellStyle name="Percent 162 2 3 3" xfId="20185"/>
    <cellStyle name="Normal 2 24 2 3 3" xfId="20186"/>
    <cellStyle name="20% - Accent1 2 2 3 3" xfId="20187"/>
    <cellStyle name="20% - Accent1 3 2 3 3" xfId="20188"/>
    <cellStyle name="20% - Accent1 4 2 3 3" xfId="20189"/>
    <cellStyle name="20% - Accent1 5 2 3 3" xfId="20190"/>
    <cellStyle name="20% - Accent2 2 2 3 3" xfId="20191"/>
    <cellStyle name="20% - Accent2 3 2 3 3" xfId="20192"/>
    <cellStyle name="20% - Accent2 4 2 3 3" xfId="20193"/>
    <cellStyle name="20% - Accent2 5 2 3 3" xfId="20194"/>
    <cellStyle name="20% - Accent3 2 2 3 3" xfId="20195"/>
    <cellStyle name="20% - Accent3 3 2 3 3" xfId="20196"/>
    <cellStyle name="20% - Accent3 4 2 3 3" xfId="20197"/>
    <cellStyle name="20% - Accent3 5 2 3 3" xfId="20198"/>
    <cellStyle name="20% - Accent4 2 2 3 3" xfId="20199"/>
    <cellStyle name="20% - Accent4 3 2 3 3" xfId="20200"/>
    <cellStyle name="20% - Accent4 4 2 3 3" xfId="20201"/>
    <cellStyle name="20% - Accent4 5 2 3 3" xfId="20202"/>
    <cellStyle name="20% - Accent5 2 2 3 3" xfId="20203"/>
    <cellStyle name="20% - Accent5 3 2 3 3" xfId="20204"/>
    <cellStyle name="20% - Accent5 4 2 3 3" xfId="20205"/>
    <cellStyle name="20% - Accent6 2 2 3 3" xfId="20206"/>
    <cellStyle name="20% - Accent6 3 2 3 3" xfId="20207"/>
    <cellStyle name="20% - Accent6 4 2 3 3" xfId="20208"/>
    <cellStyle name="40% - Accent1 2 2 3 3" xfId="20209"/>
    <cellStyle name="40% - Accent1 3 2 3 3" xfId="20210"/>
    <cellStyle name="40% - Accent1 4 2 3 3" xfId="20211"/>
    <cellStyle name="40% - Accent1 5 2 3 3" xfId="20212"/>
    <cellStyle name="40% - Accent2 2 2 3 3" xfId="20213"/>
    <cellStyle name="40% - Accent2 3 2 3 3" xfId="20214"/>
    <cellStyle name="40% - Accent2 4 2 3 3" xfId="20215"/>
    <cellStyle name="40% - Accent3 2 2 3 3" xfId="20216"/>
    <cellStyle name="40% - Accent3 3 2 3 3" xfId="20217"/>
    <cellStyle name="40% - Accent3 4 2 3 3" xfId="20218"/>
    <cellStyle name="40% - Accent3 5 2 3 3" xfId="20219"/>
    <cellStyle name="40% - Accent4 2 2 3 3" xfId="20220"/>
    <cellStyle name="40% - Accent4 3 2 3 3" xfId="20221"/>
    <cellStyle name="40% - Accent4 4 2 3 3" xfId="20222"/>
    <cellStyle name="40% - Accent4 5 2 3 3" xfId="20223"/>
    <cellStyle name="40% - Accent5 2 2 3 3" xfId="20224"/>
    <cellStyle name="40% - Accent5 3 2 3 3" xfId="20225"/>
    <cellStyle name="40% - Accent5 4 2 3 3" xfId="20226"/>
    <cellStyle name="40% - Accent6 2 2 3 3" xfId="20227"/>
    <cellStyle name="40% - Accent6 3 2 3 3" xfId="20228"/>
    <cellStyle name="40% - Accent6 4 2 3 3" xfId="20229"/>
    <cellStyle name="40% - Accent6 5 2 3 3" xfId="20230"/>
    <cellStyle name="Comma 143 2 3 3" xfId="20231"/>
    <cellStyle name="Comma 144 2 3 3" xfId="20232"/>
    <cellStyle name="Comma 145 2 3 3" xfId="20233"/>
    <cellStyle name="Comma 146 2 3 3" xfId="20234"/>
    <cellStyle name="Comma 147 2 3 3" xfId="20235"/>
    <cellStyle name="Comma 148 2 3 3" xfId="20236"/>
    <cellStyle name="Comma 149 2 3 3" xfId="20237"/>
    <cellStyle name="Comma 150 2 3 3" xfId="20238"/>
    <cellStyle name="Comma 151 2 3 3" xfId="20239"/>
    <cellStyle name="Comma 152 2 3 3" xfId="20240"/>
    <cellStyle name="Comma 153 2 3 3" xfId="20241"/>
    <cellStyle name="Comma 182 2 3 3" xfId="20242"/>
    <cellStyle name="Comma 2 23 2 3 3" xfId="20243"/>
    <cellStyle name="Comma 2 2 10 2 3 3" xfId="20244"/>
    <cellStyle name="Comma 2 2 11 2 3 3" xfId="20245"/>
    <cellStyle name="Comma 2 2 12 2 3 3" xfId="20246"/>
    <cellStyle name="Comma 2 2 13 2 3 3" xfId="20247"/>
    <cellStyle name="Comma 2 2 14 2 3 3" xfId="20248"/>
    <cellStyle name="Comma 2 2 15 2 3 3" xfId="20249"/>
    <cellStyle name="Comma 2 2 16 2 3 3" xfId="20250"/>
    <cellStyle name="Comma 2 2 17 2 3 3" xfId="20251"/>
    <cellStyle name="Comma 2 2 2 2 6 3 3" xfId="20252"/>
    <cellStyle name="Comma 2 2 2 2 2 2 3 3" xfId="20253"/>
    <cellStyle name="Comma 2 2 2 2 3 2 3 3" xfId="20254"/>
    <cellStyle name="Comma 2 2 2 2 4 2 3 3" xfId="20255"/>
    <cellStyle name="Comma 2 2 2 2 5 2 3 3" xfId="20256"/>
    <cellStyle name="Comma 2 2 2 3 2 3 3" xfId="20257"/>
    <cellStyle name="Comma 2 2 2 4 2 3 3" xfId="20258"/>
    <cellStyle name="Comma 2 2 2 5 2 3 3" xfId="20259"/>
    <cellStyle name="Comma 2 2 2 6 2 3 3" xfId="20260"/>
    <cellStyle name="Comma 2 2 3 6 3 3" xfId="20261"/>
    <cellStyle name="Comma 2 2 3 2 2 2 3 3" xfId="20262"/>
    <cellStyle name="Comma 2 2 3 2 3 2 3 3" xfId="20263"/>
    <cellStyle name="Comma 2 2 3 2 4 2 3 3" xfId="20264"/>
    <cellStyle name="Comma 2 2 3 2 5 2 3 3" xfId="20265"/>
    <cellStyle name="Comma 2 2 3 3 2 3 3" xfId="20266"/>
    <cellStyle name="Comma 2 2 4 2 2 3 3" xfId="20267"/>
    <cellStyle name="Comma 2 2 5 2 3 3" xfId="20268"/>
    <cellStyle name="Comma 2 2 6 2 3 3" xfId="20269"/>
    <cellStyle name="Comma 2 2 7 2 3 3" xfId="20270"/>
    <cellStyle name="Comma 2 2 8 2 3 3" xfId="20271"/>
    <cellStyle name="Comma 2 2 9 2 3 3" xfId="20272"/>
    <cellStyle name="Comma 3 10 2 3 3" xfId="20273"/>
    <cellStyle name="Comma 3 11 2 3 3" xfId="20274"/>
    <cellStyle name="Comma 3 12 2 3 3" xfId="20275"/>
    <cellStyle name="Comma 3 13 2 3 3" xfId="20276"/>
    <cellStyle name="Comma 3 14 2 3 3" xfId="20277"/>
    <cellStyle name="Comma 3 15 2 3 3" xfId="20278"/>
    <cellStyle name="Comma 3 16 2 3 3" xfId="20279"/>
    <cellStyle name="Comma 3 17 2 3 3" xfId="20280"/>
    <cellStyle name="Comma 3 18 2 3 3" xfId="20281"/>
    <cellStyle name="Comma 3 19 2 3 3" xfId="20282"/>
    <cellStyle name="Comma 3 2 2 2 3 3" xfId="20283"/>
    <cellStyle name="Comma 3 2 3 2 3 3" xfId="20284"/>
    <cellStyle name="Comma 3 2 4 2 3 3" xfId="20285"/>
    <cellStyle name="Comma 3 2 5 2 3 3" xfId="20286"/>
    <cellStyle name="Comma 3 20 2 3 3" xfId="20287"/>
    <cellStyle name="Comma 3 21 2 3 3" xfId="20288"/>
    <cellStyle name="Comma 3 3 6 3 3" xfId="20289"/>
    <cellStyle name="Comma 3 3 2 2 3 3" xfId="20290"/>
    <cellStyle name="Comma 3 3 3 2 3 3" xfId="20291"/>
    <cellStyle name="Comma 3 3 4 2 3 3" xfId="20292"/>
    <cellStyle name="Comma 3 3 5 2 3 3" xfId="20293"/>
    <cellStyle name="Comma 3 4 3 3 3" xfId="20294"/>
    <cellStyle name="Comma 3 4 2 2 3 3" xfId="20295"/>
    <cellStyle name="Comma 3 5 3 3 3" xfId="20296"/>
    <cellStyle name="Comma 3 5 2 2 3 3" xfId="20297"/>
    <cellStyle name="Comma 3 6 3 3 3" xfId="20298"/>
    <cellStyle name="Comma 3 6 2 2 3 3" xfId="20299"/>
    <cellStyle name="Comma 3 7 2 3 3" xfId="20300"/>
    <cellStyle name="Comma 3 8 2 3 3" xfId="20301"/>
    <cellStyle name="Comma 3 9 2 3 3" xfId="20302"/>
    <cellStyle name="Currency 120 2 3 3" xfId="20303"/>
    <cellStyle name="Currency 121 2 3 3" xfId="20304"/>
    <cellStyle name="Currency 122 2 3 3" xfId="20305"/>
    <cellStyle name="Currency 123 2 3 3" xfId="20306"/>
    <cellStyle name="Currency 124 2 3 3" xfId="20307"/>
    <cellStyle name="Currency 125 2 3 3" xfId="20308"/>
    <cellStyle name="Currency 126 2 3 3" xfId="20309"/>
    <cellStyle name="Currency 127 2 3 3" xfId="20310"/>
    <cellStyle name="Currency 128 2 3 3" xfId="20311"/>
    <cellStyle name="Currency 129 2 3 3" xfId="20312"/>
    <cellStyle name="Currency 130 2 3 3" xfId="20313"/>
    <cellStyle name="Currency 159 2 3 3" xfId="20314"/>
    <cellStyle name="Currency 2 27 2 3 3" xfId="20315"/>
    <cellStyle name="Currency 2 2 20 2 3 3" xfId="20316"/>
    <cellStyle name="Currency 2 2 10 2 3 3" xfId="20317"/>
    <cellStyle name="Currency 2 2 11 2 3 3" xfId="20318"/>
    <cellStyle name="Currency 2 2 12 2 3 3" xfId="20319"/>
    <cellStyle name="Currency 2 2 13 2 3 3" xfId="20320"/>
    <cellStyle name="Currency 2 2 14 2 3 3" xfId="20321"/>
    <cellStyle name="Currency 2 2 15 2 3 3" xfId="20322"/>
    <cellStyle name="Currency 2 2 16 2 3 3" xfId="20323"/>
    <cellStyle name="Currency 2 2 17 2 3 3" xfId="20324"/>
    <cellStyle name="Currency 2 2 18 2 3 3" xfId="20325"/>
    <cellStyle name="Currency 2 2 2 2 2 3 3" xfId="20326"/>
    <cellStyle name="Currency 2 2 2 3 2 3 3" xfId="20327"/>
    <cellStyle name="Currency 2 2 2 4 2 3 3" xfId="20328"/>
    <cellStyle name="Currency 2 2 2 5 2 3 3" xfId="20329"/>
    <cellStyle name="Currency 2 2 3 6 3 3" xfId="20330"/>
    <cellStyle name="Currency 2 2 3 2 2 3 3" xfId="20331"/>
    <cellStyle name="Currency 2 2 3 3 2 3 3" xfId="20332"/>
    <cellStyle name="Currency 2 2 3 4 2 3 3" xfId="20333"/>
    <cellStyle name="Currency 2 2 3 5 2 3 3" xfId="20334"/>
    <cellStyle name="Currency 2 2 4 2 3 3" xfId="20335"/>
    <cellStyle name="Currency 2 2 5 2 3 3" xfId="20336"/>
    <cellStyle name="Currency 2 2 6 2 3 3" xfId="20337"/>
    <cellStyle name="Currency 2 2 7 2 3 3" xfId="20338"/>
    <cellStyle name="Currency 2 2 8 2 3 3" xfId="20339"/>
    <cellStyle name="Currency 2 2 9 2 3 3" xfId="20340"/>
    <cellStyle name="Currency 3 10 2 3 3" xfId="20341"/>
    <cellStyle name="Currency 3 11 2 3 3" xfId="20342"/>
    <cellStyle name="Currency 3 12 2 3 3" xfId="20343"/>
    <cellStyle name="Currency 3 13 2 3 3" xfId="20344"/>
    <cellStyle name="Currency 3 14 2 3 3" xfId="20345"/>
    <cellStyle name="Currency 3 15 2 3 3" xfId="20346"/>
    <cellStyle name="Currency 3 16 2 3 3" xfId="20347"/>
    <cellStyle name="Currency 3 17 2 3 3" xfId="20348"/>
    <cellStyle name="Currency 3 18 2 3 3" xfId="20349"/>
    <cellStyle name="Currency 3 19 2 3 3" xfId="20350"/>
    <cellStyle name="Currency 3 2 2 2 3 3" xfId="20351"/>
    <cellStyle name="Currency 3 2 3 2 3 3" xfId="20352"/>
    <cellStyle name="Currency 3 2 4 2 3 3" xfId="20353"/>
    <cellStyle name="Currency 3 2 5 2 3 3" xfId="20354"/>
    <cellStyle name="Currency 3 20 2 3 3" xfId="20355"/>
    <cellStyle name="Currency 3 21 2 3 3" xfId="20356"/>
    <cellStyle name="Currency 3 3 8 3 3" xfId="20357"/>
    <cellStyle name="Currency 3 3 2 2 3 3" xfId="20358"/>
    <cellStyle name="Currency 3 3 3 2 3 3" xfId="20359"/>
    <cellStyle name="Currency 3 3 4 2 3 3" xfId="20360"/>
    <cellStyle name="Currency 3 3 5 2 3 3" xfId="20361"/>
    <cellStyle name="Currency 3 3 6 2 3 3" xfId="20362"/>
    <cellStyle name="Currency 3 4 3 3 3" xfId="20363"/>
    <cellStyle name="Currency 3 4 2 2 3 3" xfId="20364"/>
    <cellStyle name="Currency 3 5 3 3 3" xfId="20365"/>
    <cellStyle name="Currency 3 5 2 2 3 3" xfId="20366"/>
    <cellStyle name="Currency 3 6 3 3 3" xfId="20367"/>
    <cellStyle name="Currency 3 6 2 2 3 3" xfId="20368"/>
    <cellStyle name="Currency 3 7 2 3 3" xfId="20369"/>
    <cellStyle name="Currency 3 8 2 3 3" xfId="20370"/>
    <cellStyle name="Currency 3 9 2 3 3" xfId="20371"/>
    <cellStyle name="Normal 10 3 6 3 3" xfId="20372"/>
    <cellStyle name="Normal 10 3 2 5 3 3" xfId="20373"/>
    <cellStyle name="Normal 10 3 2 2 3 3 3" xfId="20374"/>
    <cellStyle name="Normal 10 3 2 2 2 2 3 3" xfId="20375"/>
    <cellStyle name="Normal 10 3 2 3 3 3 3" xfId="20376"/>
    <cellStyle name="Normal 10 3 2 3 2 2 3 3" xfId="20377"/>
    <cellStyle name="Normal 10 3 2 4 2 3 3" xfId="20378"/>
    <cellStyle name="Normal 10 3 3 3 3 3" xfId="20379"/>
    <cellStyle name="Normal 10 3 3 2 2 3 3" xfId="20380"/>
    <cellStyle name="Normal 10 3 4 3 3 3" xfId="20381"/>
    <cellStyle name="Normal 10 3 4 2 2 3 3" xfId="20382"/>
    <cellStyle name="Normal 10 3 5 2 3 3" xfId="20383"/>
    <cellStyle name="Normal 10 4 5 3 3" xfId="20384"/>
    <cellStyle name="Normal 10 4 2 3 3 3" xfId="20385"/>
    <cellStyle name="Normal 10 4 2 2 2 3 3" xfId="20386"/>
    <cellStyle name="Normal 10 4 3 3 3 3" xfId="20387"/>
    <cellStyle name="Normal 10 4 3 2 2 3 3" xfId="20388"/>
    <cellStyle name="Normal 10 4 4 2 3 3" xfId="20389"/>
    <cellStyle name="Normal 10 5 5 3 3" xfId="20390"/>
    <cellStyle name="Normal 10 5 2 3 3 3" xfId="20391"/>
    <cellStyle name="Normal 10 5 2 2 2 3 3" xfId="20392"/>
    <cellStyle name="Normal 10 5 3 3 3 3" xfId="20393"/>
    <cellStyle name="Normal 10 5 3 2 2 3 3" xfId="20394"/>
    <cellStyle name="Normal 10 5 4 2 3 3" xfId="20395"/>
    <cellStyle name="Normal 10 6 3 3 3" xfId="20396"/>
    <cellStyle name="Normal 10 6 2 2 3 3" xfId="20397"/>
    <cellStyle name="Normal 10 7 3 3 3" xfId="20398"/>
    <cellStyle name="Normal 10 7 2 2 3 3" xfId="20399"/>
    <cellStyle name="Normal 10 8 2 2 3 3" xfId="20400"/>
    <cellStyle name="Normal 10 9 2 3 3" xfId="20401"/>
    <cellStyle name="Normal 11 4 2 3 3" xfId="20402"/>
    <cellStyle name="Normal 11 3 2 3 3" xfId="20403"/>
    <cellStyle name="Normal 12 8 3 3" xfId="20404"/>
    <cellStyle name="Normal 12 2 2 5 3 3" xfId="20405"/>
    <cellStyle name="Normal 12 2 2 2 3 3 3" xfId="20406"/>
    <cellStyle name="Normal 12 2 2 2 2 2 3 3" xfId="20407"/>
    <cellStyle name="Normal 12 2 2 3 3 3 3" xfId="20408"/>
    <cellStyle name="Normal 12 2 2 3 2 2 3 3" xfId="20409"/>
    <cellStyle name="Normal 12 2 2 4 2 3 3" xfId="20410"/>
    <cellStyle name="Normal 12 2 3 3 3 3" xfId="20411"/>
    <cellStyle name="Normal 12 2 3 2 2 3 3" xfId="20412"/>
    <cellStyle name="Normal 12 2 4 3 3 3" xfId="20413"/>
    <cellStyle name="Normal 12 2 4 2 2 3 3" xfId="20414"/>
    <cellStyle name="Normal 12 2 5 2 2 3 3" xfId="20415"/>
    <cellStyle name="Normal 12 2 6 2 3 3" xfId="20416"/>
    <cellStyle name="Normal 12 3 5 3 3" xfId="20417"/>
    <cellStyle name="Normal 12 3 2 3 3 3" xfId="20418"/>
    <cellStyle name="Normal 12 3 2 2 2 3 3" xfId="20419"/>
    <cellStyle name="Normal 12 3 3 3 3 3" xfId="20420"/>
    <cellStyle name="Normal 12 3 3 2 2 3 3" xfId="20421"/>
    <cellStyle name="Normal 12 3 4 2 3 3" xfId="20422"/>
    <cellStyle name="Normal 12 4 5 3 3" xfId="20423"/>
    <cellStyle name="Normal 12 4 2 3 3 3" xfId="20424"/>
    <cellStyle name="Normal 12 4 2 2 2 3 3" xfId="20425"/>
    <cellStyle name="Normal 12 4 3 3 3 3" xfId="20426"/>
    <cellStyle name="Normal 12 4 3 2 2 3 3" xfId="20427"/>
    <cellStyle name="Normal 12 4 4 2 3 3" xfId="20428"/>
    <cellStyle name="Normal 12 5 3 3 3" xfId="20429"/>
    <cellStyle name="Normal 12 5 2 2 3 3" xfId="20430"/>
    <cellStyle name="Normal 12 6 3 3 3" xfId="20431"/>
    <cellStyle name="Normal 12 6 2 2 3 3" xfId="20432"/>
    <cellStyle name="Normal 12 7 2 3 3" xfId="20433"/>
    <cellStyle name="Normal 15 6 3 3" xfId="20434"/>
    <cellStyle name="Normal 15 3 2 3 3" xfId="20435"/>
    <cellStyle name="Normal 16 2 5 3 3" xfId="20436"/>
    <cellStyle name="Normal 16 2 2 3 3 3" xfId="20437"/>
    <cellStyle name="Normal 16 2 2 2 2 3 3" xfId="20438"/>
    <cellStyle name="Normal 16 2 3 3 3 3" xfId="20439"/>
    <cellStyle name="Normal 16 2 3 2 2 3 3" xfId="20440"/>
    <cellStyle name="Normal 16 2 4 2 3 3" xfId="20441"/>
    <cellStyle name="Normal 16 3 3 3 3" xfId="20442"/>
    <cellStyle name="Normal 16 3 2 2 3 3" xfId="20443"/>
    <cellStyle name="Normal 16 4 3 3 3" xfId="20444"/>
    <cellStyle name="Normal 16 4 2 2 3 3" xfId="20445"/>
    <cellStyle name="Normal 16 5 2 2 3 3" xfId="20446"/>
    <cellStyle name="Normal 16 6 2 3 3" xfId="20447"/>
    <cellStyle name="Normal 17 2 5 3 3" xfId="20448"/>
    <cellStyle name="Normal 17 2 2 3 3 3" xfId="20449"/>
    <cellStyle name="Normal 17 2 2 2 2 3 3" xfId="20450"/>
    <cellStyle name="Normal 17 2 3 3 3 3" xfId="20451"/>
    <cellStyle name="Normal 17 2 3 2 2 3 3" xfId="20452"/>
    <cellStyle name="Normal 17 2 4 2 3 3" xfId="20453"/>
    <cellStyle name="Normal 17 3 3 3 3" xfId="20454"/>
    <cellStyle name="Normal 17 3 2 2 3 3" xfId="20455"/>
    <cellStyle name="Normal 17 4 3 3 3" xfId="20456"/>
    <cellStyle name="Normal 17 4 2 2 3 3" xfId="20457"/>
    <cellStyle name="Normal 17 5 2 2 3 3" xfId="20458"/>
    <cellStyle name="Normal 17 6 2 3 3" xfId="20459"/>
    <cellStyle name="Normal 2 10 3 2 3 3" xfId="20460"/>
    <cellStyle name="Normal 2 11 3 2 3 3" xfId="20461"/>
    <cellStyle name="Normal 2 12 3 2 3 3" xfId="20462"/>
    <cellStyle name="Normal 2 13 3 2 3 3" xfId="20463"/>
    <cellStyle name="Normal 2 14 3 2 3 3" xfId="20464"/>
    <cellStyle name="Normal 2 15 3 2 3 3" xfId="20465"/>
    <cellStyle name="Normal 2 16 3 2 3 3" xfId="20466"/>
    <cellStyle name="Normal 2 17 3 2 3 3" xfId="20467"/>
    <cellStyle name="Normal 2 18 3 2 3 3" xfId="20468"/>
    <cellStyle name="Normal 2 19 3 2 3 3" xfId="20469"/>
    <cellStyle name="Normal 2 2 10 2 3 3" xfId="20470"/>
    <cellStyle name="Normal 2 2 11 2 3 3" xfId="20471"/>
    <cellStyle name="Normal 2 2 12 2 3 3" xfId="20472"/>
    <cellStyle name="Normal 2 2 13 2 3 3" xfId="20473"/>
    <cellStyle name="Normal 2 2 14 2 3 3" xfId="20474"/>
    <cellStyle name="Normal 2 2 15 2 3 3" xfId="20475"/>
    <cellStyle name="Normal 2 2 16 2 3 3" xfId="20476"/>
    <cellStyle name="Normal 2 2 17 2 3 3" xfId="20477"/>
    <cellStyle name="Normal 2 2 18 2 3 3" xfId="20478"/>
    <cellStyle name="Normal 2 2 19 2 3 3" xfId="20479"/>
    <cellStyle name="Normal 2 2 2 2 6 3 3" xfId="20480"/>
    <cellStyle name="Normal 2 2 2 2 2 3 3 3" xfId="20481"/>
    <cellStyle name="Normal 2 2 2 2 2 2 2 3 3" xfId="20482"/>
    <cellStyle name="Normal 2 2 2 2 3 2 3 3" xfId="20483"/>
    <cellStyle name="Normal 2 2 2 2 4 2 3 3" xfId="20484"/>
    <cellStyle name="Normal 2 2 2 2 5 2 3 3" xfId="20485"/>
    <cellStyle name="Normal 2 2 20 2 3 3" xfId="20486"/>
    <cellStyle name="Normal 2 2 21 2 3 3" xfId="20487"/>
    <cellStyle name="Normal 2 2 22 2 3 3" xfId="20488"/>
    <cellStyle name="Normal 2 2 3 9 3 3" xfId="20489"/>
    <cellStyle name="Normal 2 2 3 2 2 3 3" xfId="20490"/>
    <cellStyle name="Normal 2 2 3 3 2 3 3" xfId="20491"/>
    <cellStyle name="Normal 2 2 3 4 2 3 3" xfId="20492"/>
    <cellStyle name="Normal 2 2 3 5 2 3 3" xfId="20493"/>
    <cellStyle name="Normal 2 2 3 6 2 3 3" xfId="20494"/>
    <cellStyle name="Normal 2 2 4 5 3 3" xfId="20495"/>
    <cellStyle name="Normal 2 2 4 2 2 3 3" xfId="20496"/>
    <cellStyle name="Normal 2 2 5 4 3 3" xfId="20497"/>
    <cellStyle name="Normal 2 2 5 2 2 3 3" xfId="20498"/>
    <cellStyle name="Normal 2 2 6 2 3 3" xfId="20499"/>
    <cellStyle name="Normal 2 2 7 2 3 3" xfId="20500"/>
    <cellStyle name="Normal 2 2 8 2 3 3" xfId="20501"/>
    <cellStyle name="Normal 2 2 9 2 3 3" xfId="20502"/>
    <cellStyle name="Normal 2 20 2 3 3" xfId="20503"/>
    <cellStyle name="Normal 2 3 2 3 3 3" xfId="20504"/>
    <cellStyle name="Normal 2 3 3 2 3 3" xfId="20505"/>
    <cellStyle name="Normal 2 3 4 2 3 3" xfId="20506"/>
    <cellStyle name="Normal 2 3 5 2 3 3" xfId="20507"/>
    <cellStyle name="Normal 2 3 6 2 3 3" xfId="20508"/>
    <cellStyle name="Normal 2 4 5 2 3 3" xfId="20509"/>
    <cellStyle name="Normal 2 4 2 2 3 3" xfId="20510"/>
    <cellStyle name="Normal 2 5 3 2 3 3" xfId="20511"/>
    <cellStyle name="Normal 2 6 3 2 3 3" xfId="20512"/>
    <cellStyle name="Normal 2 7 3 2 3 3" xfId="20513"/>
    <cellStyle name="Normal 2 8 3 2 3 3" xfId="20514"/>
    <cellStyle name="Normal 2 9 3 2 3 3" xfId="20515"/>
    <cellStyle name="Normal 21 9 3 3" xfId="20516"/>
    <cellStyle name="Normal 21 2 7 3 3" xfId="20517"/>
    <cellStyle name="Normal 21 2 2 2 3 3" xfId="20518"/>
    <cellStyle name="Normal 21 2 3 2 3 3" xfId="20519"/>
    <cellStyle name="Normal 21 2 4 2 3 3" xfId="20520"/>
    <cellStyle name="Normal 21 2 5 2 3 3" xfId="20521"/>
    <cellStyle name="Normal 21 2 6 2 3 3" xfId="20522"/>
    <cellStyle name="Normal 21 3 3 3 3" xfId="20523"/>
    <cellStyle name="Normal 21 3 2 2 3 3" xfId="20524"/>
    <cellStyle name="Normal 21 4 2 3 3" xfId="20525"/>
    <cellStyle name="Normal 21 5 2 3 3" xfId="20526"/>
    <cellStyle name="Normal 21 6 2 3 3" xfId="20527"/>
    <cellStyle name="Normal 21 8 2 3 3" xfId="20528"/>
    <cellStyle name="Normal 22 8 3 3" xfId="20529"/>
    <cellStyle name="Normal 22 2 7 3 3" xfId="20530"/>
    <cellStyle name="Normal 22 2 2 2 3 3" xfId="20531"/>
    <cellStyle name="Normal 22 2 3 2 3 3" xfId="20532"/>
    <cellStyle name="Normal 22 2 4 2 3 3" xfId="20533"/>
    <cellStyle name="Normal 22 2 5 2 3 3" xfId="20534"/>
    <cellStyle name="Normal 22 3 2 3 3" xfId="20535"/>
    <cellStyle name="Normal 22 4 2 3 3" xfId="20536"/>
    <cellStyle name="Normal 22 5 2 3 3" xfId="20537"/>
    <cellStyle name="Normal 22 6 2 3 3" xfId="20538"/>
    <cellStyle name="Normal 23 8 3 3" xfId="20539"/>
    <cellStyle name="Normal 23 2 6 3 3" xfId="20540"/>
    <cellStyle name="Normal 23 2 2 2 3 3" xfId="20541"/>
    <cellStyle name="Normal 23 2 3 2 3 3" xfId="20542"/>
    <cellStyle name="Normal 23 2 4 2 3 3" xfId="20543"/>
    <cellStyle name="Normal 23 2 5 2 3 3" xfId="20544"/>
    <cellStyle name="Normal 23 3 2 3 3" xfId="20545"/>
    <cellStyle name="Normal 23 4 2 3 3" xfId="20546"/>
    <cellStyle name="Normal 23 5 2 3 3" xfId="20547"/>
    <cellStyle name="Normal 23 6 2 3 3" xfId="20548"/>
    <cellStyle name="Normal 24 8 3 3" xfId="20549"/>
    <cellStyle name="Normal 24 2 6 3 3" xfId="20550"/>
    <cellStyle name="Normal 24 2 2 2 3 3" xfId="20551"/>
    <cellStyle name="Normal 24 2 3 2 3 3" xfId="20552"/>
    <cellStyle name="Normal 24 2 4 2 3 3" xfId="20553"/>
    <cellStyle name="Normal 24 2 5 2 3 3" xfId="20554"/>
    <cellStyle name="Normal 24 3 2 3 3" xfId="20555"/>
    <cellStyle name="Normal 24 4 2 3 3" xfId="20556"/>
    <cellStyle name="Normal 24 5 2 3 3" xfId="20557"/>
    <cellStyle name="Normal 24 6 2 3 3" xfId="20558"/>
    <cellStyle name="Normal 26 8 3 3" xfId="20559"/>
    <cellStyle name="Normal 26 2 6 3 3" xfId="20560"/>
    <cellStyle name="Normal 26 2 2 2 3 3" xfId="20561"/>
    <cellStyle name="Normal 26 2 3 2 3 3" xfId="20562"/>
    <cellStyle name="Normal 26 2 4 2 3 3" xfId="20563"/>
    <cellStyle name="Normal 26 2 5 2 3 3" xfId="20564"/>
    <cellStyle name="Normal 26 3 2 3 3" xfId="20565"/>
    <cellStyle name="Normal 26 4 2 3 3" xfId="20566"/>
    <cellStyle name="Normal 26 5 2 3 3" xfId="20567"/>
    <cellStyle name="Normal 26 6 2 3 3" xfId="20568"/>
    <cellStyle name="Normal 3 10 2 3 3" xfId="20569"/>
    <cellStyle name="Normal 3 11 2 3 3" xfId="20570"/>
    <cellStyle name="Normal 3 12 2 3 3" xfId="20571"/>
    <cellStyle name="Normal 3 13 2 3 3" xfId="20572"/>
    <cellStyle name="Normal 3 14 2 3 3" xfId="20573"/>
    <cellStyle name="Normal 3 15 2 3 3" xfId="20574"/>
    <cellStyle name="Normal 3 16 2 3 3" xfId="20575"/>
    <cellStyle name="Normal 3 17 2 3 3" xfId="20576"/>
    <cellStyle name="Normal 3 18 2 3 3" xfId="20577"/>
    <cellStyle name="Normal 3 19 2 3 3" xfId="20578"/>
    <cellStyle name="Normal 3 2 2 2 3 3" xfId="20579"/>
    <cellStyle name="Normal 3 2 3 2 3 3" xfId="20580"/>
    <cellStyle name="Normal 3 2 4 2 3 3" xfId="20581"/>
    <cellStyle name="Normal 3 2 5 2 3 3" xfId="20582"/>
    <cellStyle name="Normal 3 2 6 2 3 3" xfId="20583"/>
    <cellStyle name="Normal 3 20 2 3 3" xfId="20584"/>
    <cellStyle name="Normal 3 21 2 3 3" xfId="20585"/>
    <cellStyle name="Normal 3 22 2 3 3" xfId="20586"/>
    <cellStyle name="Normal 3 23 2 3 3" xfId="20587"/>
    <cellStyle name="Normal 3 24 2 3 3" xfId="20588"/>
    <cellStyle name="Normal 3 3 5 3 3" xfId="20589"/>
    <cellStyle name="Normal 3 3 2 2 3 3" xfId="20590"/>
    <cellStyle name="Normal 3 3 3 2 3 3" xfId="20591"/>
    <cellStyle name="Normal 3 4 3 3 3" xfId="20592"/>
    <cellStyle name="Normal 3 4 2 2 3 3" xfId="20593"/>
    <cellStyle name="Normal 3 5 3 3 3" xfId="20594"/>
    <cellStyle name="Normal 3 5 2 2 3 3" xfId="20595"/>
    <cellStyle name="Normal 3 6 2 3 3" xfId="20596"/>
    <cellStyle name="Normal 3 7 2 3 3" xfId="20597"/>
    <cellStyle name="Normal 3 8 2 3 3" xfId="20598"/>
    <cellStyle name="Normal 3 9 2 3 3" xfId="20599"/>
    <cellStyle name="Normal 4 2 10 2 3 3" xfId="20600"/>
    <cellStyle name="Normal 4 2 11 2 3 3" xfId="20601"/>
    <cellStyle name="Normal 4 2 12 2 3 3" xfId="20602"/>
    <cellStyle name="Normal 4 2 13 2 3 3" xfId="20603"/>
    <cellStyle name="Normal 4 2 14 2 3 3" xfId="20604"/>
    <cellStyle name="Normal 4 2 15 2 3 3" xfId="20605"/>
    <cellStyle name="Normal 4 2 16 2 3 3" xfId="20606"/>
    <cellStyle name="Normal 4 2 17 2 3 3" xfId="20607"/>
    <cellStyle name="Normal 4 2 18 2 3 3" xfId="20608"/>
    <cellStyle name="Normal 4 2 19 2 3 3" xfId="20609"/>
    <cellStyle name="Normal 4 2 2 6 3 3" xfId="20610"/>
    <cellStyle name="Normal 4 2 2 2 2 3 3" xfId="20611"/>
    <cellStyle name="Normal 4 2 2 3 2 3 3" xfId="20612"/>
    <cellStyle name="Normal 4 2 2 4 2 3 3" xfId="20613"/>
    <cellStyle name="Normal 4 2 2 5 2 3 3" xfId="20614"/>
    <cellStyle name="Normal 4 2 20 2 3 3" xfId="20615"/>
    <cellStyle name="Normal 4 2 21 2 3 3" xfId="20616"/>
    <cellStyle name="Normal 4 2 22 2 3 3" xfId="20617"/>
    <cellStyle name="Normal 4 2 23 2 3 3" xfId="20618"/>
    <cellStyle name="Normal 4 2 24 2 3 3" xfId="20619"/>
    <cellStyle name="Normal 4 2 3 3 3 3" xfId="20620"/>
    <cellStyle name="Normal 4 2 3 2 2 3 3" xfId="20621"/>
    <cellStyle name="Normal 4 2 4 3 3 3" xfId="20622"/>
    <cellStyle name="Normal 4 2 4 2 2 3 3" xfId="20623"/>
    <cellStyle name="Normal 4 2 5 3 3 3" xfId="20624"/>
    <cellStyle name="Normal 4 2 5 2 2 3 3" xfId="20625"/>
    <cellStyle name="Normal 4 2 6 2 3 3" xfId="20626"/>
    <cellStyle name="Normal 4 2 7 2 3 3" xfId="20627"/>
    <cellStyle name="Normal 4 2 8 2 3 3" xfId="20628"/>
    <cellStyle name="Normal 4 2 9 2 3 3" xfId="20629"/>
    <cellStyle name="Normal 4 3 7 3 3" xfId="20630"/>
    <cellStyle name="Normal 4 3 2 6 3 3" xfId="20631"/>
    <cellStyle name="Normal 4 3 2 2 5 3 3" xfId="20632"/>
    <cellStyle name="Normal 4 3 2 2 2 3 3 3" xfId="20633"/>
    <cellStyle name="Normal 4 3 2 2 2 2 2 3 3" xfId="20634"/>
    <cellStyle name="Normal 4 3 2 2 3 3 3 3" xfId="20635"/>
    <cellStyle name="Normal 4 3 2 2 3 2 2 3 3" xfId="20636"/>
    <cellStyle name="Normal 4 3 2 2 4 2 3 3" xfId="20637"/>
    <cellStyle name="Normal 4 3 2 3 3 3 3" xfId="20638"/>
    <cellStyle name="Normal 4 3 2 3 2 2 3 3" xfId="20639"/>
    <cellStyle name="Normal 4 3 2 4 3 3 3" xfId="20640"/>
    <cellStyle name="Normal 4 3 2 4 2 2 3 3" xfId="20641"/>
    <cellStyle name="Normal 4 3 2 5 2 3 3" xfId="20642"/>
    <cellStyle name="Normal 4 3 3 5 3 3" xfId="20643"/>
    <cellStyle name="Normal 4 3 3 2 3 3 3" xfId="20644"/>
    <cellStyle name="Normal 4 3 3 2 2 2 3 3" xfId="20645"/>
    <cellStyle name="Normal 4 3 3 3 3 3 3" xfId="20646"/>
    <cellStyle name="Normal 4 3 3 3 2 2 3 3" xfId="20647"/>
    <cellStyle name="Normal 4 3 3 4 2 3 3" xfId="20648"/>
    <cellStyle name="Normal 4 3 4 3 3 3" xfId="20649"/>
    <cellStyle name="Normal 4 3 4 2 2 3 3" xfId="20650"/>
    <cellStyle name="Normal 4 3 5 3 3 3" xfId="20651"/>
    <cellStyle name="Normal 4 3 5 2 2 3 3" xfId="20652"/>
    <cellStyle name="Normal 4 3 6 2 3 3" xfId="20653"/>
    <cellStyle name="Normal 4 4 4 3 3" xfId="20654"/>
    <cellStyle name="Normal 4 4 2 2 3 3" xfId="20655"/>
    <cellStyle name="Normal 4 5 2 3 3" xfId="20656"/>
    <cellStyle name="Normal 4 6 2 3 3" xfId="20657"/>
    <cellStyle name="Normal 4 7 2 3 3" xfId="20658"/>
    <cellStyle name="Normal 4 8 2 3 3" xfId="20659"/>
    <cellStyle name="Normal 41 2 2 3 3" xfId="20660"/>
    <cellStyle name="Normal 46 2 3 3" xfId="20661"/>
    <cellStyle name="Normal 5 28 2 3 3" xfId="20662"/>
    <cellStyle name="Normal 5 2 7 3 3" xfId="20663"/>
    <cellStyle name="Normal 5 2 2 2 2 2 3 3" xfId="20664"/>
    <cellStyle name="Normal 5 2 2 3 2 3 3" xfId="20665"/>
    <cellStyle name="Normal 5 2 3 2 2 2 3 3" xfId="20666"/>
    <cellStyle name="Normal 5 2 3 3 2 3 3" xfId="20667"/>
    <cellStyle name="Normal 5 2 4 2 2 3 3" xfId="20668"/>
    <cellStyle name="Normal 5 2 6 2 3 3" xfId="20669"/>
    <cellStyle name="Normal 5 24 2 3 3" xfId="20670"/>
    <cellStyle name="Normal 5 3 3 3 3" xfId="20671"/>
    <cellStyle name="Normal 5 4 3 3 3" xfId="20672"/>
    <cellStyle name="Normal 5 5 3 3 3" xfId="20673"/>
    <cellStyle name="Normal 5 6 3 3 3" xfId="20674"/>
    <cellStyle name="Normal 5 7 3 3 3" xfId="20675"/>
    <cellStyle name="Normal 7 25 2 3 3" xfId="20676"/>
    <cellStyle name="Normal 7 10 2 3 3" xfId="20677"/>
    <cellStyle name="Normal 7 11 2 3 3" xfId="20678"/>
    <cellStyle name="Normal 7 12 2 3 3" xfId="20679"/>
    <cellStyle name="Normal 7 13 2 3 3" xfId="20680"/>
    <cellStyle name="Normal 7 14 2 3 3" xfId="20681"/>
    <cellStyle name="Normal 7 15 2 3 3" xfId="20682"/>
    <cellStyle name="Normal 7 16 2 3 3" xfId="20683"/>
    <cellStyle name="Normal 7 17 2 3 3" xfId="20684"/>
    <cellStyle name="Normal 7 18 2 3 3" xfId="20685"/>
    <cellStyle name="Normal 7 19 2 3 3" xfId="20686"/>
    <cellStyle name="Normal 7 2 6 3 3" xfId="20687"/>
    <cellStyle name="Normal 7 2 2 2 3 3" xfId="20688"/>
    <cellStyle name="Normal 7 2 3 2 3 3" xfId="20689"/>
    <cellStyle name="Normal 7 2 4 2 3 3" xfId="20690"/>
    <cellStyle name="Normal 7 2 5 2 3 3" xfId="20691"/>
    <cellStyle name="Normal 7 20 2 3 3" xfId="20692"/>
    <cellStyle name="Normal 7 22 2 3 3" xfId="20693"/>
    <cellStyle name="Normal 7 3 6 3 3" xfId="20694"/>
    <cellStyle name="Normal 7 3 2 2 3 3" xfId="20695"/>
    <cellStyle name="Normal 7 3 3 2 3 3" xfId="20696"/>
    <cellStyle name="Normal 7 3 4 2 3 3" xfId="20697"/>
    <cellStyle name="Normal 7 3 5 2 3 3" xfId="20698"/>
    <cellStyle name="Normal 7 4 2 3 3" xfId="20699"/>
    <cellStyle name="Normal 7 5 2 3 3" xfId="20700"/>
    <cellStyle name="Normal 7 6 2 3 3" xfId="20701"/>
    <cellStyle name="Normal 7 7 2 3 3" xfId="20702"/>
    <cellStyle name="Normal 7 8 2 3 3" xfId="20703"/>
    <cellStyle name="Normal 7 9 2 3 3" xfId="20704"/>
    <cellStyle name="Normal 8 25 2 3 3" xfId="20705"/>
    <cellStyle name="Normal 8 10 2 3 3" xfId="20706"/>
    <cellStyle name="Normal 8 11 2 3 3" xfId="20707"/>
    <cellStyle name="Normal 8 12 2 3 3" xfId="20708"/>
    <cellStyle name="Normal 8 13 2 3 3" xfId="20709"/>
    <cellStyle name="Normal 8 14 2 3 3" xfId="20710"/>
    <cellStyle name="Normal 8 15 2 3 3" xfId="20711"/>
    <cellStyle name="Normal 8 16 2 3 3" xfId="20712"/>
    <cellStyle name="Normal 8 17 2 3 3" xfId="20713"/>
    <cellStyle name="Normal 8 18 2 3 3" xfId="20714"/>
    <cellStyle name="Normal 8 19 2 3 3" xfId="20715"/>
    <cellStyle name="Normal 8 2 6 2 3 3" xfId="20716"/>
    <cellStyle name="Normal 8 2 2 2 2 3 3" xfId="20717"/>
    <cellStyle name="Normal 8 2 3 2 3 3" xfId="20718"/>
    <cellStyle name="Normal 8 2 4 2 3 3" xfId="20719"/>
    <cellStyle name="Normal 8 2 5 2 3 3" xfId="20720"/>
    <cellStyle name="Normal 8 20 2 3 3" xfId="20721"/>
    <cellStyle name="Normal 8 22 2 3 3" xfId="20722"/>
    <cellStyle name="Normal 8 3 6 2 3 3" xfId="20723"/>
    <cellStyle name="Normal 8 3 2 2 3 3" xfId="20724"/>
    <cellStyle name="Normal 8 3 3 2 3 3" xfId="20725"/>
    <cellStyle name="Normal 8 3 4 2 3 3" xfId="20726"/>
    <cellStyle name="Normal 8 3 5 2 3 3" xfId="20727"/>
    <cellStyle name="Normal 8 4 2 3 3" xfId="20728"/>
    <cellStyle name="Normal 8 5 2 3 3" xfId="20729"/>
    <cellStyle name="Normal 8 6 2 3 3" xfId="20730"/>
    <cellStyle name="Normal 8 7 2 3 3" xfId="20731"/>
    <cellStyle name="Normal 8 8 2 3 3" xfId="20732"/>
    <cellStyle name="Normal 8 9 2 3 3" xfId="20733"/>
    <cellStyle name="Normal 9 25 2 3 3" xfId="20734"/>
    <cellStyle name="Normal 9 10 2 3 3" xfId="20735"/>
    <cellStyle name="Normal 9 11 2 3 3" xfId="20736"/>
    <cellStyle name="Normal 9 12 2 3 3" xfId="20737"/>
    <cellStyle name="Normal 9 13 2 3 3" xfId="20738"/>
    <cellStyle name="Normal 9 14 2 3 3" xfId="20739"/>
    <cellStyle name="Normal 9 15 2 3 3" xfId="20740"/>
    <cellStyle name="Normal 9 16 2 3 3" xfId="20741"/>
    <cellStyle name="Normal 9 17 2 3 3" xfId="20742"/>
    <cellStyle name="Normal 9 18 2 3 3" xfId="20743"/>
    <cellStyle name="Normal 9 19 2 3 3" xfId="20744"/>
    <cellStyle name="Normal 9 2 6 3 3" xfId="20745"/>
    <cellStyle name="Normal 9 2 2 2 3 3" xfId="20746"/>
    <cellStyle name="Normal 9 2 3 2 3 3" xfId="20747"/>
    <cellStyle name="Normal 9 2 4 2 3 3" xfId="20748"/>
    <cellStyle name="Normal 9 2 5 2 3 3" xfId="20749"/>
    <cellStyle name="Normal 9 20 2 3 3" xfId="20750"/>
    <cellStyle name="Normal 9 22 2 3 3" xfId="20751"/>
    <cellStyle name="Normal 9 3 6 3 3" xfId="20752"/>
    <cellStyle name="Normal 9 3 2 2 3 3" xfId="20753"/>
    <cellStyle name="Normal 9 3 3 2 3 3" xfId="20754"/>
    <cellStyle name="Normal 9 3 4 2 3 3" xfId="20755"/>
    <cellStyle name="Normal 9 3 5 2 3 3" xfId="20756"/>
    <cellStyle name="Normal 9 4 2 3 3" xfId="20757"/>
    <cellStyle name="Normal 9 5 2 3 3" xfId="20758"/>
    <cellStyle name="Normal 9 6 2 3 3" xfId="20759"/>
    <cellStyle name="Normal 9 7 2 3 3" xfId="20760"/>
    <cellStyle name="Normal 9 8 2 3 3" xfId="20761"/>
    <cellStyle name="Normal 9 9 2 3 3" xfId="20762"/>
    <cellStyle name="Note 2 2 3 3" xfId="20763"/>
    <cellStyle name="Note 3 2 3 3" xfId="20764"/>
    <cellStyle name="Note 4 2 3 3" xfId="20765"/>
    <cellStyle name="Note 7 2 3 3" xfId="20766"/>
    <cellStyle name="Percent 120 2 3 3" xfId="20767"/>
    <cellStyle name="Percent 121 2 3 3" xfId="20768"/>
    <cellStyle name="Percent 122 2 3 3" xfId="20769"/>
    <cellStyle name="Percent 123 2 3 3" xfId="20770"/>
    <cellStyle name="Percent 124 2 3 3" xfId="20771"/>
    <cellStyle name="Percent 125 2 3 3" xfId="20772"/>
    <cellStyle name="Percent 126 2 3 3" xfId="20773"/>
    <cellStyle name="Percent 127 2 3 3" xfId="20774"/>
    <cellStyle name="Percent 128 2 3 3" xfId="20775"/>
    <cellStyle name="Percent 129 2 3 3" xfId="20776"/>
    <cellStyle name="Percent 130 2 3 3" xfId="20777"/>
    <cellStyle name="Percent 159 2 3 3" xfId="20778"/>
    <cellStyle name="Percent 2 22 2 3 3" xfId="20779"/>
    <cellStyle name="Percent 25 2 3 3 3" xfId="20780"/>
    <cellStyle name="Percent 25 2 2 2 3 3" xfId="20781"/>
    <cellStyle name="Percent 25 3 3 3 3" xfId="20782"/>
    <cellStyle name="Percent 25 3 2 2 3 3" xfId="20783"/>
    <cellStyle name="Percent 25 4 2 2 3 3" xfId="20784"/>
    <cellStyle name="Percent 25 5 2 3 3" xfId="20785"/>
    <cellStyle name="Percent 26 2 3 3 3" xfId="20786"/>
    <cellStyle name="Percent 26 2 2 2 3 3" xfId="20787"/>
    <cellStyle name="Percent 26 3 3 3 3" xfId="20788"/>
    <cellStyle name="Percent 26 3 2 2 3 3" xfId="20789"/>
    <cellStyle name="Percent 26 4 2 2 3 3" xfId="20790"/>
    <cellStyle name="Percent 26 5 2 3 3" xfId="20791"/>
    <cellStyle name="Percent 27 2 3 3 3" xfId="20792"/>
    <cellStyle name="Percent 27 2 2 2 3 3" xfId="20793"/>
    <cellStyle name="Percent 27 3 3 3 3" xfId="20794"/>
    <cellStyle name="Percent 27 3 2 2 3 3" xfId="20795"/>
    <cellStyle name="Percent 27 4 2 2 3 3" xfId="20796"/>
    <cellStyle name="Percent 27 5 2 3 3" xfId="20797"/>
    <cellStyle name="Percent 28 2 3 3 3" xfId="20798"/>
    <cellStyle name="Percent 28 2 2 2 3 3" xfId="20799"/>
    <cellStyle name="Percent 28 3 3 3 3" xfId="20800"/>
    <cellStyle name="Percent 28 3 2 2 3 3" xfId="20801"/>
    <cellStyle name="Percent 28 4 2 2 3 3" xfId="20802"/>
    <cellStyle name="Percent 28 5 2 3 3" xfId="20803"/>
    <cellStyle name="Percent 29 2 3 3 3" xfId="20804"/>
    <cellStyle name="Percent 29 2 2 2 3 3" xfId="20805"/>
    <cellStyle name="Percent 29 3 3 3 3" xfId="20806"/>
    <cellStyle name="Percent 29 3 2 2 3 3" xfId="20807"/>
    <cellStyle name="Percent 29 4 2 2 3 3" xfId="20808"/>
    <cellStyle name="Percent 29 5 2 3 3" xfId="20809"/>
    <cellStyle name="Percent 3 10 2 3 3" xfId="20810"/>
    <cellStyle name="Percent 3 11 2 3 3" xfId="20811"/>
    <cellStyle name="Percent 3 12 2 3 3" xfId="20812"/>
    <cellStyle name="Percent 3 13 2 3 3" xfId="20813"/>
    <cellStyle name="Percent 3 14 2 3 3" xfId="20814"/>
    <cellStyle name="Percent 3 15 2 3 3" xfId="20815"/>
    <cellStyle name="Percent 3 16 2 3 3" xfId="20816"/>
    <cellStyle name="Percent 3 17 2 3 3" xfId="20817"/>
    <cellStyle name="Percent 3 18 2 3 3" xfId="20818"/>
    <cellStyle name="Percent 3 19 2 3 3" xfId="20819"/>
    <cellStyle name="Percent 3 2 23 3 3" xfId="20820"/>
    <cellStyle name="Percent 3 2 10 2 3 3" xfId="20821"/>
    <cellStyle name="Percent 3 2 11 2 3 3" xfId="20822"/>
    <cellStyle name="Percent 3 2 12 2 3 3" xfId="20823"/>
    <cellStyle name="Percent 3 2 13 2 3 3" xfId="20824"/>
    <cellStyle name="Percent 3 2 14 2 3 3" xfId="20825"/>
    <cellStyle name="Percent 3 2 15 2 3 3" xfId="20826"/>
    <cellStyle name="Percent 3 2 16 2 3 3" xfId="20827"/>
    <cellStyle name="Percent 3 2 17 2 3 3" xfId="20828"/>
    <cellStyle name="Percent 3 2 18 2 3 3" xfId="20829"/>
    <cellStyle name="Percent 3 2 19 2 3 3" xfId="20830"/>
    <cellStyle name="Percent 3 2 2 2 2 3 3" xfId="20831"/>
    <cellStyle name="Percent 3 2 2 3 2 3 3" xfId="20832"/>
    <cellStyle name="Percent 3 2 2 4 2 3 3" xfId="20833"/>
    <cellStyle name="Percent 3 2 2 5 2 3 3" xfId="20834"/>
    <cellStyle name="Percent 3 2 20 2 3 3" xfId="20835"/>
    <cellStyle name="Percent 3 2 21 2 2 3 3" xfId="20836"/>
    <cellStyle name="Percent 3 2 3 6 3 3" xfId="20837"/>
    <cellStyle name="Percent 3 2 3 2 2 3 3" xfId="20838"/>
    <cellStyle name="Percent 3 2 3 3 2 3 3" xfId="20839"/>
    <cellStyle name="Percent 3 2 3 4 2 3 3" xfId="20840"/>
    <cellStyle name="Percent 3 2 3 5 2 3 3" xfId="20841"/>
    <cellStyle name="Percent 3 2 4 3 3 3" xfId="20842"/>
    <cellStyle name="Percent 3 2 4 2 2 3 3" xfId="20843"/>
    <cellStyle name="Percent 3 2 5 3 3 3" xfId="20844"/>
    <cellStyle name="Percent 3 2 5 2 2 3 3" xfId="20845"/>
    <cellStyle name="Percent 3 2 6 3 3 3" xfId="20846"/>
    <cellStyle name="Percent 3 2 6 2 2 3 3" xfId="20847"/>
    <cellStyle name="Percent 3 2 7 2 3 3" xfId="20848"/>
    <cellStyle name="Percent 3 2 8 2 3 3" xfId="20849"/>
    <cellStyle name="Percent 3 2 9 2 3 3" xfId="20850"/>
    <cellStyle name="Percent 3 20 2 3 3" xfId="20851"/>
    <cellStyle name="Percent 3 21 2 3 3" xfId="20852"/>
    <cellStyle name="Percent 3 3 2 2 3 3" xfId="20853"/>
    <cellStyle name="Percent 3 3 3 2 3 3" xfId="20854"/>
    <cellStyle name="Percent 3 3 4 2 3 3" xfId="20855"/>
    <cellStyle name="Percent 3 3 5 2 3 3" xfId="20856"/>
    <cellStyle name="Percent 3 4 6 3 3" xfId="20857"/>
    <cellStyle name="Percent 3 4 2 2 3 3" xfId="20858"/>
    <cellStyle name="Percent 3 4 3 2 3 3" xfId="20859"/>
    <cellStyle name="Percent 3 4 4 2 3 3" xfId="20860"/>
    <cellStyle name="Percent 3 4 5 2 3 3" xfId="20861"/>
    <cellStyle name="Percent 3 5 3 3 3" xfId="20862"/>
    <cellStyle name="Percent 3 5 2 2 3 3" xfId="20863"/>
    <cellStyle name="Percent 3 6 3 3 3" xfId="20864"/>
    <cellStyle name="Percent 3 6 2 2 3 3" xfId="20865"/>
    <cellStyle name="Percent 3 7 3 3 3" xfId="20866"/>
    <cellStyle name="Percent 3 7 2 2 3 3" xfId="20867"/>
    <cellStyle name="Percent 3 8 2 3 3" xfId="20868"/>
    <cellStyle name="Percent 3 9 2 3 3" xfId="20869"/>
    <cellStyle name="Percent 30 2 3 3 3" xfId="20870"/>
    <cellStyle name="Percent 30 2 2 2 3 3" xfId="20871"/>
    <cellStyle name="Percent 30 3 3 3 3" xfId="20872"/>
    <cellStyle name="Percent 30 3 2 2 3 3" xfId="20873"/>
    <cellStyle name="Percent 30 4 2 2 3 3" xfId="20874"/>
    <cellStyle name="Percent 30 5 2 3 3" xfId="20875"/>
    <cellStyle name="Percent 31 2 3 3 3" xfId="20876"/>
    <cellStyle name="Percent 31 2 2 2 3 3" xfId="20877"/>
    <cellStyle name="Percent 31 3 3 3 3" xfId="20878"/>
    <cellStyle name="Percent 31 3 2 2 3 3" xfId="20879"/>
    <cellStyle name="Percent 31 4 2 2 3 3" xfId="20880"/>
    <cellStyle name="Percent 31 5 2 3 3" xfId="20881"/>
    <cellStyle name="Percent 32 2 3 3 3" xfId="20882"/>
    <cellStyle name="Percent 32 2 2 2 3 3" xfId="20883"/>
    <cellStyle name="Percent 32 3 3 3 3" xfId="20884"/>
    <cellStyle name="Percent 32 3 2 2 3 3" xfId="20885"/>
    <cellStyle name="Percent 32 4 2 2 3 3" xfId="20886"/>
    <cellStyle name="Percent 32 5 2 3 3" xfId="20887"/>
    <cellStyle name="Percent 33 2 3 3 3" xfId="20888"/>
    <cellStyle name="Percent 33 2 2 2 3 3" xfId="20889"/>
    <cellStyle name="Percent 33 3 3 3 3" xfId="20890"/>
    <cellStyle name="Percent 33 3 2 2 3 3" xfId="20891"/>
    <cellStyle name="Percent 33 4 2 2 3 3" xfId="20892"/>
    <cellStyle name="Percent 33 5 2 3 3" xfId="20893"/>
    <cellStyle name="Percent 34 2 3 3 3" xfId="20894"/>
    <cellStyle name="Percent 34 2 2 2 3 3" xfId="20895"/>
    <cellStyle name="Percent 34 3 3 3 3" xfId="20896"/>
    <cellStyle name="Percent 34 3 2 2 3 3" xfId="20897"/>
    <cellStyle name="Percent 34 4 2 2 3 3" xfId="20898"/>
    <cellStyle name="Percent 34 5 2 3 3" xfId="20899"/>
    <cellStyle name="Percent 35 2 3 3 3" xfId="20900"/>
    <cellStyle name="Percent 35 2 2 2 3 3" xfId="20901"/>
    <cellStyle name="Percent 35 3 3 3 3" xfId="20902"/>
    <cellStyle name="Percent 35 3 2 2 3 3" xfId="20903"/>
    <cellStyle name="Percent 35 4 2 2 3 3" xfId="20904"/>
    <cellStyle name="Percent 35 5 2 3 3" xfId="20905"/>
    <cellStyle name="Currency 5 4 2 3 3" xfId="20906"/>
    <cellStyle name="Comma 5 7 2 3 3" xfId="20907"/>
    <cellStyle name="Percent 5 4 2 3 3" xfId="20908"/>
    <cellStyle name="Comma 6 5 2 3 3" xfId="20909"/>
    <cellStyle name="Currency 5 2 4 2 3 3" xfId="20910"/>
    <cellStyle name="Comma 5 2 4 2 3 3" xfId="20911"/>
    <cellStyle name="Percent 5 2 4 2 3 3" xfId="20912"/>
    <cellStyle name="Comma 6 2 3 2 3 3" xfId="20913"/>
    <cellStyle name="Currency 5 3 2 2 3 3" xfId="20914"/>
    <cellStyle name="Comma 5 3 2 2 3 3" xfId="20915"/>
    <cellStyle name="Percent 5 3 2 2 3 3" xfId="20916"/>
    <cellStyle name="Comma 6 3 4 2 3 3" xfId="20917"/>
    <cellStyle name="Normal 11 2 2 2 3 3" xfId="20918"/>
    <cellStyle name="Currency 5 2 2 2 2 3 3" xfId="20919"/>
    <cellStyle name="Comma 5 2 2 2 2 3 3" xfId="20920"/>
    <cellStyle name="Percent 5 2 2 2 2 3 3" xfId="20921"/>
    <cellStyle name="Comma 6 2 2 2 2 3 3" xfId="20922"/>
    <cellStyle name="Normal 52 2 3" xfId="20923"/>
    <cellStyle name="Comma 205 2 3" xfId="20924"/>
    <cellStyle name="Comma 206 2 3" xfId="20925"/>
    <cellStyle name="Currency 5 7 2 3" xfId="20926"/>
    <cellStyle name="Normal 8 27 2 3" xfId="20927"/>
    <cellStyle name="Comma 5 10 2 3" xfId="20928"/>
    <cellStyle name="Percent 5 7 2 3" xfId="20929"/>
    <cellStyle name="Comma 6 8 2 3" xfId="20930"/>
    <cellStyle name="Normal 11 6 2 3" xfId="20931"/>
    <cellStyle name="Currency 5 2 7 2 3" xfId="20932"/>
    <cellStyle name="Normal 8 2 8 2 3" xfId="20933"/>
    <cellStyle name="Comma 5 2 7 2 3" xfId="20934"/>
    <cellStyle name="Percent 5 2 7 2 3" xfId="20935"/>
    <cellStyle name="Comma 6 2 6 2 3" xfId="20936"/>
    <cellStyle name="Currency 5 3 5 2 3" xfId="20937"/>
    <cellStyle name="Normal 8 3 8 2 3" xfId="20938"/>
    <cellStyle name="Comma 5 3 5 2 3" xfId="20939"/>
    <cellStyle name="Percent 5 3 5 2 3" xfId="20940"/>
    <cellStyle name="Comma 6 3 7 2 3" xfId="20941"/>
    <cellStyle name="Normal 11 2 5 2 3" xfId="20942"/>
    <cellStyle name="Currency 5 2 2 5 2 3" xfId="20943"/>
    <cellStyle name="Normal 8 2 2 4 2 3" xfId="20944"/>
    <cellStyle name="Comma 5 2 2 5 2 3" xfId="20945"/>
    <cellStyle name="Percent 5 2 2 5 2 3" xfId="20946"/>
    <cellStyle name="Comma 6 2 2 4 2 3" xfId="20947"/>
    <cellStyle name="Normal 50 3 2 3" xfId="20948"/>
    <cellStyle name="Comma 186 3 2 3" xfId="20949"/>
    <cellStyle name="Percent 162 3 2 3" xfId="20950"/>
    <cellStyle name="Normal 2 24 3 2 3" xfId="20951"/>
    <cellStyle name="20% - Accent1 2 3 2 3" xfId="20952"/>
    <cellStyle name="20% - Accent1 3 3 2 3" xfId="20953"/>
    <cellStyle name="20% - Accent1 4 3 2 3" xfId="20954"/>
    <cellStyle name="20% - Accent1 5 3 2 3" xfId="20955"/>
    <cellStyle name="20% - Accent2 2 3 2 3" xfId="20956"/>
    <cellStyle name="20% - Accent2 3 3 2 3" xfId="20957"/>
    <cellStyle name="20% - Accent2 4 3 2 3" xfId="20958"/>
    <cellStyle name="20% - Accent2 5 3 2 3" xfId="20959"/>
    <cellStyle name="20% - Accent3 2 3 2 3" xfId="20960"/>
    <cellStyle name="20% - Accent3 3 3 2 3" xfId="20961"/>
    <cellStyle name="20% - Accent3 4 3 2 3" xfId="20962"/>
    <cellStyle name="20% - Accent3 5 3 2 3" xfId="20963"/>
    <cellStyle name="20% - Accent4 2 3 2 3" xfId="20964"/>
    <cellStyle name="20% - Accent4 3 3 2 3" xfId="20965"/>
    <cellStyle name="20% - Accent4 4 3 2 3" xfId="20966"/>
    <cellStyle name="20% - Accent4 5 3 2 3" xfId="20967"/>
    <cellStyle name="20% - Accent5 2 3 2 3" xfId="20968"/>
    <cellStyle name="20% - Accent5 3 3 2 3" xfId="20969"/>
    <cellStyle name="20% - Accent5 4 3 2 3" xfId="20970"/>
    <cellStyle name="20% - Accent6 2 3 2 3" xfId="20971"/>
    <cellStyle name="20% - Accent6 3 3 2 3" xfId="20972"/>
    <cellStyle name="20% - Accent6 4 3 2 3" xfId="20973"/>
    <cellStyle name="40% - Accent1 2 3 2 3" xfId="20974"/>
    <cellStyle name="40% - Accent1 3 3 2 3" xfId="20975"/>
    <cellStyle name="40% - Accent1 4 3 2 3" xfId="20976"/>
    <cellStyle name="40% - Accent1 5 3 2 3" xfId="20977"/>
    <cellStyle name="40% - Accent2 2 3 2 3" xfId="20978"/>
    <cellStyle name="40% - Accent2 3 3 2 3" xfId="20979"/>
    <cellStyle name="40% - Accent2 4 3 2 3" xfId="20980"/>
    <cellStyle name="40% - Accent3 2 3 2 3" xfId="20981"/>
    <cellStyle name="40% - Accent3 3 3 2 3" xfId="20982"/>
    <cellStyle name="40% - Accent3 4 3 2 3" xfId="20983"/>
    <cellStyle name="40% - Accent3 5 3 2 3" xfId="20984"/>
    <cellStyle name="40% - Accent4 2 3 2 3" xfId="20985"/>
    <cellStyle name="40% - Accent4 3 3 2 3" xfId="20986"/>
    <cellStyle name="40% - Accent4 4 3 2 3" xfId="20987"/>
    <cellStyle name="40% - Accent4 5 3 2 3" xfId="20988"/>
    <cellStyle name="40% - Accent5 2 3 2 3" xfId="20989"/>
    <cellStyle name="40% - Accent5 3 3 2 3" xfId="20990"/>
    <cellStyle name="40% - Accent5 4 3 2 3" xfId="20991"/>
    <cellStyle name="40% - Accent6 2 3 2 3" xfId="20992"/>
    <cellStyle name="40% - Accent6 3 3 2 3" xfId="20993"/>
    <cellStyle name="40% - Accent6 4 3 2 3" xfId="20994"/>
    <cellStyle name="40% - Accent6 5 3 2 3" xfId="20995"/>
    <cellStyle name="Comma 143 3 2 3" xfId="20996"/>
    <cellStyle name="Comma 144 3 2 3" xfId="20997"/>
    <cellStyle name="Comma 145 3 2 3" xfId="20998"/>
    <cellStyle name="Comma 146 3 2 3" xfId="20999"/>
    <cellStyle name="Comma 147 3 2 3" xfId="21000"/>
    <cellStyle name="Comma 148 3 2 3" xfId="21001"/>
    <cellStyle name="Comma 149 3 2 3" xfId="21002"/>
    <cellStyle name="Comma 150 3 2 3" xfId="21003"/>
    <cellStyle name="Comma 151 3 2 3" xfId="21004"/>
    <cellStyle name="Comma 152 3 2 3" xfId="21005"/>
    <cellStyle name="Comma 153 3 2 3" xfId="21006"/>
    <cellStyle name="Comma 182 3 2 3" xfId="21007"/>
    <cellStyle name="Comma 2 23 3 2 3" xfId="21008"/>
    <cellStyle name="Comma 2 2 10 3 2 3" xfId="21009"/>
    <cellStyle name="Comma 2 2 11 3 2 3" xfId="21010"/>
    <cellStyle name="Comma 2 2 12 3 2 3" xfId="21011"/>
    <cellStyle name="Comma 2 2 13 3 2 3" xfId="21012"/>
    <cellStyle name="Comma 2 2 14 3 2 3" xfId="21013"/>
    <cellStyle name="Comma 2 2 15 3 2 3" xfId="21014"/>
    <cellStyle name="Comma 2 2 16 3 2 3" xfId="21015"/>
    <cellStyle name="Comma 2 2 17 3 2 3" xfId="21016"/>
    <cellStyle name="Comma 2 2 2 2 7 2 3" xfId="21017"/>
    <cellStyle name="Comma 2 2 2 2 2 3 2 3" xfId="21018"/>
    <cellStyle name="Comma 2 2 2 2 3 3 2 3" xfId="21019"/>
    <cellStyle name="Comma 2 2 2 2 4 3 2 3" xfId="21020"/>
    <cellStyle name="Comma 2 2 2 2 5 3 2 3" xfId="21021"/>
    <cellStyle name="Comma 2 2 2 3 3 2 3" xfId="21022"/>
    <cellStyle name="Comma 2 2 2 4 3 2 3" xfId="21023"/>
    <cellStyle name="Comma 2 2 2 5 3 2 3" xfId="21024"/>
    <cellStyle name="Comma 2 2 2 6 3 2 3" xfId="21025"/>
    <cellStyle name="Comma 2 2 3 7 2 3" xfId="21026"/>
    <cellStyle name="Comma 2 2 3 2 2 3 2 3" xfId="21027"/>
    <cellStyle name="Comma 2 2 3 2 3 3 2 3" xfId="21028"/>
    <cellStyle name="Comma 2 2 3 2 4 3 2 3" xfId="21029"/>
    <cellStyle name="Comma 2 2 3 2 5 3 2 3" xfId="21030"/>
    <cellStyle name="Comma 2 2 3 3 3 2 3" xfId="21031"/>
    <cellStyle name="Comma 2 2 4 2 3 2 3" xfId="21032"/>
    <cellStyle name="Comma 2 2 5 3 2 3" xfId="21033"/>
    <cellStyle name="Comma 2 2 6 3 2 3" xfId="21034"/>
    <cellStyle name="Comma 2 2 7 3 2 3" xfId="21035"/>
    <cellStyle name="Comma 2 2 8 3 2 3" xfId="21036"/>
    <cellStyle name="Comma 2 2 9 3 2 3" xfId="21037"/>
    <cellStyle name="Comma 3 10 3 2 3" xfId="21038"/>
    <cellStyle name="Comma 3 11 3 2 3" xfId="21039"/>
    <cellStyle name="Comma 3 12 3 2 3" xfId="21040"/>
    <cellStyle name="Comma 3 13 3 2 3" xfId="21041"/>
    <cellStyle name="Comma 3 14 3 2 3" xfId="21042"/>
    <cellStyle name="Comma 3 15 3 2 3" xfId="21043"/>
    <cellStyle name="Comma 3 16 3 2 3" xfId="21044"/>
    <cellStyle name="Comma 3 17 3 2 3" xfId="21045"/>
    <cellStyle name="Comma 3 18 3 2 3" xfId="21046"/>
    <cellStyle name="Comma 3 19 3 2 3" xfId="21047"/>
    <cellStyle name="Comma 3 2 2 3 2 3" xfId="21048"/>
    <cellStyle name="Comma 3 2 3 3 2 3" xfId="21049"/>
    <cellStyle name="Comma 3 2 4 3 2 3" xfId="21050"/>
    <cellStyle name="Comma 3 2 5 3 2 3" xfId="21051"/>
    <cellStyle name="Comma 3 20 3 2 3" xfId="21052"/>
    <cellStyle name="Comma 3 21 3 2 3" xfId="21053"/>
    <cellStyle name="Comma 3 3 7 2 3" xfId="21054"/>
    <cellStyle name="Comma 3 3 2 3 2 3" xfId="21055"/>
    <cellStyle name="Comma 3 3 3 3 2 3" xfId="21056"/>
    <cellStyle name="Comma 3 3 4 3 2 3" xfId="21057"/>
    <cellStyle name="Comma 3 3 5 3 2 3" xfId="21058"/>
    <cellStyle name="Comma 3 4 4 2 3" xfId="21059"/>
    <cellStyle name="Comma 3 4 2 3 2 3" xfId="21060"/>
    <cellStyle name="Comma 3 5 4 2 3" xfId="21061"/>
    <cellStyle name="Comma 3 5 2 3 2 3" xfId="21062"/>
    <cellStyle name="Comma 3 6 4 2 3" xfId="21063"/>
    <cellStyle name="Comma 3 6 2 3 2 3" xfId="21064"/>
    <cellStyle name="Comma 3 7 3 2 3" xfId="21065"/>
    <cellStyle name="Comma 3 8 3 2 3" xfId="21066"/>
    <cellStyle name="Comma 3 9 3 2 3" xfId="21067"/>
    <cellStyle name="Currency 120 3 2 3" xfId="21068"/>
    <cellStyle name="Currency 121 3 2 3" xfId="21069"/>
    <cellStyle name="Currency 122 3 2 3" xfId="21070"/>
    <cellStyle name="Currency 123 3 2 3" xfId="21071"/>
    <cellStyle name="Currency 124 3 2 3" xfId="21072"/>
    <cellStyle name="Currency 125 3 2 3" xfId="21073"/>
    <cellStyle name="Currency 126 3 2 3" xfId="21074"/>
    <cellStyle name="Currency 127 3 2 3" xfId="21075"/>
    <cellStyle name="Currency 128 3 2 3" xfId="21076"/>
    <cellStyle name="Currency 129 3 2 3" xfId="21077"/>
    <cellStyle name="Currency 130 3 2 3" xfId="21078"/>
    <cellStyle name="Currency 159 3 2 3" xfId="21079"/>
    <cellStyle name="Currency 2 27 3 2 3" xfId="21080"/>
    <cellStyle name="Currency 2 2 20 3 2 3" xfId="21081"/>
    <cellStyle name="Currency 2 2 10 3 2 3" xfId="21082"/>
    <cellStyle name="Currency 2 2 11 3 2 3" xfId="21083"/>
    <cellStyle name="Currency 2 2 12 3 2 3" xfId="21084"/>
    <cellStyle name="Currency 2 2 13 3 2 3" xfId="21085"/>
    <cellStyle name="Currency 2 2 14 3 2 3" xfId="21086"/>
    <cellStyle name="Currency 2 2 15 3 2 3" xfId="21087"/>
    <cellStyle name="Currency 2 2 16 3 2 3" xfId="21088"/>
    <cellStyle name="Currency 2 2 17 3 2 3" xfId="21089"/>
    <cellStyle name="Currency 2 2 18 3 2 3" xfId="21090"/>
    <cellStyle name="Currency 2 2 2 2 3 2 3" xfId="21091"/>
    <cellStyle name="Currency 2 2 2 3 3 2 3" xfId="21092"/>
    <cellStyle name="Currency 2 2 2 4 3 2 3" xfId="21093"/>
    <cellStyle name="Currency 2 2 2 5 3 2 3" xfId="21094"/>
    <cellStyle name="Currency 2 2 3 7 2 3" xfId="21095"/>
    <cellStyle name="Currency 2 2 3 2 3 2 3" xfId="21096"/>
    <cellStyle name="Currency 2 2 3 3 3 2 3" xfId="21097"/>
    <cellStyle name="Currency 2 2 3 4 3 2 3" xfId="21098"/>
    <cellStyle name="Currency 2 2 3 5 3 2 3" xfId="21099"/>
    <cellStyle name="Currency 2 2 4 3 2 3" xfId="21100"/>
    <cellStyle name="Currency 2 2 5 3 2 3" xfId="21101"/>
    <cellStyle name="Currency 2 2 6 3 2 3" xfId="21102"/>
    <cellStyle name="Currency 2 2 7 3 2 3" xfId="21103"/>
    <cellStyle name="Currency 2 2 8 3 2 3" xfId="21104"/>
    <cellStyle name="Currency 2 2 9 3 2 3" xfId="21105"/>
    <cellStyle name="Currency 3 10 3 2 3" xfId="21106"/>
    <cellStyle name="Currency 3 11 3 2 3" xfId="21107"/>
    <cellStyle name="Currency 3 12 3 2 3" xfId="21108"/>
    <cellStyle name="Currency 3 13 3 2 3" xfId="21109"/>
    <cellStyle name="Currency 3 14 3 2 3" xfId="21110"/>
    <cellStyle name="Currency 3 15 3 2 3" xfId="21111"/>
    <cellStyle name="Currency 3 16 3 2 3" xfId="21112"/>
    <cellStyle name="Currency 3 17 3 2 3" xfId="21113"/>
    <cellStyle name="Currency 3 18 3 2 3" xfId="21114"/>
    <cellStyle name="Currency 3 19 3 2 3" xfId="21115"/>
    <cellStyle name="Currency 3 2 2 3 2 3" xfId="21116"/>
    <cellStyle name="Currency 3 2 3 3 2 3" xfId="21117"/>
    <cellStyle name="Currency 3 2 4 3 2 3" xfId="21118"/>
    <cellStyle name="Currency 3 2 5 3 2 3" xfId="21119"/>
    <cellStyle name="Currency 3 20 3 2 3" xfId="21120"/>
    <cellStyle name="Currency 3 21 3 2 3" xfId="21121"/>
    <cellStyle name="Currency 3 3 9 2 3" xfId="21122"/>
    <cellStyle name="Currency 3 3 2 3 2 3" xfId="21123"/>
    <cellStyle name="Currency 3 3 3 3 2 3" xfId="21124"/>
    <cellStyle name="Currency 3 3 4 3 2 3" xfId="21125"/>
    <cellStyle name="Currency 3 3 5 3 2 3" xfId="21126"/>
    <cellStyle name="Currency 3 3 6 3 2 3" xfId="21127"/>
    <cellStyle name="Currency 3 4 4 2 3" xfId="21128"/>
    <cellStyle name="Currency 3 4 2 3 2 3" xfId="21129"/>
    <cellStyle name="Currency 3 5 4 2 3" xfId="21130"/>
    <cellStyle name="Currency 3 5 2 3 2 3" xfId="21131"/>
    <cellStyle name="Currency 3 6 4 2 3" xfId="21132"/>
    <cellStyle name="Currency 3 6 2 3 2 3" xfId="21133"/>
    <cellStyle name="Currency 3 7 3 2 3" xfId="21134"/>
    <cellStyle name="Currency 3 8 3 2 3" xfId="21135"/>
    <cellStyle name="Currency 3 9 3 2 3" xfId="21136"/>
    <cellStyle name="Normal 10 3 7 2 3" xfId="21137"/>
    <cellStyle name="Normal 10 3 2 6 2 3" xfId="21138"/>
    <cellStyle name="Normal 10 3 2 2 4 2 3" xfId="21139"/>
    <cellStyle name="Normal 10 3 2 2 2 3 2 3" xfId="21140"/>
    <cellStyle name="Normal 10 3 2 3 4 2 3" xfId="21141"/>
    <cellStyle name="Normal 10 3 2 3 2 3 2 3" xfId="21142"/>
    <cellStyle name="Normal 10 3 2 4 3 2 3" xfId="21143"/>
    <cellStyle name="Normal 10 3 3 4 2 3" xfId="21144"/>
    <cellStyle name="Normal 10 3 3 2 3 2 3" xfId="21145"/>
    <cellStyle name="Normal 10 3 4 4 2 3" xfId="21146"/>
    <cellStyle name="Normal 10 3 4 2 3 2 3" xfId="21147"/>
    <cellStyle name="Normal 10 3 5 3 2 3" xfId="21148"/>
    <cellStyle name="Normal 10 4 6 2 3" xfId="21149"/>
    <cellStyle name="Normal 10 4 2 4 2 3" xfId="21150"/>
    <cellStyle name="Normal 10 4 2 2 3 2 3" xfId="21151"/>
    <cellStyle name="Normal 10 4 3 4 2 3" xfId="21152"/>
    <cellStyle name="Normal 10 4 3 2 3 2 3" xfId="21153"/>
    <cellStyle name="Normal 10 4 4 3 2 3" xfId="21154"/>
    <cellStyle name="Normal 10 5 6 2 3" xfId="21155"/>
    <cellStyle name="Normal 10 5 2 4 2 3" xfId="21156"/>
    <cellStyle name="Normal 10 5 2 2 3 2 3" xfId="21157"/>
    <cellStyle name="Normal 10 5 3 4 2 3" xfId="21158"/>
    <cellStyle name="Normal 10 5 3 2 3 2 3" xfId="21159"/>
    <cellStyle name="Normal 10 5 4 3 2 3" xfId="21160"/>
    <cellStyle name="Normal 10 6 4 2 3" xfId="21161"/>
    <cellStyle name="Normal 10 6 2 3 2 3" xfId="21162"/>
    <cellStyle name="Normal 10 7 4 2 3" xfId="21163"/>
    <cellStyle name="Normal 10 7 2 3 2 3" xfId="21164"/>
    <cellStyle name="Normal 10 8 2 3 2 3" xfId="21165"/>
    <cellStyle name="Normal 10 9 3 2 3" xfId="21166"/>
    <cellStyle name="Normal 11 4 3 2 3" xfId="21167"/>
    <cellStyle name="Normal 11 3 3 2 3" xfId="21168"/>
    <cellStyle name="Normal 12 9 2 3" xfId="21169"/>
    <cellStyle name="Normal 12 2 2 6 2 3" xfId="21170"/>
    <cellStyle name="Normal 12 2 2 2 4 2 3" xfId="21171"/>
    <cellStyle name="Normal 12 2 2 2 2 3 2 3" xfId="21172"/>
    <cellStyle name="Normal 12 2 2 3 4 2 3" xfId="21173"/>
    <cellStyle name="Normal 12 2 2 3 2 3 2 3" xfId="21174"/>
    <cellStyle name="Normal 12 2 2 4 3 2 3" xfId="21175"/>
    <cellStyle name="Normal 12 2 3 4 2 3" xfId="21176"/>
    <cellStyle name="Normal 12 2 3 2 3 2 3" xfId="21177"/>
    <cellStyle name="Normal 12 2 4 4 2 3" xfId="21178"/>
    <cellStyle name="Normal 12 2 4 2 3 2 3" xfId="21179"/>
    <cellStyle name="Normal 12 2 5 2 3 2 3" xfId="21180"/>
    <cellStyle name="Normal 12 2 6 3 2 3" xfId="21181"/>
    <cellStyle name="Normal 12 3 6 2 3" xfId="21182"/>
    <cellStyle name="Normal 12 3 2 4 2 3" xfId="21183"/>
    <cellStyle name="Normal 12 3 2 2 3 2 3" xfId="21184"/>
    <cellStyle name="Normal 12 3 3 4 2 3" xfId="21185"/>
    <cellStyle name="Normal 12 3 3 2 3 2 3" xfId="21186"/>
    <cellStyle name="Normal 12 3 4 3 2 3" xfId="21187"/>
    <cellStyle name="Normal 12 4 6 2 3" xfId="21188"/>
    <cellStyle name="Normal 12 4 2 4 2 3" xfId="21189"/>
    <cellStyle name="Normal 12 4 2 2 3 2 3" xfId="21190"/>
    <cellStyle name="Normal 12 4 3 4 2 3" xfId="21191"/>
    <cellStyle name="Normal 12 4 3 2 3 2 3" xfId="21192"/>
    <cellStyle name="Normal 12 4 4 3 2 3" xfId="21193"/>
    <cellStyle name="Normal 12 5 4 2 3" xfId="21194"/>
    <cellStyle name="Normal 12 5 2 3 2 3" xfId="21195"/>
    <cellStyle name="Normal 12 6 4 2 3" xfId="21196"/>
    <cellStyle name="Normal 12 6 2 3 2 3" xfId="21197"/>
    <cellStyle name="Normal 12 7 3 2 3" xfId="21198"/>
    <cellStyle name="Normal 15 7 2 3" xfId="21199"/>
    <cellStyle name="Normal 15 3 3 2 3" xfId="21200"/>
    <cellStyle name="Normal 16 2 6 2 3" xfId="21201"/>
    <cellStyle name="Normal 16 2 2 4 2 3" xfId="21202"/>
    <cellStyle name="Normal 16 2 2 2 3 2 3" xfId="21203"/>
    <cellStyle name="Normal 16 2 3 4 2 3" xfId="21204"/>
    <cellStyle name="Normal 16 2 3 2 3 2 3" xfId="21205"/>
    <cellStyle name="Normal 16 2 4 3 2 3" xfId="21206"/>
    <cellStyle name="Normal 16 3 4 2 3" xfId="21207"/>
    <cellStyle name="Normal 16 3 2 3 2 3" xfId="21208"/>
    <cellStyle name="Normal 16 4 4 2 3" xfId="21209"/>
    <cellStyle name="Normal 16 4 2 3 2 3" xfId="21210"/>
    <cellStyle name="Normal 16 5 2 3 2 3" xfId="21211"/>
    <cellStyle name="Normal 16 6 3 2 3" xfId="21212"/>
    <cellStyle name="Normal 17 2 6 2 3" xfId="21213"/>
    <cellStyle name="Normal 17 2 2 4 2 3" xfId="21214"/>
    <cellStyle name="Normal 17 2 2 2 3 2 3" xfId="21215"/>
    <cellStyle name="Normal 17 2 3 4 2 3" xfId="21216"/>
    <cellStyle name="Normal 17 2 3 2 3 2 3" xfId="21217"/>
    <cellStyle name="Normal 17 2 4 3 2 3" xfId="21218"/>
    <cellStyle name="Normal 17 3 4 2 3" xfId="21219"/>
    <cellStyle name="Normal 17 3 2 3 2 3" xfId="21220"/>
    <cellStyle name="Normal 17 4 4 2 3" xfId="21221"/>
    <cellStyle name="Normal 17 4 2 3 2 3" xfId="21222"/>
    <cellStyle name="Normal 17 5 2 3 2 3" xfId="21223"/>
    <cellStyle name="Normal 17 6 3 2 3" xfId="21224"/>
    <cellStyle name="Normal 2 10 3 3 2 3" xfId="21225"/>
    <cellStyle name="Normal 2 11 3 3 2 3" xfId="21226"/>
    <cellStyle name="Normal 2 12 3 3 2 3" xfId="21227"/>
    <cellStyle name="Normal 2 13 3 3 2 3" xfId="21228"/>
    <cellStyle name="Normal 2 14 3 3 2 3" xfId="21229"/>
    <cellStyle name="Normal 2 15 3 3 2 3" xfId="21230"/>
    <cellStyle name="Normal 2 16 3 3 2 3" xfId="21231"/>
    <cellStyle name="Normal 2 17 3 3 2 3" xfId="21232"/>
    <cellStyle name="Normal 2 18 3 3 2 3" xfId="21233"/>
    <cellStyle name="Normal 2 19 3 3 2 3" xfId="21234"/>
    <cellStyle name="Normal 2 2 10 3 2 3" xfId="21235"/>
    <cellStyle name="Normal 2 2 11 3 2 3" xfId="21236"/>
    <cellStyle name="Normal 2 2 12 3 2 3" xfId="21237"/>
    <cellStyle name="Normal 2 2 13 3 2 3" xfId="21238"/>
    <cellStyle name="Normal 2 2 14 3 2 3" xfId="21239"/>
    <cellStyle name="Normal 2 2 15 3 2 3" xfId="21240"/>
    <cellStyle name="Normal 2 2 16 3 2 3" xfId="21241"/>
    <cellStyle name="Normal 2 2 17 3 2 3" xfId="21242"/>
    <cellStyle name="Normal 2 2 18 3 2 3" xfId="21243"/>
    <cellStyle name="Normal 2 2 19 3 2 3" xfId="21244"/>
    <cellStyle name="Normal 2 2 2 2 7 2 3" xfId="21245"/>
    <cellStyle name="Normal 2 2 2 2 2 4 2 3" xfId="21246"/>
    <cellStyle name="Normal 2 2 2 2 2 2 3 2 3" xfId="21247"/>
    <cellStyle name="Normal 2 2 2 2 3 3 2 3" xfId="21248"/>
    <cellStyle name="Normal 2 2 2 2 4 3 2 3" xfId="21249"/>
    <cellStyle name="Normal 2 2 2 2 5 3 2 3" xfId="21250"/>
    <cellStyle name="Normal 2 2 20 3 2 3" xfId="21251"/>
    <cellStyle name="Normal 2 2 21 3 2 3" xfId="21252"/>
    <cellStyle name="Normal 2 2 22 3 2 3" xfId="21253"/>
    <cellStyle name="Normal 2 2 3 10 2 3" xfId="21254"/>
    <cellStyle name="Normal 2 2 3 2 3 2 3" xfId="21255"/>
    <cellStyle name="Normal 2 2 3 3 3 2 3" xfId="21256"/>
    <cellStyle name="Normal 2 2 3 4 3 2 3" xfId="21257"/>
    <cellStyle name="Normal 2 2 3 5 3 2 3" xfId="21258"/>
    <cellStyle name="Normal 2 2 3 6 3 2 3" xfId="21259"/>
    <cellStyle name="Normal 2 2 4 6 2 3" xfId="21260"/>
    <cellStyle name="Normal 2 2 4 2 3 2 3" xfId="21261"/>
    <cellStyle name="Normal 2 2 5 5 2 3" xfId="21262"/>
    <cellStyle name="Normal 2 2 5 2 3 2 3" xfId="21263"/>
    <cellStyle name="Normal 2 2 6 3 2 3" xfId="21264"/>
    <cellStyle name="Normal 2 2 7 3 2 3" xfId="21265"/>
    <cellStyle name="Normal 2 2 8 3 2 3" xfId="21266"/>
    <cellStyle name="Normal 2 2 9 3 2 3" xfId="21267"/>
    <cellStyle name="Normal 2 20 3 2 3" xfId="21268"/>
    <cellStyle name="Normal 2 3 2 4 2 3" xfId="21269"/>
    <cellStyle name="Normal 2 3 3 3 2 3" xfId="21270"/>
    <cellStyle name="Normal 2 3 4 3 2 3" xfId="21271"/>
    <cellStyle name="Normal 2 3 5 3 2 3" xfId="21272"/>
    <cellStyle name="Normal 2 3 6 3 2 3" xfId="21273"/>
    <cellStyle name="Normal 2 4 5 3 2 3" xfId="21274"/>
    <cellStyle name="Normal 2 4 2 3 2 3" xfId="21275"/>
    <cellStyle name="Normal 2 5 3 3 2 3" xfId="21276"/>
    <cellStyle name="Normal 2 6 3 3 2 3" xfId="21277"/>
    <cellStyle name="Normal 2 7 3 3 2 3" xfId="21278"/>
    <cellStyle name="Normal 2 8 3 3 2 3" xfId="21279"/>
    <cellStyle name="Normal 2 9 3 3 2 3" xfId="21280"/>
    <cellStyle name="Normal 21 10 2 3" xfId="21281"/>
    <cellStyle name="Normal 21 2 8 2 3" xfId="21282"/>
    <cellStyle name="Normal 21 2 2 3 2 3" xfId="21283"/>
    <cellStyle name="Normal 21 2 3 3 2 3" xfId="21284"/>
    <cellStyle name="Normal 21 2 4 3 2 3" xfId="21285"/>
    <cellStyle name="Normal 21 2 5 3 2 3" xfId="21286"/>
    <cellStyle name="Normal 21 2 6 3 2 3" xfId="21287"/>
    <cellStyle name="Normal 21 3 4 2 3" xfId="21288"/>
    <cellStyle name="Normal 21 3 2 3 2 3" xfId="21289"/>
    <cellStyle name="Normal 21 4 3 2 3" xfId="21290"/>
    <cellStyle name="Normal 21 5 3 2 3" xfId="21291"/>
    <cellStyle name="Normal 21 6 3 2 3" xfId="21292"/>
    <cellStyle name="Normal 21 8 3 2 3" xfId="21293"/>
    <cellStyle name="Normal 22 9 2 3" xfId="21294"/>
    <cellStyle name="Normal 22 2 8 2 3" xfId="21295"/>
    <cellStyle name="Normal 22 2 2 3 2 3" xfId="21296"/>
    <cellStyle name="Normal 22 2 3 3 2 3" xfId="21297"/>
    <cellStyle name="Normal 22 2 4 3 2 3" xfId="21298"/>
    <cellStyle name="Normal 22 2 5 3 2 3" xfId="21299"/>
    <cellStyle name="Normal 22 3 3 2 3" xfId="21300"/>
    <cellStyle name="Normal 22 4 3 2 3" xfId="21301"/>
    <cellStyle name="Normal 22 5 3 2 3" xfId="21302"/>
    <cellStyle name="Normal 22 6 3 2 3" xfId="21303"/>
    <cellStyle name="Normal 23 9 2 3" xfId="21304"/>
    <cellStyle name="Normal 23 2 7 2 3" xfId="21305"/>
    <cellStyle name="Normal 23 2 2 3 2 3" xfId="21306"/>
    <cellStyle name="Normal 23 2 3 3 2 3" xfId="21307"/>
    <cellStyle name="Normal 23 2 4 3 2 3" xfId="21308"/>
    <cellStyle name="Normal 23 2 5 3 2 3" xfId="21309"/>
    <cellStyle name="Normal 23 3 3 2 3" xfId="21310"/>
    <cellStyle name="Normal 23 4 3 2 3" xfId="21311"/>
    <cellStyle name="Normal 23 5 3 2 3" xfId="21312"/>
    <cellStyle name="Normal 23 6 3 2 3" xfId="21313"/>
    <cellStyle name="Normal 24 9 2 3" xfId="21314"/>
    <cellStyle name="Normal 24 2 7 2 3" xfId="21315"/>
    <cellStyle name="Normal 24 2 2 3 2 3" xfId="21316"/>
    <cellStyle name="Normal 24 2 3 3 2 3" xfId="21317"/>
    <cellStyle name="Normal 24 2 4 3 2 3" xfId="21318"/>
    <cellStyle name="Normal 24 2 5 3 2 3" xfId="21319"/>
    <cellStyle name="Normal 24 3 3 2 3" xfId="21320"/>
    <cellStyle name="Normal 24 4 3 2 3" xfId="21321"/>
    <cellStyle name="Normal 24 5 3 2 3" xfId="21322"/>
    <cellStyle name="Normal 24 6 3 2 3" xfId="21323"/>
    <cellStyle name="Normal 26 9 2 3" xfId="21324"/>
    <cellStyle name="Normal 26 2 7 2 3" xfId="21325"/>
    <cellStyle name="Normal 26 2 2 3 2 3" xfId="21326"/>
    <cellStyle name="Normal 26 2 3 3 2 3" xfId="21327"/>
    <cellStyle name="Normal 26 2 4 3 2 3" xfId="21328"/>
    <cellStyle name="Normal 26 2 5 3 2 3" xfId="21329"/>
    <cellStyle name="Normal 26 3 3 2 3" xfId="21330"/>
    <cellStyle name="Normal 26 4 3 2 3" xfId="21331"/>
    <cellStyle name="Normal 26 5 3 2 3" xfId="21332"/>
    <cellStyle name="Normal 26 6 3 2 3" xfId="21333"/>
    <cellStyle name="Normal 3 10 3 2 3" xfId="21334"/>
    <cellStyle name="Normal 3 11 3 2 3" xfId="21335"/>
    <cellStyle name="Normal 3 12 3 2 3" xfId="21336"/>
    <cellStyle name="Normal 3 13 3 2 3" xfId="21337"/>
    <cellStyle name="Normal 3 14 3 2 3" xfId="21338"/>
    <cellStyle name="Normal 3 15 3 2 3" xfId="21339"/>
    <cellStyle name="Normal 3 16 3 2 3" xfId="21340"/>
    <cellStyle name="Normal 3 17 3 2 3" xfId="21341"/>
    <cellStyle name="Normal 3 18 3 2 3" xfId="21342"/>
    <cellStyle name="Normal 3 19 3 2 3" xfId="21343"/>
    <cellStyle name="Normal 3 2 2 3 2 3" xfId="21344"/>
    <cellStyle name="Normal 3 2 3 3 2 3" xfId="21345"/>
    <cellStyle name="Normal 3 2 4 3 2 3" xfId="21346"/>
    <cellStyle name="Normal 3 2 5 3 2 3" xfId="21347"/>
    <cellStyle name="Normal 3 2 6 3 2 3" xfId="21348"/>
    <cellStyle name="Normal 3 20 3 2 3" xfId="21349"/>
    <cellStyle name="Normal 3 21 3 2 3" xfId="21350"/>
    <cellStyle name="Normal 3 22 3 2 3" xfId="21351"/>
    <cellStyle name="Normal 3 23 3 2 3" xfId="21352"/>
    <cellStyle name="Normal 3 24 3 2 3" xfId="21353"/>
    <cellStyle name="Normal 3 3 6 2 3" xfId="21354"/>
    <cellStyle name="Normal 3 3 2 3 2 3" xfId="21355"/>
    <cellStyle name="Normal 3 3 3 3 2 3" xfId="21356"/>
    <cellStyle name="Normal 3 4 4 2 3" xfId="21357"/>
    <cellStyle name="Normal 3 4 2 3 2 3" xfId="21358"/>
    <cellStyle name="Normal 3 5 4 2 3" xfId="21359"/>
    <cellStyle name="Normal 3 5 2 3 2 3" xfId="21360"/>
    <cellStyle name="Normal 3 6 3 2 3" xfId="21361"/>
    <cellStyle name="Normal 3 7 3 2 3" xfId="21362"/>
    <cellStyle name="Normal 3 8 3 2 3" xfId="21363"/>
    <cellStyle name="Normal 3 9 3 2 3" xfId="21364"/>
    <cellStyle name="Normal 4 2 10 3 2 3" xfId="21365"/>
    <cellStyle name="Normal 4 2 11 3 2 3" xfId="21366"/>
    <cellStyle name="Normal 4 2 12 3 2 3" xfId="21367"/>
    <cellStyle name="Normal 4 2 13 3 2 3" xfId="21368"/>
    <cellStyle name="Normal 4 2 14 3 2 3" xfId="21369"/>
    <cellStyle name="Normal 4 2 15 3 2 3" xfId="21370"/>
    <cellStyle name="Normal 4 2 16 3 2 3" xfId="21371"/>
    <cellStyle name="Normal 4 2 17 3 2 3" xfId="21372"/>
    <cellStyle name="Normal 4 2 18 3 2 3" xfId="21373"/>
    <cellStyle name="Normal 4 2 19 3 2 3" xfId="21374"/>
    <cellStyle name="Normal 4 2 2 7 2 3" xfId="21375"/>
    <cellStyle name="Normal 4 2 2 2 3 2 3" xfId="21376"/>
    <cellStyle name="Normal 4 2 2 3 3 2 3" xfId="21377"/>
    <cellStyle name="Normal 4 2 2 4 3 2 3" xfId="21378"/>
    <cellStyle name="Normal 4 2 2 5 3 2 3" xfId="21379"/>
    <cellStyle name="Normal 4 2 20 3 2 3" xfId="21380"/>
    <cellStyle name="Normal 4 2 21 3 2 3" xfId="21381"/>
    <cellStyle name="Normal 4 2 22 3 2 3" xfId="21382"/>
    <cellStyle name="Normal 4 2 23 3 2 3" xfId="21383"/>
    <cellStyle name="Normal 4 2 24 3 2 3" xfId="21384"/>
    <cellStyle name="Normal 4 2 3 4 2 3" xfId="21385"/>
    <cellStyle name="Normal 4 2 3 2 3 2 3" xfId="21386"/>
    <cellStyle name="Normal 4 2 4 4 2 3" xfId="21387"/>
    <cellStyle name="Normal 4 2 4 2 3 2 3" xfId="21388"/>
    <cellStyle name="Normal 4 2 5 4 2 3" xfId="21389"/>
    <cellStyle name="Normal 4 2 5 2 3 2 3" xfId="21390"/>
    <cellStyle name="Normal 4 2 6 3 2 3" xfId="21391"/>
    <cellStyle name="Normal 4 2 7 3 2 3" xfId="21392"/>
    <cellStyle name="Normal 4 2 8 3 2 3" xfId="21393"/>
    <cellStyle name="Normal 4 2 9 3 2 3" xfId="21394"/>
    <cellStyle name="Normal 4 3 8 2 3" xfId="21395"/>
    <cellStyle name="Normal 4 3 2 7 2 3" xfId="21396"/>
    <cellStyle name="Normal 4 3 2 2 6 2 3" xfId="21397"/>
    <cellStyle name="Normal 4 3 2 2 2 4 2 3" xfId="21398"/>
    <cellStyle name="Normal 4 3 2 2 2 2 3 2 3" xfId="21399"/>
    <cellStyle name="Normal 4 3 2 2 3 4 2 3" xfId="21400"/>
    <cellStyle name="Normal 4 3 2 2 3 2 3 2 3" xfId="21401"/>
    <cellStyle name="Normal 4 3 2 2 4 3 2 3" xfId="21402"/>
    <cellStyle name="Normal 4 3 2 3 4 2 3" xfId="21403"/>
    <cellStyle name="Normal 4 3 2 3 2 3 2 3" xfId="21404"/>
    <cellStyle name="Normal 4 3 2 4 4 2 3" xfId="21405"/>
    <cellStyle name="Normal 4 3 2 4 2 3 2 3" xfId="21406"/>
    <cellStyle name="Normal 4 3 2 5 3 2 3" xfId="21407"/>
    <cellStyle name="Normal 4 3 3 6 2 3" xfId="21408"/>
    <cellStyle name="Normal 4 3 3 2 4 2 3" xfId="21409"/>
    <cellStyle name="Normal 4 3 3 2 2 3 2 3" xfId="21410"/>
    <cellStyle name="Normal 4 3 3 3 4 2 3" xfId="21411"/>
    <cellStyle name="Normal 4 3 3 3 2 3 2 3" xfId="21412"/>
    <cellStyle name="Normal 4 3 3 4 3 2 3" xfId="21413"/>
    <cellStyle name="Normal 4 3 4 4 2 3" xfId="21414"/>
    <cellStyle name="Normal 4 3 4 2 3 2 3" xfId="21415"/>
    <cellStyle name="Normal 4 3 5 4 2 3" xfId="21416"/>
    <cellStyle name="Normal 4 3 5 2 3 2 3" xfId="21417"/>
    <cellStyle name="Normal 4 3 6 3 2 3" xfId="21418"/>
    <cellStyle name="Normal 4 4 5 2 3" xfId="21419"/>
    <cellStyle name="Normal 4 4 2 3 2 3" xfId="21420"/>
    <cellStyle name="Normal 4 5 3 2 3" xfId="21421"/>
    <cellStyle name="Normal 4 6 3 2 3" xfId="21422"/>
    <cellStyle name="Normal 4 7 3 2 3" xfId="21423"/>
    <cellStyle name="Normal 4 8 3 2 3" xfId="21424"/>
    <cellStyle name="Normal 41 2 3 2 3" xfId="21425"/>
    <cellStyle name="Normal 46 3 2 3" xfId="21426"/>
    <cellStyle name="Normal 5 28 3 2 3" xfId="21427"/>
    <cellStyle name="Normal 5 2 8 2 3" xfId="21428"/>
    <cellStyle name="Normal 5 2 2 2 2 3 2 3" xfId="21429"/>
    <cellStyle name="Normal 5 2 2 3 3 2 3" xfId="21430"/>
    <cellStyle name="Normal 5 2 3 2 2 3 2 3" xfId="21431"/>
    <cellStyle name="Normal 5 2 3 3 3 2 3" xfId="21432"/>
    <cellStyle name="Normal 5 2 4 2 3 2 3" xfId="21433"/>
    <cellStyle name="Normal 5 2 6 3 2 3" xfId="21434"/>
    <cellStyle name="Normal 5 24 3 2 3" xfId="21435"/>
    <cellStyle name="Normal 5 3 4 2 3" xfId="21436"/>
    <cellStyle name="Normal 5 4 4 2 3" xfId="21437"/>
    <cellStyle name="Normal 5 5 4 2 3" xfId="21438"/>
    <cellStyle name="Normal 5 6 4 2 3" xfId="21439"/>
    <cellStyle name="Normal 5 7 4 2 3" xfId="21440"/>
    <cellStyle name="Normal 7 25 3 2 3" xfId="21441"/>
    <cellStyle name="Normal 7 10 3 2 3" xfId="21442"/>
    <cellStyle name="Normal 7 11 3 2 3" xfId="21443"/>
    <cellStyle name="Normal 7 12 3 2 3" xfId="21444"/>
    <cellStyle name="Normal 7 13 3 2 3" xfId="21445"/>
    <cellStyle name="Normal 7 14 3 2 3" xfId="21446"/>
    <cellStyle name="Normal 7 15 3 2 3" xfId="21447"/>
    <cellStyle name="Normal 7 16 3 2 3" xfId="21448"/>
    <cellStyle name="Normal 7 17 3 2 3" xfId="21449"/>
    <cellStyle name="Normal 7 18 3 2 3" xfId="21450"/>
    <cellStyle name="Normal 7 19 3 2 3" xfId="21451"/>
    <cellStyle name="Normal 7 2 7 2 3" xfId="21452"/>
    <cellStyle name="Normal 7 2 2 3 2 3" xfId="21453"/>
    <cellStyle name="Normal 7 2 3 3 2 3" xfId="21454"/>
    <cellStyle name="Normal 7 2 4 3 2 3" xfId="21455"/>
    <cellStyle name="Normal 7 2 5 3 2 3" xfId="21456"/>
    <cellStyle name="Normal 7 20 3 2 3" xfId="21457"/>
    <cellStyle name="Normal 7 22 3 2 3" xfId="21458"/>
    <cellStyle name="Normal 7 3 7 2 3" xfId="21459"/>
    <cellStyle name="Normal 7 3 2 3 2 3" xfId="21460"/>
    <cellStyle name="Normal 7 3 3 3 2 3" xfId="21461"/>
    <cellStyle name="Normal 7 3 4 3 2 3" xfId="21462"/>
    <cellStyle name="Normal 7 3 5 3 2 3" xfId="21463"/>
    <cellStyle name="Normal 7 4 3 2 3" xfId="21464"/>
    <cellStyle name="Normal 7 5 3 2 3" xfId="21465"/>
    <cellStyle name="Normal 7 6 3 2 3" xfId="21466"/>
    <cellStyle name="Normal 7 7 3 2 3" xfId="21467"/>
    <cellStyle name="Normal 7 8 3 2 3" xfId="21468"/>
    <cellStyle name="Normal 7 9 3 2 3" xfId="21469"/>
    <cellStyle name="Normal 8 25 3 2 3" xfId="21470"/>
    <cellStyle name="Normal 8 10 3 2 3" xfId="21471"/>
    <cellStyle name="Normal 8 11 3 2 3" xfId="21472"/>
    <cellStyle name="Normal 8 12 3 2 3" xfId="21473"/>
    <cellStyle name="Normal 8 13 3 2 3" xfId="21474"/>
    <cellStyle name="Normal 8 14 3 2 3" xfId="21475"/>
    <cellStyle name="Normal 8 15 3 2 3" xfId="21476"/>
    <cellStyle name="Normal 8 16 3 2 3" xfId="21477"/>
    <cellStyle name="Normal 8 17 3 2 3" xfId="21478"/>
    <cellStyle name="Normal 8 18 3 2 3" xfId="21479"/>
    <cellStyle name="Normal 8 19 3 2 3" xfId="21480"/>
    <cellStyle name="Normal 8 2 6 3 2 3" xfId="21481"/>
    <cellStyle name="Normal 8 2 2 2 3 2 3" xfId="21482"/>
    <cellStyle name="Normal 8 2 3 3 2 3" xfId="21483"/>
    <cellStyle name="Normal 8 2 4 3 2 3" xfId="21484"/>
    <cellStyle name="Normal 8 2 5 3 2 3" xfId="21485"/>
    <cellStyle name="Normal 8 20 3 2 3" xfId="21486"/>
    <cellStyle name="Normal 8 22 3 2 3" xfId="21487"/>
    <cellStyle name="Normal 8 3 6 3 2 3" xfId="21488"/>
    <cellStyle name="Normal 8 3 2 3 2 3" xfId="21489"/>
    <cellStyle name="Normal 8 3 3 3 2 3" xfId="21490"/>
    <cellStyle name="Normal 8 3 4 3 2 3" xfId="21491"/>
    <cellStyle name="Normal 8 3 5 3 2 3" xfId="21492"/>
    <cellStyle name="Normal 8 4 3 2 3" xfId="21493"/>
    <cellStyle name="Normal 8 5 3 2 3" xfId="21494"/>
    <cellStyle name="Normal 8 6 3 2 3" xfId="21495"/>
    <cellStyle name="Normal 8 7 3 2 3" xfId="21496"/>
    <cellStyle name="Normal 8 8 3 2 3" xfId="21497"/>
    <cellStyle name="Normal 8 9 3 2 3" xfId="21498"/>
    <cellStyle name="Normal 9 25 3 2 3" xfId="21499"/>
    <cellStyle name="Normal 9 10 3 2 3" xfId="21500"/>
    <cellStyle name="Normal 9 11 3 2 3" xfId="21501"/>
    <cellStyle name="Normal 9 12 3 2 3" xfId="21502"/>
    <cellStyle name="Normal 9 13 3 2 3" xfId="21503"/>
    <cellStyle name="Normal 9 14 3 2 3" xfId="21504"/>
    <cellStyle name="Normal 9 15 3 2 3" xfId="21505"/>
    <cellStyle name="Normal 9 16 3 2 3" xfId="21506"/>
    <cellStyle name="Normal 9 17 3 2 3" xfId="21507"/>
    <cellStyle name="Normal 9 18 3 2 3" xfId="21508"/>
    <cellStyle name="Normal 9 19 3 2 3" xfId="21509"/>
    <cellStyle name="Normal 9 2 7 2 3" xfId="21510"/>
    <cellStyle name="Normal 9 2 2 3 2 3" xfId="21511"/>
    <cellStyle name="Normal 9 2 3 3 2 3" xfId="21512"/>
    <cellStyle name="Normal 9 2 4 3 2 3" xfId="21513"/>
    <cellStyle name="Normal 9 2 5 3 2 3" xfId="21514"/>
    <cellStyle name="Normal 9 20 3 2 3" xfId="21515"/>
    <cellStyle name="Normal 9 22 3 2 3" xfId="21516"/>
    <cellStyle name="Normal 9 3 7 2 3" xfId="21517"/>
    <cellStyle name="Normal 9 3 2 3 2 3" xfId="21518"/>
    <cellStyle name="Normal 9 3 3 3 2 3" xfId="21519"/>
    <cellStyle name="Normal 9 3 4 3 2 3" xfId="21520"/>
    <cellStyle name="Normal 9 3 5 3 2 3" xfId="21521"/>
    <cellStyle name="Normal 9 4 3 2 3" xfId="21522"/>
    <cellStyle name="Normal 9 5 3 2 3" xfId="21523"/>
    <cellStyle name="Normal 9 6 3 2 3" xfId="21524"/>
    <cellStyle name="Normal 9 7 3 2 3" xfId="21525"/>
    <cellStyle name="Normal 9 8 3 2 3" xfId="21526"/>
    <cellStyle name="Normal 9 9 3 2 3" xfId="21527"/>
    <cellStyle name="Note 2 3 2 3" xfId="21528"/>
    <cellStyle name="Note 3 3 2 3" xfId="21529"/>
    <cellStyle name="Note 4 3 2 3" xfId="21530"/>
    <cellStyle name="Note 7 3 2 3" xfId="21531"/>
    <cellStyle name="Percent 120 3 2 3" xfId="21532"/>
    <cellStyle name="Percent 121 3 2 3" xfId="21533"/>
    <cellStyle name="Percent 122 3 2 3" xfId="21534"/>
    <cellStyle name="Percent 123 3 2 3" xfId="21535"/>
    <cellStyle name="Percent 124 3 2 3" xfId="21536"/>
    <cellStyle name="Percent 125 3 2 3" xfId="21537"/>
    <cellStyle name="Percent 126 3 2 3" xfId="21538"/>
    <cellStyle name="Percent 127 3 2 3" xfId="21539"/>
    <cellStyle name="Percent 128 3 2 3" xfId="21540"/>
    <cellStyle name="Percent 129 3 2 3" xfId="21541"/>
    <cellStyle name="Percent 130 3 2 3" xfId="21542"/>
    <cellStyle name="Percent 159 3 2 3" xfId="21543"/>
    <cellStyle name="Percent 2 22 3 2 3" xfId="21544"/>
    <cellStyle name="Percent 25 2 4 2 3" xfId="21545"/>
    <cellStyle name="Percent 25 2 2 3 2 3" xfId="21546"/>
    <cellStyle name="Percent 25 3 4 2 3" xfId="21547"/>
    <cellStyle name="Percent 25 3 2 3 2 3" xfId="21548"/>
    <cellStyle name="Percent 25 4 2 3 2 3" xfId="21549"/>
    <cellStyle name="Percent 25 5 3 2 3" xfId="21550"/>
    <cellStyle name="Percent 26 2 4 2 3" xfId="21551"/>
    <cellStyle name="Percent 26 2 2 3 2 3" xfId="21552"/>
    <cellStyle name="Percent 26 3 4 2 3" xfId="21553"/>
    <cellStyle name="Percent 26 3 2 3 2 3" xfId="21554"/>
    <cellStyle name="Percent 26 4 2 3 2 3" xfId="21555"/>
    <cellStyle name="Percent 26 5 3 2 3" xfId="21556"/>
    <cellStyle name="Percent 27 2 4 2 3" xfId="21557"/>
    <cellStyle name="Percent 27 2 2 3 2 3" xfId="21558"/>
    <cellStyle name="Percent 27 3 4 2 3" xfId="21559"/>
    <cellStyle name="Percent 27 3 2 3 2 3" xfId="21560"/>
    <cellStyle name="Percent 27 4 2 3 2 3" xfId="21561"/>
    <cellStyle name="Percent 27 5 3 2 3" xfId="21562"/>
    <cellStyle name="Percent 28 2 4 2 3" xfId="21563"/>
    <cellStyle name="Percent 28 2 2 3 2 3" xfId="21564"/>
    <cellStyle name="Percent 28 3 4 2 3" xfId="21565"/>
    <cellStyle name="Percent 28 3 2 3 2 3" xfId="21566"/>
    <cellStyle name="Percent 28 4 2 3 2 3" xfId="21567"/>
    <cellStyle name="Percent 28 5 3 2 3" xfId="21568"/>
    <cellStyle name="Percent 29 2 4 2 3" xfId="21569"/>
    <cellStyle name="Percent 29 2 2 3 2 3" xfId="21570"/>
    <cellStyle name="Percent 29 3 4 2 3" xfId="21571"/>
    <cellStyle name="Percent 29 3 2 3 2 3" xfId="21572"/>
    <cellStyle name="Percent 29 4 2 3 2 3" xfId="21573"/>
    <cellStyle name="Percent 29 5 3 2 3" xfId="21574"/>
    <cellStyle name="Percent 3 10 3 2 3" xfId="21575"/>
    <cellStyle name="Percent 3 11 3 2 3" xfId="21576"/>
    <cellStyle name="Percent 3 12 3 2 3" xfId="21577"/>
    <cellStyle name="Percent 3 13 3 2 3" xfId="21578"/>
    <cellStyle name="Percent 3 14 3 2 3" xfId="21579"/>
    <cellStyle name="Percent 3 15 3 2 3" xfId="21580"/>
    <cellStyle name="Percent 3 16 3 2 3" xfId="21581"/>
    <cellStyle name="Percent 3 17 3 2 3" xfId="21582"/>
    <cellStyle name="Percent 3 18 3 2 3" xfId="21583"/>
    <cellStyle name="Percent 3 19 3 2 3" xfId="21584"/>
    <cellStyle name="Percent 3 2 24 2 3" xfId="21585"/>
    <cellStyle name="Percent 3 2 10 3 2 3" xfId="21586"/>
    <cellStyle name="Percent 3 2 11 3 2 3" xfId="21587"/>
    <cellStyle name="Percent 3 2 12 3 2 3" xfId="21588"/>
    <cellStyle name="Percent 3 2 13 3 2 3" xfId="21589"/>
    <cellStyle name="Percent 3 2 14 3 2 3" xfId="21590"/>
    <cellStyle name="Percent 3 2 15 3 2 3" xfId="21591"/>
    <cellStyle name="Percent 3 2 16 3 2 3" xfId="21592"/>
    <cellStyle name="Percent 3 2 17 3 2 3" xfId="21593"/>
    <cellStyle name="Percent 3 2 18 3 2 3" xfId="21594"/>
    <cellStyle name="Percent 3 2 19 3 2 3" xfId="21595"/>
    <cellStyle name="Percent 3 2 2 2 3 2 3" xfId="21596"/>
    <cellStyle name="Percent 3 2 2 3 3 2 3" xfId="21597"/>
    <cellStyle name="Percent 3 2 2 4 3 2 3" xfId="21598"/>
    <cellStyle name="Percent 3 2 2 5 3 2 3" xfId="21599"/>
    <cellStyle name="Percent 3 2 20 3 2 3" xfId="21600"/>
    <cellStyle name="Percent 3 2 21 2 3 2 3" xfId="21601"/>
    <cellStyle name="Percent 3 2 3 7 2 3" xfId="21602"/>
    <cellStyle name="Percent 3 2 3 2 3 2 3" xfId="21603"/>
    <cellStyle name="Percent 3 2 3 3 3 2 3" xfId="21604"/>
    <cellStyle name="Percent 3 2 3 4 3 2 3" xfId="21605"/>
    <cellStyle name="Percent 3 2 3 5 3 2 3" xfId="21606"/>
    <cellStyle name="Percent 3 2 4 4 2 3" xfId="21607"/>
    <cellStyle name="Percent 3 2 4 2 3 2 3" xfId="21608"/>
    <cellStyle name="Percent 3 2 5 4 2 3" xfId="21609"/>
    <cellStyle name="Percent 3 2 5 2 3 2 3" xfId="21610"/>
    <cellStyle name="Percent 3 2 6 4 2 3" xfId="21611"/>
    <cellStyle name="Percent 3 2 6 2 3 2 3" xfId="21612"/>
    <cellStyle name="Percent 3 2 7 3 2 3" xfId="21613"/>
    <cellStyle name="Percent 3 2 8 3 2 3" xfId="21614"/>
    <cellStyle name="Percent 3 2 9 3 2 3" xfId="21615"/>
    <cellStyle name="Percent 3 20 3 2 3" xfId="21616"/>
    <cellStyle name="Percent 3 21 3 2 3" xfId="21617"/>
    <cellStyle name="Percent 3 3 2 3 2 3" xfId="21618"/>
    <cellStyle name="Percent 3 3 3 3 2 3" xfId="21619"/>
    <cellStyle name="Percent 3 3 4 3 2 3" xfId="21620"/>
    <cellStyle name="Percent 3 3 5 3 2 3" xfId="21621"/>
    <cellStyle name="Percent 3 4 7 2 3" xfId="21622"/>
    <cellStyle name="Percent 3 4 2 3 2 3" xfId="21623"/>
    <cellStyle name="Percent 3 4 3 3 2 3" xfId="21624"/>
    <cellStyle name="Percent 3 4 4 3 2 3" xfId="21625"/>
    <cellStyle name="Percent 3 4 5 3 2 3" xfId="21626"/>
    <cellStyle name="Percent 3 5 4 2 3" xfId="21627"/>
    <cellStyle name="Percent 3 5 2 3 2 3" xfId="21628"/>
    <cellStyle name="Percent 3 6 4 2 3" xfId="21629"/>
    <cellStyle name="Percent 3 6 2 3 2 3" xfId="21630"/>
    <cellStyle name="Percent 3 7 4 2 3" xfId="21631"/>
    <cellStyle name="Percent 3 7 2 3 2 3" xfId="21632"/>
    <cellStyle name="Percent 3 8 3 2 3" xfId="21633"/>
    <cellStyle name="Percent 3 9 3 2 3" xfId="21634"/>
    <cellStyle name="Percent 30 2 4 2 3" xfId="21635"/>
    <cellStyle name="Percent 30 2 2 3 2 3" xfId="21636"/>
    <cellStyle name="Percent 30 3 4 2 3" xfId="21637"/>
    <cellStyle name="Percent 30 3 2 3 2 3" xfId="21638"/>
    <cellStyle name="Percent 30 4 2 3 2 3" xfId="21639"/>
    <cellStyle name="Percent 30 5 3 2 3" xfId="21640"/>
    <cellStyle name="Percent 31 2 4 2 3" xfId="21641"/>
    <cellStyle name="Percent 31 2 2 3 2 3" xfId="21642"/>
    <cellStyle name="Percent 31 3 4 2 3" xfId="21643"/>
    <cellStyle name="Percent 31 3 2 3 2 3" xfId="21644"/>
    <cellStyle name="Percent 31 4 2 3 2 3" xfId="21645"/>
    <cellStyle name="Percent 31 5 3 2 3" xfId="21646"/>
    <cellStyle name="Percent 32 2 4 2 3" xfId="21647"/>
    <cellStyle name="Percent 32 2 2 3 2 3" xfId="21648"/>
    <cellStyle name="Percent 32 3 4 2 3" xfId="21649"/>
    <cellStyle name="Percent 32 3 2 3 2 3" xfId="21650"/>
    <cellStyle name="Percent 32 4 2 3 2 3" xfId="21651"/>
    <cellStyle name="Percent 32 5 3 2 3" xfId="21652"/>
    <cellStyle name="Percent 33 2 4 2 3" xfId="21653"/>
    <cellStyle name="Percent 33 2 2 3 2 3" xfId="21654"/>
    <cellStyle name="Percent 33 3 4 2 3" xfId="21655"/>
    <cellStyle name="Percent 33 3 2 3 2 3" xfId="21656"/>
    <cellStyle name="Percent 33 4 2 3 2 3" xfId="21657"/>
    <cellStyle name="Percent 33 5 3 2 3" xfId="21658"/>
    <cellStyle name="Percent 34 2 4 2 3" xfId="21659"/>
    <cellStyle name="Percent 34 2 2 3 2 3" xfId="21660"/>
    <cellStyle name="Percent 34 3 4 2 3" xfId="21661"/>
    <cellStyle name="Percent 34 3 2 3 2 3" xfId="21662"/>
    <cellStyle name="Percent 34 4 2 3 2 3" xfId="21663"/>
    <cellStyle name="Percent 34 5 3 2 3" xfId="21664"/>
    <cellStyle name="Percent 35 2 4 2 3" xfId="21665"/>
    <cellStyle name="Percent 35 2 2 3 2 3" xfId="21666"/>
    <cellStyle name="Percent 35 3 4 2 3" xfId="21667"/>
    <cellStyle name="Percent 35 3 2 3 2 3" xfId="21668"/>
    <cellStyle name="Percent 35 4 2 3 2 3" xfId="21669"/>
    <cellStyle name="Percent 35 5 3 2 3" xfId="21670"/>
    <cellStyle name="Currency 5 4 3 2 3" xfId="21671"/>
    <cellStyle name="Comma 5 7 3 2 3" xfId="21672"/>
    <cellStyle name="Percent 5 4 3 2 3" xfId="21673"/>
    <cellStyle name="Comma 6 5 3 2 3" xfId="21674"/>
    <cellStyle name="Currency 5 2 4 3 2 3" xfId="21675"/>
    <cellStyle name="Comma 5 2 4 3 2 3" xfId="21676"/>
    <cellStyle name="Percent 5 2 4 3 2 3" xfId="21677"/>
    <cellStyle name="Comma 6 2 3 3 2 3" xfId="21678"/>
    <cellStyle name="Currency 5 3 2 3 2 3" xfId="21679"/>
    <cellStyle name="Comma 5 3 2 3 2 3" xfId="21680"/>
    <cellStyle name="Percent 5 3 2 3 2 3" xfId="21681"/>
    <cellStyle name="Comma 6 3 4 3 2 3" xfId="21682"/>
    <cellStyle name="Normal 11 2 2 3 2 3" xfId="21683"/>
    <cellStyle name="Currency 5 2 2 2 3 2 3" xfId="21684"/>
    <cellStyle name="Comma 5 2 2 2 3 2 3" xfId="21685"/>
    <cellStyle name="Percent 5 2 2 2 3 2 3" xfId="21686"/>
    <cellStyle name="Comma 6 2 2 2 3 2 3" xfId="21687"/>
    <cellStyle name="Normal 51 3 2 3" xfId="21688"/>
    <cellStyle name="Comma 187 3 2 3" xfId="21689"/>
    <cellStyle name="Percent 163 3 2 3" xfId="21690"/>
    <cellStyle name="Currency 162 3 2 3" xfId="21691"/>
    <cellStyle name="Currency 5 6 2 2 3" xfId="21692"/>
    <cellStyle name="Currency 179 2 2 3" xfId="21693"/>
    <cellStyle name="Percent 180 2 2 3" xfId="21694"/>
    <cellStyle name="Comma 204 2 2 3" xfId="21695"/>
    <cellStyle name="Normal 8 26 2 2 3" xfId="21696"/>
    <cellStyle name="Comma 5 9 2 2 3" xfId="21697"/>
    <cellStyle name="Percent 5 6 2 2 3" xfId="21698"/>
    <cellStyle name="Comma 6 7 2 2 3" xfId="21699"/>
    <cellStyle name="Normal 11 5 2 2 3" xfId="21700"/>
    <cellStyle name="Currency 5 2 6 2 2 3" xfId="21701"/>
    <cellStyle name="Normal 8 2 7 2 2 3" xfId="21702"/>
    <cellStyle name="Comma 5 2 6 2 2 3" xfId="21703"/>
    <cellStyle name="Percent 5 2 6 2 2 3" xfId="21704"/>
    <cellStyle name="Comma 6 2 5 2 2 3" xfId="21705"/>
    <cellStyle name="Currency 5 3 4 2 2 3" xfId="21706"/>
    <cellStyle name="Normal 8 3 7 2 2 3" xfId="21707"/>
    <cellStyle name="Comma 5 3 4 2 2 3" xfId="21708"/>
    <cellStyle name="Percent 5 3 4 2 2 3" xfId="21709"/>
    <cellStyle name="Comma 6 3 6 2 2 3" xfId="21710"/>
    <cellStyle name="Normal 11 2 4 2 2 3" xfId="21711"/>
    <cellStyle name="Currency 5 2 2 4 2 2 3" xfId="21712"/>
    <cellStyle name="Normal 8 2 2 3 2 2 3" xfId="21713"/>
    <cellStyle name="Comma 5 2 2 4 2 2 3" xfId="21714"/>
    <cellStyle name="Percent 5 2 2 4 2 2 3" xfId="21715"/>
    <cellStyle name="Comma 6 2 2 3 2 2 3" xfId="21716"/>
    <cellStyle name="Normal 50 2 2 2 3" xfId="21717"/>
    <cellStyle name="Comma 186 2 2 2 3" xfId="21718"/>
    <cellStyle name="Percent 162 2 2 2 3" xfId="21719"/>
    <cellStyle name="Normal 2 24 2 2 2 3" xfId="21720"/>
    <cellStyle name="20% - Accent1 2 2 2 2 3" xfId="21721"/>
    <cellStyle name="20% - Accent1 3 2 2 2 3" xfId="21722"/>
    <cellStyle name="20% - Accent1 4 2 2 2 3" xfId="21723"/>
    <cellStyle name="20% - Accent1 5 2 2 2 3" xfId="21724"/>
    <cellStyle name="20% - Accent2 2 2 2 2 3" xfId="21725"/>
    <cellStyle name="20% - Accent2 3 2 2 2 3" xfId="21726"/>
    <cellStyle name="20% - Accent2 4 2 2 2 3" xfId="21727"/>
    <cellStyle name="20% - Accent2 5 2 2 2 3" xfId="21728"/>
    <cellStyle name="20% - Accent3 2 2 2 2 3" xfId="21729"/>
    <cellStyle name="20% - Accent3 3 2 2 2 3" xfId="21730"/>
    <cellStyle name="20% - Accent3 4 2 2 2 3" xfId="21731"/>
    <cellStyle name="20% - Accent3 5 2 2 2 3" xfId="21732"/>
    <cellStyle name="20% - Accent4 2 2 2 2 3" xfId="21733"/>
    <cellStyle name="20% - Accent4 3 2 2 2 3" xfId="21734"/>
    <cellStyle name="20% - Accent4 4 2 2 2 3" xfId="21735"/>
    <cellStyle name="20% - Accent4 5 2 2 2 3" xfId="21736"/>
    <cellStyle name="20% - Accent5 2 2 2 2 3" xfId="21737"/>
    <cellStyle name="20% - Accent5 3 2 2 2 3" xfId="21738"/>
    <cellStyle name="20% - Accent5 4 2 2 2 3" xfId="21739"/>
    <cellStyle name="20% - Accent6 2 2 2 2 3" xfId="21740"/>
    <cellStyle name="20% - Accent6 3 2 2 2 3" xfId="21741"/>
    <cellStyle name="20% - Accent6 4 2 2 2 3" xfId="21742"/>
    <cellStyle name="40% - Accent1 2 2 2 2 3" xfId="21743"/>
    <cellStyle name="40% - Accent1 3 2 2 2 3" xfId="21744"/>
    <cellStyle name="40% - Accent1 4 2 2 2 3" xfId="21745"/>
    <cellStyle name="40% - Accent1 5 2 2 2 3" xfId="21746"/>
    <cellStyle name="40% - Accent2 2 2 2 2 3" xfId="21747"/>
    <cellStyle name="40% - Accent2 3 2 2 2 3" xfId="21748"/>
    <cellStyle name="40% - Accent2 4 2 2 2 3" xfId="21749"/>
    <cellStyle name="40% - Accent3 2 2 2 2 3" xfId="21750"/>
    <cellStyle name="40% - Accent3 3 2 2 2 3" xfId="21751"/>
    <cellStyle name="40% - Accent3 4 2 2 2 3" xfId="21752"/>
    <cellStyle name="40% - Accent3 5 2 2 2 3" xfId="21753"/>
    <cellStyle name="40% - Accent4 2 2 2 2 3" xfId="21754"/>
    <cellStyle name="40% - Accent4 3 2 2 2 3" xfId="21755"/>
    <cellStyle name="40% - Accent4 4 2 2 2 3" xfId="21756"/>
    <cellStyle name="40% - Accent4 5 2 2 2 3" xfId="21757"/>
    <cellStyle name="40% - Accent5 2 2 2 2 3" xfId="21758"/>
    <cellStyle name="40% - Accent5 3 2 2 2 3" xfId="21759"/>
    <cellStyle name="40% - Accent5 4 2 2 2 3" xfId="21760"/>
    <cellStyle name="40% - Accent6 2 2 2 2 3" xfId="21761"/>
    <cellStyle name="40% - Accent6 3 2 2 2 3" xfId="21762"/>
    <cellStyle name="40% - Accent6 4 2 2 2 3" xfId="21763"/>
    <cellStyle name="40% - Accent6 5 2 2 2 3" xfId="21764"/>
    <cellStyle name="Comma 143 2 2 2 3" xfId="21765"/>
    <cellStyle name="Comma 144 2 2 2 3" xfId="21766"/>
    <cellStyle name="Comma 145 2 2 2 3" xfId="21767"/>
    <cellStyle name="Comma 146 2 2 2 3" xfId="21768"/>
    <cellStyle name="Comma 147 2 2 2 3" xfId="21769"/>
    <cellStyle name="Comma 148 2 2 2 3" xfId="21770"/>
    <cellStyle name="Comma 149 2 2 2 3" xfId="21771"/>
    <cellStyle name="Comma 150 2 2 2 3" xfId="21772"/>
    <cellStyle name="Comma 151 2 2 2 3" xfId="21773"/>
    <cellStyle name="Comma 152 2 2 2 3" xfId="21774"/>
    <cellStyle name="Comma 153 2 2 2 3" xfId="21775"/>
    <cellStyle name="Comma 182 2 2 2 3" xfId="21776"/>
    <cellStyle name="Comma 2 23 2 2 2 3" xfId="21777"/>
    <cellStyle name="Comma 2 2 10 2 2 2 3" xfId="21778"/>
    <cellStyle name="Comma 2 2 11 2 2 2 3" xfId="21779"/>
    <cellStyle name="Comma 2 2 12 2 2 2 3" xfId="21780"/>
    <cellStyle name="Comma 2 2 13 2 2 2 3" xfId="21781"/>
    <cellStyle name="Comma 2 2 14 2 2 2 3" xfId="21782"/>
    <cellStyle name="Comma 2 2 15 2 2 2 3" xfId="21783"/>
    <cellStyle name="Comma 2 2 16 2 2 2 3" xfId="21784"/>
    <cellStyle name="Comma 2 2 17 2 2 2 3" xfId="21785"/>
    <cellStyle name="Comma 2 2 2 2 6 2 2 3" xfId="21786"/>
    <cellStyle name="Comma 2 2 2 2 2 2 2 2 3" xfId="21787"/>
    <cellStyle name="Comma 2 2 2 2 3 2 2 2 3" xfId="21788"/>
    <cellStyle name="Comma 2 2 2 2 4 2 2 2 3" xfId="21789"/>
    <cellStyle name="Comma 2 2 2 2 5 2 2 2 3" xfId="21790"/>
    <cellStyle name="Comma 2 2 2 3 2 2 2 3" xfId="21791"/>
    <cellStyle name="Comma 2 2 2 4 2 2 2 3" xfId="21792"/>
    <cellStyle name="Comma 2 2 2 5 2 2 2 3" xfId="21793"/>
    <cellStyle name="Comma 2 2 2 6 2 2 2 3" xfId="21794"/>
    <cellStyle name="Comma 2 2 3 6 2 2 3" xfId="21795"/>
    <cellStyle name="Comma 2 2 3 2 2 2 2 2 3" xfId="21796"/>
    <cellStyle name="Comma 2 2 3 2 3 2 2 2 3" xfId="21797"/>
    <cellStyle name="Comma 2 2 3 2 4 2 2 2 3" xfId="21798"/>
    <cellStyle name="Comma 2 2 3 2 5 2 2 2 3" xfId="21799"/>
    <cellStyle name="Comma 2 2 3 3 2 2 2 3" xfId="21800"/>
    <cellStyle name="Comma 2 2 4 2 2 2 2 3" xfId="21801"/>
    <cellStyle name="Comma 2 2 5 2 2 2 3" xfId="21802"/>
    <cellStyle name="Comma 2 2 6 2 2 2 3" xfId="21803"/>
    <cellStyle name="Comma 2 2 7 2 2 2 3" xfId="21804"/>
    <cellStyle name="Comma 2 2 8 2 2 2 3" xfId="21805"/>
    <cellStyle name="Comma 2 2 9 2 2 2 3" xfId="21806"/>
    <cellStyle name="Comma 3 10 2 2 2 3" xfId="21807"/>
    <cellStyle name="Comma 3 11 2 2 2 3" xfId="21808"/>
    <cellStyle name="Comma 3 12 2 2 2 3" xfId="21809"/>
    <cellStyle name="Comma 3 13 2 2 2 3" xfId="21810"/>
    <cellStyle name="Comma 3 14 2 2 2 3" xfId="21811"/>
    <cellStyle name="Comma 3 15 2 2 2 3" xfId="21812"/>
    <cellStyle name="Comma 3 16 2 2 2 3" xfId="21813"/>
    <cellStyle name="Comma 3 17 2 2 2 3" xfId="21814"/>
    <cellStyle name="Comma 3 18 2 2 2 3" xfId="21815"/>
    <cellStyle name="Comma 3 19 2 2 2 3" xfId="21816"/>
    <cellStyle name="Comma 3 2 2 2 2 2 3" xfId="21817"/>
    <cellStyle name="Comma 3 2 3 2 2 2 3" xfId="21818"/>
    <cellStyle name="Comma 3 2 4 2 2 2 3" xfId="21819"/>
    <cellStyle name="Comma 3 2 5 2 2 2 3" xfId="21820"/>
    <cellStyle name="Comma 3 20 2 2 2 3" xfId="21821"/>
    <cellStyle name="Comma 3 21 2 2 2 3" xfId="21822"/>
    <cellStyle name="Comma 3 3 6 2 2 3" xfId="21823"/>
    <cellStyle name="Comma 3 3 2 2 2 2 3" xfId="21824"/>
    <cellStyle name="Comma 3 3 3 2 2 2 3" xfId="21825"/>
    <cellStyle name="Comma 3 3 4 2 2 2 3" xfId="21826"/>
    <cellStyle name="Comma 3 3 5 2 2 2 3" xfId="21827"/>
    <cellStyle name="Comma 3 4 3 2 2 3" xfId="21828"/>
    <cellStyle name="Comma 3 4 2 2 2 2 3" xfId="21829"/>
    <cellStyle name="Comma 3 5 3 2 2 3" xfId="21830"/>
    <cellStyle name="Comma 3 5 2 2 2 2 3" xfId="21831"/>
    <cellStyle name="Comma 3 6 3 2 2 3" xfId="21832"/>
    <cellStyle name="Comma 3 6 2 2 2 2 3" xfId="21833"/>
    <cellStyle name="Comma 3 7 2 2 2 3" xfId="21834"/>
    <cellStyle name="Comma 3 8 2 2 2 3" xfId="21835"/>
    <cellStyle name="Comma 3 9 2 2 2 3" xfId="21836"/>
    <cellStyle name="Currency 120 2 2 2 3" xfId="21837"/>
    <cellStyle name="Currency 121 2 2 2 3" xfId="21838"/>
    <cellStyle name="Currency 122 2 2 2 3" xfId="21839"/>
    <cellStyle name="Currency 123 2 2 2 3" xfId="21840"/>
    <cellStyle name="Currency 124 2 2 2 3" xfId="21841"/>
    <cellStyle name="Currency 125 2 2 2 3" xfId="21842"/>
    <cellStyle name="Currency 126 2 2 2 3" xfId="21843"/>
    <cellStyle name="Currency 127 2 2 2 3" xfId="21844"/>
    <cellStyle name="Currency 128 2 2 2 3" xfId="21845"/>
    <cellStyle name="Currency 129 2 2 2 3" xfId="21846"/>
    <cellStyle name="Currency 130 2 2 2 3" xfId="21847"/>
    <cellStyle name="Currency 159 2 2 2 3" xfId="21848"/>
    <cellStyle name="Currency 2 27 2 2 2 3" xfId="21849"/>
    <cellStyle name="Currency 2 2 20 2 2 2 3" xfId="21850"/>
    <cellStyle name="Currency 2 2 10 2 2 2 3" xfId="21851"/>
    <cellStyle name="Currency 2 2 11 2 2 2 3" xfId="21852"/>
    <cellStyle name="Currency 2 2 12 2 2 2 3" xfId="21853"/>
    <cellStyle name="Currency 2 2 13 2 2 2 3" xfId="21854"/>
    <cellStyle name="Currency 2 2 14 2 2 2 3" xfId="21855"/>
    <cellStyle name="Currency 2 2 15 2 2 2 3" xfId="21856"/>
    <cellStyle name="Currency 2 2 16 2 2 2 3" xfId="21857"/>
    <cellStyle name="Currency 2 2 17 2 2 2 3" xfId="21858"/>
    <cellStyle name="Currency 2 2 18 2 2 2 3" xfId="21859"/>
    <cellStyle name="Currency 2 2 2 2 2 2 2 3" xfId="21860"/>
    <cellStyle name="Currency 2 2 2 3 2 2 2 3" xfId="21861"/>
    <cellStyle name="Currency 2 2 2 4 2 2 2 3" xfId="21862"/>
    <cellStyle name="Currency 2 2 2 5 2 2 2 3" xfId="21863"/>
    <cellStyle name="Currency 2 2 3 6 2 2 3" xfId="21864"/>
    <cellStyle name="Currency 2 2 3 2 2 2 2 3" xfId="21865"/>
    <cellStyle name="Currency 2 2 3 3 2 2 2 3" xfId="21866"/>
    <cellStyle name="Currency 2 2 3 4 2 2 2 3" xfId="21867"/>
    <cellStyle name="Currency 2 2 3 5 2 2 2 3" xfId="21868"/>
    <cellStyle name="Currency 2 2 4 2 2 2 3" xfId="21869"/>
    <cellStyle name="Currency 2 2 5 2 2 2 3" xfId="21870"/>
    <cellStyle name="Currency 2 2 6 2 2 2 3" xfId="21871"/>
    <cellStyle name="Currency 2 2 7 2 2 2 3" xfId="21872"/>
    <cellStyle name="Currency 2 2 8 2 2 2 3" xfId="21873"/>
    <cellStyle name="Currency 2 2 9 2 2 2 3" xfId="21874"/>
    <cellStyle name="Currency 3 10 2 2 2 3" xfId="21875"/>
    <cellStyle name="Currency 3 11 2 2 2 3" xfId="21876"/>
    <cellStyle name="Currency 3 12 2 2 2 3" xfId="21877"/>
    <cellStyle name="Currency 3 13 2 2 2 3" xfId="21878"/>
    <cellStyle name="Currency 3 14 2 2 2 3" xfId="21879"/>
    <cellStyle name="Currency 3 15 2 2 2 3" xfId="21880"/>
    <cellStyle name="Currency 3 16 2 2 2 3" xfId="21881"/>
    <cellStyle name="Currency 3 17 2 2 2 3" xfId="21882"/>
    <cellStyle name="Currency 3 18 2 2 2 3" xfId="21883"/>
    <cellStyle name="Currency 3 19 2 2 2 3" xfId="21884"/>
    <cellStyle name="Currency 3 2 2 2 2 2 3" xfId="21885"/>
    <cellStyle name="Currency 3 2 3 2 2 2 3" xfId="21886"/>
    <cellStyle name="Currency 3 2 4 2 2 2 3" xfId="21887"/>
    <cellStyle name="Currency 3 2 5 2 2 2 3" xfId="21888"/>
    <cellStyle name="Currency 3 20 2 2 2 3" xfId="21889"/>
    <cellStyle name="Currency 3 21 2 2 2 3" xfId="21890"/>
    <cellStyle name="Currency 3 3 8 2 2 3" xfId="21891"/>
    <cellStyle name="Currency 3 3 2 2 2 2 3" xfId="21892"/>
    <cellStyle name="Currency 3 3 3 2 2 2 3" xfId="21893"/>
    <cellStyle name="Currency 3 3 4 2 2 2 3" xfId="21894"/>
    <cellStyle name="Currency 3 3 5 2 2 2 3" xfId="21895"/>
    <cellStyle name="Currency 3 3 6 2 2 2 3" xfId="21896"/>
    <cellStyle name="Currency 3 4 3 2 2 3" xfId="21897"/>
    <cellStyle name="Currency 3 4 2 2 2 2 3" xfId="21898"/>
    <cellStyle name="Currency 3 5 3 2 2 3" xfId="21899"/>
    <cellStyle name="Currency 3 5 2 2 2 2 3" xfId="21900"/>
    <cellStyle name="Currency 3 6 3 2 2 3" xfId="21901"/>
    <cellStyle name="Currency 3 6 2 2 2 2 3" xfId="21902"/>
    <cellStyle name="Currency 3 7 2 2 2 3" xfId="21903"/>
    <cellStyle name="Currency 3 8 2 2 2 3" xfId="21904"/>
    <cellStyle name="Currency 3 9 2 2 2 3" xfId="21905"/>
    <cellStyle name="Normal 10 3 6 2 2 3" xfId="21906"/>
    <cellStyle name="Normal 10 3 2 5 2 2 3" xfId="21907"/>
    <cellStyle name="Normal 10 3 2 2 3 2 2 3" xfId="21908"/>
    <cellStyle name="Normal 10 3 2 2 2 2 2 2 3" xfId="21909"/>
    <cellStyle name="Normal 10 3 2 3 3 2 2 3" xfId="21910"/>
    <cellStyle name="Normal 10 3 2 3 2 2 2 2 3" xfId="21911"/>
    <cellStyle name="Normal 10 3 2 4 2 2 2 3" xfId="21912"/>
    <cellStyle name="Normal 10 3 3 3 2 2 3" xfId="21913"/>
    <cellStyle name="Normal 10 3 3 2 2 2 2 3" xfId="21914"/>
    <cellStyle name="Normal 10 3 4 3 2 2 3" xfId="21915"/>
    <cellStyle name="Normal 10 3 4 2 2 2 2 3" xfId="21916"/>
    <cellStyle name="Normal 10 3 5 2 2 2 3" xfId="21917"/>
    <cellStyle name="Normal 10 4 5 2 2 3" xfId="21918"/>
    <cellStyle name="Normal 10 4 2 3 2 2 3" xfId="21919"/>
    <cellStyle name="Normal 10 4 2 2 2 2 2 3" xfId="21920"/>
    <cellStyle name="Normal 10 4 3 3 2 2 3" xfId="21921"/>
    <cellStyle name="Normal 10 4 3 2 2 2 2 3" xfId="21922"/>
    <cellStyle name="Normal 10 4 4 2 2 2 3" xfId="21923"/>
    <cellStyle name="Normal 10 5 5 2 2 3" xfId="21924"/>
    <cellStyle name="Normal 10 5 2 3 2 2 3" xfId="21925"/>
    <cellStyle name="Normal 10 5 2 2 2 2 2 3" xfId="21926"/>
    <cellStyle name="Normal 10 5 3 3 2 2 3" xfId="21927"/>
    <cellStyle name="Normal 10 5 3 2 2 2 2 3" xfId="21928"/>
    <cellStyle name="Normal 10 5 4 2 2 2 3" xfId="21929"/>
    <cellStyle name="Normal 10 6 3 2 2 3" xfId="21930"/>
    <cellStyle name="Normal 10 6 2 2 2 2 3" xfId="21931"/>
    <cellStyle name="Normal 10 7 3 2 2 3" xfId="21932"/>
    <cellStyle name="Normal 10 7 2 2 2 2 3" xfId="21933"/>
    <cellStyle name="Normal 10 8 2 2 2 2 3" xfId="21934"/>
    <cellStyle name="Normal 10 9 2 2 2 3" xfId="21935"/>
    <cellStyle name="Normal 11 4 2 2 2 3" xfId="21936"/>
    <cellStyle name="Normal 11 3 2 2 2 3" xfId="21937"/>
    <cellStyle name="Normal 12 8 2 2 3" xfId="21938"/>
    <cellStyle name="Normal 12 2 2 5 2 2 3" xfId="21939"/>
    <cellStyle name="Normal 12 2 2 2 3 2 2 3" xfId="21940"/>
    <cellStyle name="Normal 12 2 2 2 2 2 2 2 3" xfId="21941"/>
    <cellStyle name="Normal 12 2 2 3 3 2 2 3" xfId="21942"/>
    <cellStyle name="Normal 12 2 2 3 2 2 2 2 3" xfId="21943"/>
    <cellStyle name="Normal 12 2 2 4 2 2 2 3" xfId="21944"/>
    <cellStyle name="Normal 12 2 3 3 2 2 3" xfId="21945"/>
    <cellStyle name="Normal 12 2 3 2 2 2 2 3" xfId="21946"/>
    <cellStyle name="Normal 12 2 4 3 2 2 3" xfId="21947"/>
    <cellStyle name="Normal 12 2 4 2 2 2 2 3" xfId="21948"/>
    <cellStyle name="Normal 12 2 5 2 2 2 2 3" xfId="21949"/>
    <cellStyle name="Normal 12 2 6 2 2 2 3" xfId="21950"/>
    <cellStyle name="Normal 12 3 5 2 2 3" xfId="21951"/>
    <cellStyle name="Normal 12 3 2 3 2 2 3" xfId="21952"/>
    <cellStyle name="Normal 12 3 2 2 2 2 2 3" xfId="21953"/>
    <cellStyle name="Normal 12 3 3 3 2 2 3" xfId="21954"/>
    <cellStyle name="Normal 12 3 3 2 2 2 2 3" xfId="21955"/>
    <cellStyle name="Normal 12 3 4 2 2 2 3" xfId="21956"/>
    <cellStyle name="Normal 12 4 5 2 2 3" xfId="21957"/>
    <cellStyle name="Normal 12 4 2 3 2 2 3" xfId="21958"/>
    <cellStyle name="Normal 12 4 2 2 2 2 2 3" xfId="21959"/>
    <cellStyle name="Normal 12 4 3 3 2 2 3" xfId="21960"/>
    <cellStyle name="Normal 12 4 3 2 2 2 2 3" xfId="21961"/>
    <cellStyle name="Normal 12 4 4 2 2 2 3" xfId="21962"/>
    <cellStyle name="Normal 12 5 3 2 2 3" xfId="21963"/>
    <cellStyle name="Normal 12 5 2 2 2 2 3" xfId="21964"/>
    <cellStyle name="Normal 12 6 3 2 2 3" xfId="21965"/>
    <cellStyle name="Normal 12 6 2 2 2 2 3" xfId="21966"/>
    <cellStyle name="Normal 12 7 2 2 2 3" xfId="21967"/>
    <cellStyle name="Normal 15 6 2 2 3" xfId="21968"/>
    <cellStyle name="Normal 15 3 2 2 2 3" xfId="21969"/>
    <cellStyle name="Normal 16 2 5 2 2 3" xfId="21970"/>
    <cellStyle name="Normal 16 2 2 3 2 2 3" xfId="21971"/>
    <cellStyle name="Normal 16 2 2 2 2 2 2 3" xfId="21972"/>
    <cellStyle name="Normal 16 2 3 3 2 2 3" xfId="21973"/>
    <cellStyle name="Normal 16 2 3 2 2 2 2 3" xfId="21974"/>
    <cellStyle name="Normal 16 2 4 2 2 2 3" xfId="21975"/>
    <cellStyle name="Normal 16 3 3 2 2 3" xfId="21976"/>
    <cellStyle name="Normal 16 3 2 2 2 2 3" xfId="21977"/>
    <cellStyle name="Normal 16 4 3 2 2 3" xfId="21978"/>
    <cellStyle name="Normal 16 4 2 2 2 2 3" xfId="21979"/>
    <cellStyle name="Normal 16 5 2 2 2 2 3" xfId="21980"/>
    <cellStyle name="Normal 16 6 2 2 2 3" xfId="21981"/>
    <cellStyle name="Normal 17 2 5 2 2 3" xfId="21982"/>
    <cellStyle name="Normal 17 2 2 3 2 2 3" xfId="21983"/>
    <cellStyle name="Normal 17 2 2 2 2 2 2 3" xfId="21984"/>
    <cellStyle name="Normal 17 2 3 3 2 2 3" xfId="21985"/>
    <cellStyle name="Normal 17 2 3 2 2 2 2 3" xfId="21986"/>
    <cellStyle name="Normal 17 2 4 2 2 2 3" xfId="21987"/>
    <cellStyle name="Normal 17 3 3 2 2 3" xfId="21988"/>
    <cellStyle name="Normal 17 3 2 2 2 2 3" xfId="21989"/>
    <cellStyle name="Normal 17 4 3 2 2 3" xfId="21990"/>
    <cellStyle name="Normal 17 4 2 2 2 2 3" xfId="21991"/>
    <cellStyle name="Normal 17 5 2 2 2 2 3" xfId="21992"/>
    <cellStyle name="Normal 17 6 2 2 2 3" xfId="21993"/>
    <cellStyle name="Normal 2 10 3 2 2 2 3" xfId="21994"/>
    <cellStyle name="Normal 2 11 3 2 2 2 3" xfId="21995"/>
    <cellStyle name="Normal 2 12 3 2 2 2 3" xfId="21996"/>
    <cellStyle name="Normal 2 13 3 2 2 2 3" xfId="21997"/>
    <cellStyle name="Normal 2 14 3 2 2 2 3" xfId="21998"/>
    <cellStyle name="Normal 2 15 3 2 2 2 3" xfId="21999"/>
    <cellStyle name="Normal 2 16 3 2 2 2 3" xfId="22000"/>
    <cellStyle name="Normal 2 17 3 2 2 2 3" xfId="22001"/>
    <cellStyle name="Normal 2 18 3 2 2 2 3" xfId="22002"/>
    <cellStyle name="Normal 2 19 3 2 2 2 3" xfId="22003"/>
    <cellStyle name="Normal 2 2 10 2 2 2 3" xfId="22004"/>
    <cellStyle name="Normal 2 2 11 2 2 2 3" xfId="22005"/>
    <cellStyle name="Normal 2 2 12 2 2 2 3" xfId="22006"/>
    <cellStyle name="Normal 2 2 13 2 2 2 3" xfId="22007"/>
    <cellStyle name="Normal 2 2 14 2 2 2 3" xfId="22008"/>
    <cellStyle name="Normal 2 2 15 2 2 2 3" xfId="22009"/>
    <cellStyle name="Normal 2 2 16 2 2 2 3" xfId="22010"/>
    <cellStyle name="Normal 2 2 17 2 2 2 3" xfId="22011"/>
    <cellStyle name="Normal 2 2 18 2 2 2 3" xfId="22012"/>
    <cellStyle name="Normal 2 2 19 2 2 2 3" xfId="22013"/>
    <cellStyle name="Normal 2 2 2 2 6 2 2 3" xfId="22014"/>
    <cellStyle name="Normal 2 2 2 2 2 3 2 2 3" xfId="22015"/>
    <cellStyle name="Normal 2 2 2 2 2 2 2 2 2 3" xfId="22016"/>
    <cellStyle name="Normal 2 2 2 2 3 2 2 2 3" xfId="22017"/>
    <cellStyle name="Normal 2 2 2 2 4 2 2 2 3" xfId="22018"/>
    <cellStyle name="Normal 2 2 2 2 5 2 2 2 3" xfId="22019"/>
    <cellStyle name="Normal 2 2 20 2 2 2 3" xfId="22020"/>
    <cellStyle name="Normal 2 2 21 2 2 2 3" xfId="22021"/>
    <cellStyle name="Normal 2 2 22 2 2 2 3" xfId="22022"/>
    <cellStyle name="Normal 2 2 3 9 2 2 3" xfId="22023"/>
    <cellStyle name="Normal 2 2 3 2 2 2 2 3" xfId="22024"/>
    <cellStyle name="Normal 2 2 3 3 2 2 2 3" xfId="22025"/>
    <cellStyle name="Normal 2 2 3 4 2 2 2 3" xfId="22026"/>
    <cellStyle name="Normal 2 2 3 5 2 2 2 3" xfId="22027"/>
    <cellStyle name="Normal 2 2 3 6 2 2 2 3" xfId="22028"/>
    <cellStyle name="Normal 2 2 4 5 2 2 3" xfId="22029"/>
    <cellStyle name="Normal 2 2 4 2 2 2 2 3" xfId="22030"/>
    <cellStyle name="Normal 2 2 5 4 2 2 3" xfId="22031"/>
    <cellStyle name="Normal 2 2 5 2 2 2 2 3" xfId="22032"/>
    <cellStyle name="Normal 2 2 6 2 2 2 3" xfId="22033"/>
    <cellStyle name="Normal 2 2 7 2 2 2 3" xfId="22034"/>
    <cellStyle name="Normal 2 2 8 2 2 2 3" xfId="22035"/>
    <cellStyle name="Normal 2 2 9 2 2 2 3" xfId="22036"/>
    <cellStyle name="Normal 2 20 2 2 2 3" xfId="22037"/>
    <cellStyle name="Normal 2 3 2 3 2 2 3" xfId="22038"/>
    <cellStyle name="Normal 2 3 3 2 2 2 3" xfId="22039"/>
    <cellStyle name="Normal 2 3 4 2 2 2 3" xfId="22040"/>
    <cellStyle name="Normal 2 3 5 2 2 2 3" xfId="22041"/>
    <cellStyle name="Normal 2 3 6 2 2 2 3" xfId="22042"/>
    <cellStyle name="Normal 2 4 5 2 2 2 3" xfId="22043"/>
    <cellStyle name="Normal 2 4 2 2 2 2 3" xfId="22044"/>
    <cellStyle name="Normal 2 5 3 2 2 2 3" xfId="22045"/>
    <cellStyle name="Normal 2 6 3 2 2 2 3" xfId="22046"/>
    <cellStyle name="Normal 2 7 3 2 2 2 3" xfId="22047"/>
    <cellStyle name="Normal 2 8 3 2 2 2 3" xfId="22048"/>
    <cellStyle name="Normal 2 9 3 2 2 2 3" xfId="22049"/>
    <cellStyle name="Normal 21 9 2 2 3" xfId="22050"/>
    <cellStyle name="Normal 21 2 7 2 2 3" xfId="22051"/>
    <cellStyle name="Normal 21 2 2 2 2 2 3" xfId="22052"/>
    <cellStyle name="Normal 21 2 3 2 2 2 3" xfId="22053"/>
    <cellStyle name="Normal 21 2 4 2 2 2 3" xfId="22054"/>
    <cellStyle name="Normal 21 2 5 2 2 2 3" xfId="22055"/>
    <cellStyle name="Normal 21 2 6 2 2 2 3" xfId="22056"/>
    <cellStyle name="Normal 21 3 3 2 2 3" xfId="22057"/>
    <cellStyle name="Normal 21 3 2 2 2 2 3" xfId="22058"/>
    <cellStyle name="Normal 21 4 2 2 2 3" xfId="22059"/>
    <cellStyle name="Normal 21 5 2 2 2 3" xfId="22060"/>
    <cellStyle name="Normal 21 6 2 2 2 3" xfId="22061"/>
    <cellStyle name="Normal 21 8 2 2 2 3" xfId="22062"/>
    <cellStyle name="Normal 22 8 2 2 3" xfId="22063"/>
    <cellStyle name="Normal 22 2 7 2 2 3" xfId="22064"/>
    <cellStyle name="Normal 22 2 2 2 2 2 3" xfId="22065"/>
    <cellStyle name="Normal 22 2 3 2 2 2 3" xfId="22066"/>
    <cellStyle name="Normal 22 2 4 2 2 2 3" xfId="22067"/>
    <cellStyle name="Normal 22 2 5 2 2 2 3" xfId="22068"/>
    <cellStyle name="Normal 22 3 2 2 2 3" xfId="22069"/>
    <cellStyle name="Normal 22 4 2 2 2 3" xfId="22070"/>
    <cellStyle name="Normal 22 5 2 2 2 3" xfId="22071"/>
    <cellStyle name="Normal 22 6 2 2 2 3" xfId="22072"/>
    <cellStyle name="Normal 23 8 2 2 3" xfId="22073"/>
    <cellStyle name="Normal 23 2 6 2 2 3" xfId="22074"/>
    <cellStyle name="Normal 23 2 2 2 2 2 3" xfId="22075"/>
    <cellStyle name="Normal 23 2 3 2 2 2 3" xfId="22076"/>
    <cellStyle name="Normal 23 2 4 2 2 2 3" xfId="22077"/>
    <cellStyle name="Normal 23 2 5 2 2 2 3" xfId="22078"/>
    <cellStyle name="Normal 23 3 2 2 2 3" xfId="22079"/>
    <cellStyle name="Normal 23 4 2 2 2 3" xfId="22080"/>
    <cellStyle name="Normal 23 5 2 2 2 3" xfId="22081"/>
    <cellStyle name="Normal 23 6 2 2 2 3" xfId="22082"/>
    <cellStyle name="Normal 24 8 2 2 3" xfId="22083"/>
    <cellStyle name="Normal 24 2 6 2 2 3" xfId="22084"/>
    <cellStyle name="Normal 24 2 2 2 2 2 3" xfId="22085"/>
    <cellStyle name="Normal 24 2 3 2 2 2 3" xfId="22086"/>
    <cellStyle name="Normal 24 2 4 2 2 2 3" xfId="22087"/>
    <cellStyle name="Normal 24 2 5 2 2 2 3" xfId="22088"/>
    <cellStyle name="Normal 24 3 2 2 2 3" xfId="22089"/>
    <cellStyle name="Normal 24 4 2 2 2 3" xfId="22090"/>
    <cellStyle name="Normal 24 5 2 2 2 3" xfId="22091"/>
    <cellStyle name="Normal 24 6 2 2 2 3" xfId="22092"/>
    <cellStyle name="Normal 26 8 2 2 3" xfId="22093"/>
    <cellStyle name="Normal 26 2 6 2 2 3" xfId="22094"/>
    <cellStyle name="Normal 26 2 2 2 2 2 3" xfId="22095"/>
    <cellStyle name="Normal 26 2 3 2 2 2 3" xfId="22096"/>
    <cellStyle name="Normal 26 2 4 2 2 2 3" xfId="22097"/>
    <cellStyle name="Normal 26 2 5 2 2 2 3" xfId="22098"/>
    <cellStyle name="Normal 26 3 2 2 2 3" xfId="22099"/>
    <cellStyle name="Normal 26 4 2 2 2 3" xfId="22100"/>
    <cellStyle name="Normal 26 5 2 2 2 3" xfId="22101"/>
    <cellStyle name="Normal 26 6 2 2 2 3" xfId="22102"/>
    <cellStyle name="Normal 3 10 2 2 2 3" xfId="22103"/>
    <cellStyle name="Normal 3 11 2 2 2 3" xfId="22104"/>
    <cellStyle name="Normal 3 12 2 2 2 3" xfId="22105"/>
    <cellStyle name="Normal 3 13 2 2 2 3" xfId="22106"/>
    <cellStyle name="Normal 3 14 2 2 2 3" xfId="22107"/>
    <cellStyle name="Normal 3 15 2 2 2 3" xfId="22108"/>
    <cellStyle name="Normal 3 16 2 2 2 3" xfId="22109"/>
    <cellStyle name="Normal 3 17 2 2 2 3" xfId="22110"/>
    <cellStyle name="Normal 3 18 2 2 2 3" xfId="22111"/>
    <cellStyle name="Normal 3 19 2 2 2 3" xfId="22112"/>
    <cellStyle name="Normal 3 2 2 2 2 2 3" xfId="22113"/>
    <cellStyle name="Normal 3 2 3 2 2 2 3" xfId="22114"/>
    <cellStyle name="Normal 3 2 4 2 2 2 3" xfId="22115"/>
    <cellStyle name="Normal 3 2 5 2 2 2 3" xfId="22116"/>
    <cellStyle name="Normal 3 2 6 2 2 2 3" xfId="22117"/>
    <cellStyle name="Normal 3 20 2 2 2 3" xfId="22118"/>
    <cellStyle name="Normal 3 21 2 2 2 3" xfId="22119"/>
    <cellStyle name="Normal 3 22 2 2 2 3" xfId="22120"/>
    <cellStyle name="Normal 3 23 2 2 2 3" xfId="22121"/>
    <cellStyle name="Normal 3 24 2 2 2 3" xfId="22122"/>
    <cellStyle name="Normal 3 3 5 2 2 3" xfId="22123"/>
    <cellStyle name="Normal 3 3 2 2 2 2 3" xfId="22124"/>
    <cellStyle name="Normal 3 3 3 2 2 2 3" xfId="22125"/>
    <cellStyle name="Normal 3 4 3 2 2 3" xfId="22126"/>
    <cellStyle name="Normal 3 4 2 2 2 2 3" xfId="22127"/>
    <cellStyle name="Normal 3 5 3 2 2 3" xfId="22128"/>
    <cellStyle name="Normal 3 5 2 2 2 2 3" xfId="22129"/>
    <cellStyle name="Normal 3 6 2 2 2 3" xfId="22130"/>
    <cellStyle name="Normal 3 7 2 2 2 3" xfId="22131"/>
    <cellStyle name="Normal 3 8 2 2 2 3" xfId="22132"/>
    <cellStyle name="Normal 3 9 2 2 2 3" xfId="22133"/>
    <cellStyle name="Normal 4 2 10 2 2 2 3" xfId="22134"/>
    <cellStyle name="Normal 4 2 11 2 2 2 3" xfId="22135"/>
    <cellStyle name="Normal 4 2 12 2 2 2 3" xfId="22136"/>
    <cellStyle name="Normal 4 2 13 2 2 2 3" xfId="22137"/>
    <cellStyle name="Normal 4 2 14 2 2 2 3" xfId="22138"/>
    <cellStyle name="Normal 4 2 15 2 2 2 3" xfId="22139"/>
    <cellStyle name="Normal 4 2 16 2 2 2 3" xfId="22140"/>
    <cellStyle name="Normal 4 2 17 2 2 2 3" xfId="22141"/>
    <cellStyle name="Normal 4 2 18 2 2 2 3" xfId="22142"/>
    <cellStyle name="Normal 4 2 19 2 2 2 3" xfId="22143"/>
    <cellStyle name="Normal 4 2 2 6 2 2 3" xfId="22144"/>
    <cellStyle name="Normal 4 2 2 2 2 2 2 3" xfId="22145"/>
    <cellStyle name="Normal 4 2 2 3 2 2 2 3" xfId="22146"/>
    <cellStyle name="Normal 4 2 2 4 2 2 2 3" xfId="22147"/>
    <cellStyle name="Normal 4 2 2 5 2 2 2 3" xfId="22148"/>
    <cellStyle name="Normal 4 2 20 2 2 2 3" xfId="22149"/>
    <cellStyle name="Normal 4 2 21 2 2 2 3" xfId="22150"/>
    <cellStyle name="Normal 4 2 22 2 2 2 3" xfId="22151"/>
    <cellStyle name="Normal 4 2 23 2 2 2 3" xfId="22152"/>
    <cellStyle name="Normal 4 2 24 2 2 2 3" xfId="22153"/>
    <cellStyle name="Normal 4 2 3 3 2 2 3" xfId="22154"/>
    <cellStyle name="Normal 4 2 3 2 2 2 2 3" xfId="22155"/>
    <cellStyle name="Normal 4 2 4 3 2 2 3" xfId="22156"/>
    <cellStyle name="Normal 4 2 4 2 2 2 2 3" xfId="22157"/>
    <cellStyle name="Normal 4 2 5 3 2 2 3" xfId="22158"/>
    <cellStyle name="Normal 4 2 5 2 2 2 2 3" xfId="22159"/>
    <cellStyle name="Normal 4 2 6 2 2 2 3" xfId="22160"/>
    <cellStyle name="Normal 4 2 7 2 2 2 3" xfId="22161"/>
    <cellStyle name="Normal 4 2 8 2 2 2 3" xfId="22162"/>
    <cellStyle name="Normal 4 2 9 2 2 2 3" xfId="22163"/>
    <cellStyle name="Normal 4 3 7 2 2 3" xfId="22164"/>
    <cellStyle name="Normal 4 3 2 6 2 2 3" xfId="22165"/>
    <cellStyle name="Normal 4 3 2 2 5 2 2 3" xfId="22166"/>
    <cellStyle name="Normal 4 3 2 2 2 3 2 2 3" xfId="22167"/>
    <cellStyle name="Normal 4 3 2 2 2 2 2 2 2 3" xfId="22168"/>
    <cellStyle name="Normal 4 3 2 2 3 3 2 2 3" xfId="22169"/>
    <cellStyle name="Normal 4 3 2 2 3 2 2 2 2 3" xfId="22170"/>
    <cellStyle name="Normal 4 3 2 2 4 2 2 2 3" xfId="22171"/>
    <cellStyle name="Normal 4 3 2 3 3 2 2 3" xfId="22172"/>
    <cellStyle name="Normal 4 3 2 3 2 2 2 2 3" xfId="22173"/>
    <cellStyle name="Normal 4 3 2 4 3 2 2 3" xfId="22174"/>
    <cellStyle name="Normal 4 3 2 4 2 2 2 2 3" xfId="22175"/>
    <cellStyle name="Normal 4 3 2 5 2 2 2 3" xfId="22176"/>
    <cellStyle name="Normal 4 3 3 5 2 2 3" xfId="22177"/>
    <cellStyle name="Normal 4 3 3 2 3 2 2 3" xfId="22178"/>
    <cellStyle name="Normal 4 3 3 2 2 2 2 2 3" xfId="22179"/>
    <cellStyle name="Normal 4 3 3 3 3 2 2 3" xfId="22180"/>
    <cellStyle name="Normal 4 3 3 3 2 2 2 2 3" xfId="22181"/>
    <cellStyle name="Normal 4 3 3 4 2 2 2 3" xfId="22182"/>
    <cellStyle name="Normal 4 3 4 3 2 2 3" xfId="22183"/>
    <cellStyle name="Normal 4 3 4 2 2 2 2 3" xfId="22184"/>
    <cellStyle name="Normal 4 3 5 3 2 2 3" xfId="22185"/>
    <cellStyle name="Normal 4 3 5 2 2 2 2 3" xfId="22186"/>
    <cellStyle name="Normal 4 3 6 2 2 2 3" xfId="22187"/>
    <cellStyle name="Normal 4 4 4 2 2 3" xfId="22188"/>
    <cellStyle name="Normal 4 4 2 2 2 2 3" xfId="22189"/>
    <cellStyle name="Normal 4 5 2 2 2 3" xfId="22190"/>
    <cellStyle name="Normal 4 6 2 2 2 3" xfId="22191"/>
    <cellStyle name="Normal 4 7 2 2 2 3" xfId="22192"/>
    <cellStyle name="Normal 4 8 2 2 2 3" xfId="22193"/>
    <cellStyle name="Normal 41 2 2 2 2 3" xfId="22194"/>
    <cellStyle name="Normal 46 2 2 2 3" xfId="22195"/>
    <cellStyle name="Normal 5 28 2 2 2 3" xfId="22196"/>
    <cellStyle name="Normal 5 2 7 2 2 3" xfId="22197"/>
    <cellStyle name="Normal 5 2 2 2 2 2 2 2 3" xfId="22198"/>
    <cellStyle name="Normal 5 2 2 3 2 2 2 3" xfId="22199"/>
    <cellStyle name="Normal 5 2 3 2 2 2 2 2 3" xfId="22200"/>
    <cellStyle name="Normal 5 2 3 3 2 2 2 3" xfId="22201"/>
    <cellStyle name="Normal 5 2 4 2 2 2 2 3" xfId="22202"/>
    <cellStyle name="Normal 5 2 6 2 2 2 3" xfId="22203"/>
    <cellStyle name="Normal 5 24 2 2 2 3" xfId="22204"/>
    <cellStyle name="Normal 5 3 3 2 2 3" xfId="22205"/>
    <cellStyle name="Normal 5 4 3 2 2 3" xfId="22206"/>
    <cellStyle name="Normal 5 5 3 2 2 3" xfId="22207"/>
    <cellStyle name="Normal 5 6 3 2 2 3" xfId="22208"/>
    <cellStyle name="Normal 5 7 3 2 2 3" xfId="22209"/>
    <cellStyle name="Normal 7 25 2 2 2 3" xfId="22210"/>
    <cellStyle name="Normal 7 10 2 2 2 3" xfId="22211"/>
    <cellStyle name="Normal 7 11 2 2 2 3" xfId="22212"/>
    <cellStyle name="Normal 7 12 2 2 2 3" xfId="22213"/>
    <cellStyle name="Normal 7 13 2 2 2 3" xfId="22214"/>
    <cellStyle name="Normal 7 14 2 2 2 3" xfId="22215"/>
    <cellStyle name="Normal 7 15 2 2 2 3" xfId="22216"/>
    <cellStyle name="Normal 7 16 2 2 2 3" xfId="22217"/>
    <cellStyle name="Normal 7 17 2 2 2 3" xfId="22218"/>
    <cellStyle name="Normal 7 18 2 2 2 3" xfId="22219"/>
    <cellStyle name="Normal 7 19 2 2 2 3" xfId="22220"/>
    <cellStyle name="Normal 7 2 6 2 2 3" xfId="22221"/>
    <cellStyle name="Normal 7 2 2 2 2 2 3" xfId="22222"/>
    <cellStyle name="Normal 7 2 3 2 2 2 3" xfId="22223"/>
    <cellStyle name="Normal 7 2 4 2 2 2 3" xfId="22224"/>
    <cellStyle name="Normal 7 2 5 2 2 2 3" xfId="22225"/>
    <cellStyle name="Normal 7 20 2 2 2 3" xfId="22226"/>
    <cellStyle name="Normal 7 22 2 2 2 3" xfId="22227"/>
    <cellStyle name="Normal 7 3 6 2 2 3" xfId="22228"/>
    <cellStyle name="Normal 7 3 2 2 2 2 3" xfId="22229"/>
    <cellStyle name="Normal 7 3 3 2 2 2 3" xfId="22230"/>
    <cellStyle name="Normal 7 3 4 2 2 2 3" xfId="22231"/>
    <cellStyle name="Normal 7 3 5 2 2 2 3" xfId="22232"/>
    <cellStyle name="Normal 7 4 2 2 2 3" xfId="22233"/>
    <cellStyle name="Normal 7 5 2 2 2 3" xfId="22234"/>
    <cellStyle name="Normal 7 6 2 2 2 3" xfId="22235"/>
    <cellStyle name="Normal 7 7 2 2 2 3" xfId="22236"/>
    <cellStyle name="Normal 7 8 2 2 2 3" xfId="22237"/>
    <cellStyle name="Normal 7 9 2 2 2 3" xfId="22238"/>
    <cellStyle name="Normal 8 25 2 2 2 3" xfId="22239"/>
    <cellStyle name="Normal 8 10 2 2 2 3" xfId="22240"/>
    <cellStyle name="Normal 8 11 2 2 2 3" xfId="22241"/>
    <cellStyle name="Normal 8 12 2 2 2 3" xfId="22242"/>
    <cellStyle name="Normal 8 13 2 2 2 3" xfId="22243"/>
    <cellStyle name="Normal 8 14 2 2 2 3" xfId="22244"/>
    <cellStyle name="Normal 8 15 2 2 2 3" xfId="22245"/>
    <cellStyle name="Normal 8 16 2 2 2 3" xfId="22246"/>
    <cellStyle name="Normal 8 17 2 2 2 3" xfId="22247"/>
    <cellStyle name="Normal 8 18 2 2 2 3" xfId="22248"/>
    <cellStyle name="Normal 8 19 2 2 2 3" xfId="22249"/>
    <cellStyle name="Normal 8 2 6 2 2 2 3" xfId="22250"/>
    <cellStyle name="Normal 8 2 2 2 2 2 2 3" xfId="22251"/>
    <cellStyle name="Normal 8 2 3 2 2 2 3" xfId="22252"/>
    <cellStyle name="Normal 8 2 4 2 2 2 3" xfId="22253"/>
    <cellStyle name="Normal 8 2 5 2 2 2 3" xfId="22254"/>
    <cellStyle name="Normal 8 20 2 2 2 3" xfId="22255"/>
    <cellStyle name="Normal 8 22 2 2 2 3" xfId="22256"/>
    <cellStyle name="Normal 8 3 6 2 2 2 3" xfId="22257"/>
    <cellStyle name="Normal 8 3 2 2 2 2 3" xfId="22258"/>
    <cellStyle name="Normal 8 3 3 2 2 2 3" xfId="22259"/>
    <cellStyle name="Normal 8 3 4 2 2 2 3" xfId="22260"/>
    <cellStyle name="Normal 8 3 5 2 2 2 3" xfId="22261"/>
    <cellStyle name="Normal 8 4 2 2 2 3" xfId="22262"/>
    <cellStyle name="Normal 8 5 2 2 2 3" xfId="22263"/>
    <cellStyle name="Normal 8 6 2 2 2 3" xfId="22264"/>
    <cellStyle name="Normal 8 7 2 2 2 3" xfId="22265"/>
    <cellStyle name="Normal 8 8 2 2 2 3" xfId="22266"/>
    <cellStyle name="Normal 8 9 2 2 2 3" xfId="22267"/>
    <cellStyle name="Normal 9 25 2 2 2 3" xfId="22268"/>
    <cellStyle name="Normal 9 10 2 2 2 3" xfId="22269"/>
    <cellStyle name="Normal 9 11 2 2 2 3" xfId="22270"/>
    <cellStyle name="Normal 9 12 2 2 2 3" xfId="22271"/>
    <cellStyle name="Normal 9 13 2 2 2 3" xfId="22272"/>
    <cellStyle name="Normal 9 14 2 2 2 3" xfId="22273"/>
    <cellStyle name="Normal 9 15 2 2 2 3" xfId="22274"/>
    <cellStyle name="Normal 9 16 2 2 2 3" xfId="22275"/>
    <cellStyle name="Normal 9 17 2 2 2 3" xfId="22276"/>
    <cellStyle name="Normal 9 18 2 2 2 3" xfId="22277"/>
    <cellStyle name="Normal 9 19 2 2 2 3" xfId="22278"/>
    <cellStyle name="Normal 9 2 6 2 2 3" xfId="22279"/>
    <cellStyle name="Normal 9 2 2 2 2 2 3" xfId="22280"/>
    <cellStyle name="Normal 9 2 3 2 2 2 3" xfId="22281"/>
    <cellStyle name="Normal 9 2 4 2 2 2 3" xfId="22282"/>
    <cellStyle name="Normal 9 2 5 2 2 2 3" xfId="22283"/>
    <cellStyle name="Normal 9 20 2 2 2 3" xfId="22284"/>
    <cellStyle name="Normal 9 22 2 2 2 3" xfId="22285"/>
    <cellStyle name="Normal 9 3 6 2 2 3" xfId="22286"/>
    <cellStyle name="Normal 9 3 2 2 2 2 3" xfId="22287"/>
    <cellStyle name="Normal 9 3 3 2 2 2 3" xfId="22288"/>
    <cellStyle name="Normal 9 3 4 2 2 2 3" xfId="22289"/>
    <cellStyle name="Normal 9 3 5 2 2 2 3" xfId="22290"/>
    <cellStyle name="Normal 9 4 2 2 2 3" xfId="22291"/>
    <cellStyle name="Normal 9 5 2 2 2 3" xfId="22292"/>
    <cellStyle name="Normal 9 6 2 2 2 3" xfId="22293"/>
    <cellStyle name="Normal 9 7 2 2 2 3" xfId="22294"/>
    <cellStyle name="Normal 9 8 2 2 2 3" xfId="22295"/>
    <cellStyle name="Normal 9 9 2 2 2 3" xfId="22296"/>
    <cellStyle name="Note 2 2 2 2 3" xfId="22297"/>
    <cellStyle name="Note 3 2 2 2 3" xfId="22298"/>
    <cellStyle name="Note 4 2 2 2 3" xfId="22299"/>
    <cellStyle name="Note 7 2 2 2 3" xfId="22300"/>
    <cellStyle name="Percent 120 2 2 2 3" xfId="22301"/>
    <cellStyle name="Percent 121 2 2 2 3" xfId="22302"/>
    <cellStyle name="Percent 122 2 2 2 3" xfId="22303"/>
    <cellStyle name="Percent 123 2 2 2 3" xfId="22304"/>
    <cellStyle name="Percent 124 2 2 2 3" xfId="22305"/>
    <cellStyle name="Percent 125 2 2 2 3" xfId="22306"/>
    <cellStyle name="Percent 126 2 2 2 3" xfId="22307"/>
    <cellStyle name="Percent 127 2 2 2 3" xfId="22308"/>
    <cellStyle name="Percent 128 2 2 2 3" xfId="22309"/>
    <cellStyle name="Percent 129 2 2 2 3" xfId="22310"/>
    <cellStyle name="Percent 130 2 2 2 3" xfId="22311"/>
    <cellStyle name="Percent 159 2 2 2 3" xfId="22312"/>
    <cellStyle name="Percent 2 22 2 2 2 3" xfId="22313"/>
    <cellStyle name="Percent 25 2 3 2 2 3" xfId="22314"/>
    <cellStyle name="Percent 25 2 2 2 2 2 3" xfId="22315"/>
    <cellStyle name="Percent 25 3 3 2 2 3" xfId="22316"/>
    <cellStyle name="Percent 25 3 2 2 2 2 3" xfId="22317"/>
    <cellStyle name="Percent 25 4 2 2 2 2 3" xfId="22318"/>
    <cellStyle name="Percent 25 5 2 2 2 3" xfId="22319"/>
    <cellStyle name="Percent 26 2 3 2 2 3" xfId="22320"/>
    <cellStyle name="Percent 26 2 2 2 2 2 3" xfId="22321"/>
    <cellStyle name="Percent 26 3 3 2 2 3" xfId="22322"/>
    <cellStyle name="Percent 26 3 2 2 2 2 3" xfId="22323"/>
    <cellStyle name="Percent 26 4 2 2 2 2 3" xfId="22324"/>
    <cellStyle name="Percent 26 5 2 2 2 3" xfId="22325"/>
    <cellStyle name="Percent 27 2 3 2 2 3" xfId="22326"/>
    <cellStyle name="Percent 27 2 2 2 2 2 3" xfId="22327"/>
    <cellStyle name="Percent 27 3 3 2 2 3" xfId="22328"/>
    <cellStyle name="Percent 27 3 2 2 2 2 3" xfId="22329"/>
    <cellStyle name="Percent 27 4 2 2 2 2 3" xfId="22330"/>
    <cellStyle name="Percent 27 5 2 2 2 3" xfId="22331"/>
    <cellStyle name="Percent 28 2 3 2 2 3" xfId="22332"/>
    <cellStyle name="Percent 28 2 2 2 2 2 3" xfId="22333"/>
    <cellStyle name="Percent 28 3 3 2 2 3" xfId="22334"/>
    <cellStyle name="Percent 28 3 2 2 2 2 3" xfId="22335"/>
    <cellStyle name="Percent 28 4 2 2 2 2 3" xfId="22336"/>
    <cellStyle name="Percent 28 5 2 2 2 3" xfId="22337"/>
    <cellStyle name="Percent 29 2 3 2 2 3" xfId="22338"/>
    <cellStyle name="Percent 29 2 2 2 2 2 3" xfId="22339"/>
    <cellStyle name="Percent 29 3 3 2 2 3" xfId="22340"/>
    <cellStyle name="Percent 29 3 2 2 2 2 3" xfId="22341"/>
    <cellStyle name="Percent 29 4 2 2 2 2 3" xfId="22342"/>
    <cellStyle name="Percent 29 5 2 2 2 3" xfId="22343"/>
    <cellStyle name="Percent 3 10 2 2 2 3" xfId="22344"/>
    <cellStyle name="Percent 3 11 2 2 2 3" xfId="22345"/>
    <cellStyle name="Percent 3 12 2 2 2 3" xfId="22346"/>
    <cellStyle name="Percent 3 13 2 2 2 3" xfId="22347"/>
    <cellStyle name="Percent 3 14 2 2 2 3" xfId="22348"/>
    <cellStyle name="Percent 3 15 2 2 2 3" xfId="22349"/>
    <cellStyle name="Percent 3 16 2 2 2 3" xfId="22350"/>
    <cellStyle name="Percent 3 17 2 2 2 3" xfId="22351"/>
    <cellStyle name="Percent 3 18 2 2 2 3" xfId="22352"/>
    <cellStyle name="Percent 3 19 2 2 2 3" xfId="22353"/>
    <cellStyle name="Percent 3 2 23 2 2 3" xfId="22354"/>
    <cellStyle name="Percent 3 2 10 2 2 2 3" xfId="22355"/>
    <cellStyle name="Percent 3 2 11 2 2 2 3" xfId="22356"/>
    <cellStyle name="Percent 3 2 12 2 2 2 3" xfId="22357"/>
    <cellStyle name="Percent 3 2 13 2 2 2 3" xfId="22358"/>
    <cellStyle name="Percent 3 2 14 2 2 2 3" xfId="22359"/>
    <cellStyle name="Percent 3 2 15 2 2 2 3" xfId="22360"/>
    <cellStyle name="Percent 3 2 16 2 2 2 3" xfId="22361"/>
    <cellStyle name="Percent 3 2 17 2 2 2 3" xfId="22362"/>
    <cellStyle name="Percent 3 2 18 2 2 2 3" xfId="22363"/>
    <cellStyle name="Percent 3 2 19 2 2 2 3" xfId="22364"/>
    <cellStyle name="Percent 3 2 2 2 2 2 2 3" xfId="22365"/>
    <cellStyle name="Percent 3 2 2 3 2 2 2 3" xfId="22366"/>
    <cellStyle name="Percent 3 2 2 4 2 2 2 3" xfId="22367"/>
    <cellStyle name="Percent 3 2 2 5 2 2 2 3" xfId="22368"/>
    <cellStyle name="Percent 3 2 20 2 2 2 3" xfId="22369"/>
    <cellStyle name="Percent 3 2 21 2 2 2 2 3" xfId="22370"/>
    <cellStyle name="Percent 3 2 3 6 2 2 3" xfId="22371"/>
    <cellStyle name="Percent 3 2 3 2 2 2 2 3" xfId="22372"/>
    <cellStyle name="Percent 3 2 3 3 2 2 2 3" xfId="22373"/>
    <cellStyle name="Percent 3 2 3 4 2 2 2 3" xfId="22374"/>
    <cellStyle name="Percent 3 2 3 5 2 2 2 3" xfId="22375"/>
    <cellStyle name="Percent 3 2 4 3 2 2 3" xfId="22376"/>
    <cellStyle name="Percent 3 2 4 2 2 2 2 3" xfId="22377"/>
    <cellStyle name="Percent 3 2 5 3 2 2 3" xfId="22378"/>
    <cellStyle name="Percent 3 2 5 2 2 2 2 3" xfId="22379"/>
    <cellStyle name="Percent 3 2 6 3 2 2 3" xfId="22380"/>
    <cellStyle name="Percent 3 2 6 2 2 2 2 3" xfId="22381"/>
    <cellStyle name="Percent 3 2 7 2 2 2 3" xfId="22382"/>
    <cellStyle name="Percent 3 2 8 2 2 2 3" xfId="22383"/>
    <cellStyle name="Percent 3 2 9 2 2 2 3" xfId="22384"/>
    <cellStyle name="Percent 3 20 2 2 2 3" xfId="22385"/>
    <cellStyle name="Percent 3 21 2 2 2 3" xfId="22386"/>
    <cellStyle name="Percent 3 3 2 2 2 2 3" xfId="22387"/>
    <cellStyle name="Percent 3 3 3 2 2 2 3" xfId="22388"/>
    <cellStyle name="Percent 3 3 4 2 2 2 3" xfId="22389"/>
    <cellStyle name="Percent 3 3 5 2 2 2 3" xfId="22390"/>
    <cellStyle name="Percent 3 4 6 2 2 3" xfId="22391"/>
    <cellStyle name="Percent 3 4 2 2 2 2 3" xfId="22392"/>
    <cellStyle name="Percent 3 4 3 2 2 2 3" xfId="22393"/>
    <cellStyle name="Percent 3 4 4 2 2 2 3" xfId="22394"/>
    <cellStyle name="Percent 3 4 5 2 2 2 3" xfId="22395"/>
    <cellStyle name="Percent 3 5 3 2 2 3" xfId="22396"/>
    <cellStyle name="Percent 3 5 2 2 2 2 3" xfId="22397"/>
    <cellStyle name="Percent 3 6 3 2 2 3" xfId="22398"/>
    <cellStyle name="Percent 3 6 2 2 2 2 3" xfId="22399"/>
    <cellStyle name="Percent 3 7 3 2 2 3" xfId="22400"/>
    <cellStyle name="Percent 3 7 2 2 2 2 3" xfId="22401"/>
    <cellStyle name="Percent 3 8 2 2 2 3" xfId="22402"/>
    <cellStyle name="Percent 3 9 2 2 2 3" xfId="22403"/>
    <cellStyle name="Percent 30 2 3 2 2 3" xfId="22404"/>
    <cellStyle name="Percent 30 2 2 2 2 2 3" xfId="22405"/>
    <cellStyle name="Percent 30 3 3 2 2 3" xfId="22406"/>
    <cellStyle name="Percent 30 3 2 2 2 2 3" xfId="22407"/>
    <cellStyle name="Percent 30 4 2 2 2 2 3" xfId="22408"/>
    <cellStyle name="Percent 30 5 2 2 2 3" xfId="22409"/>
    <cellStyle name="Percent 31 2 3 2 2 3" xfId="22410"/>
    <cellStyle name="Percent 31 2 2 2 2 2 3" xfId="22411"/>
    <cellStyle name="Percent 31 3 3 2 2 3" xfId="22412"/>
    <cellStyle name="Percent 31 3 2 2 2 2 3" xfId="22413"/>
    <cellStyle name="Percent 31 4 2 2 2 2 3" xfId="22414"/>
    <cellStyle name="Percent 31 5 2 2 2 3" xfId="22415"/>
    <cellStyle name="Percent 32 2 3 2 2 3" xfId="22416"/>
    <cellStyle name="Percent 32 2 2 2 2 2 3" xfId="22417"/>
    <cellStyle name="Percent 32 3 3 2 2 3" xfId="22418"/>
    <cellStyle name="Percent 32 3 2 2 2 2 3" xfId="22419"/>
    <cellStyle name="Percent 32 4 2 2 2 2 3" xfId="22420"/>
    <cellStyle name="Percent 32 5 2 2 2 3" xfId="22421"/>
    <cellStyle name="Percent 33 2 3 2 2 3" xfId="22422"/>
    <cellStyle name="Percent 33 2 2 2 2 2 3" xfId="22423"/>
    <cellStyle name="Percent 33 3 3 2 2 3" xfId="22424"/>
    <cellStyle name="Percent 33 3 2 2 2 2 3" xfId="22425"/>
    <cellStyle name="Percent 33 4 2 2 2 2 3" xfId="22426"/>
    <cellStyle name="Percent 33 5 2 2 2 3" xfId="22427"/>
    <cellStyle name="Percent 34 2 3 2 2 3" xfId="22428"/>
    <cellStyle name="Percent 34 2 2 2 2 2 3" xfId="22429"/>
    <cellStyle name="Percent 34 3 3 2 2 3" xfId="22430"/>
    <cellStyle name="Percent 34 3 2 2 2 2 3" xfId="22431"/>
    <cellStyle name="Percent 34 4 2 2 2 2 3" xfId="22432"/>
    <cellStyle name="Percent 34 5 2 2 2 3" xfId="22433"/>
    <cellStyle name="Percent 35 2 3 2 2 3" xfId="22434"/>
    <cellStyle name="Percent 35 2 2 2 2 2 3" xfId="22435"/>
    <cellStyle name="Percent 35 3 3 2 2 3" xfId="22436"/>
    <cellStyle name="Percent 35 3 2 2 2 2 3" xfId="22437"/>
    <cellStyle name="Percent 35 4 2 2 2 2 3" xfId="22438"/>
    <cellStyle name="Percent 35 5 2 2 2 3" xfId="22439"/>
    <cellStyle name="Currency 5 4 2 2 2 3" xfId="22440"/>
    <cellStyle name="Comma 5 7 2 2 2 3" xfId="22441"/>
    <cellStyle name="Percent 5 4 2 2 2 3" xfId="22442"/>
    <cellStyle name="Comma 6 5 2 2 2 3" xfId="22443"/>
    <cellStyle name="Currency 5 2 4 2 2 2 3" xfId="22444"/>
    <cellStyle name="Comma 5 2 4 2 2 2 3" xfId="22445"/>
    <cellStyle name="Percent 5 2 4 2 2 2 3" xfId="22446"/>
    <cellStyle name="Comma 6 2 3 2 2 2 3" xfId="22447"/>
    <cellStyle name="Currency 5 3 2 2 2 2 3" xfId="22448"/>
    <cellStyle name="Comma 5 3 2 2 2 2 3" xfId="22449"/>
    <cellStyle name="Percent 5 3 2 2 2 2 3" xfId="22450"/>
    <cellStyle name="Comma 6 3 4 2 2 2 3" xfId="22451"/>
    <cellStyle name="Normal 11 2 2 2 2 2 3" xfId="22452"/>
    <cellStyle name="Currency 5 2 2 2 2 2 2 3" xfId="22453"/>
    <cellStyle name="Comma 5 2 2 2 2 2 2 3" xfId="22454"/>
    <cellStyle name="Percent 5 2 2 2 2 2 2 3" xfId="22455"/>
    <cellStyle name="Comma 6 2 2 2 2 2 2 3" xfId="22456"/>
    <cellStyle name="Comma 4 7 3" xfId="22457"/>
    <cellStyle name="Currency 4 7 3" xfId="22458"/>
    <cellStyle name="Currency 4 2 3 3" xfId="22459"/>
    <cellStyle name="Currency 7 6 3" xfId="22460"/>
    <cellStyle name="Normal 7 26 3" xfId="22461"/>
    <cellStyle name="Percent 5 9 3" xfId="22462"/>
    <cellStyle name="Percent 5 2 9 3" xfId="22463"/>
    <cellStyle name="Percent 5 2 2 7 3" xfId="22464"/>
    <cellStyle name="Percent 8 3 3" xfId="22465"/>
    <cellStyle name="Comma 4 2 3 3" xfId="22466"/>
    <cellStyle name="Currency 4 3 5 3" xfId="22467"/>
    <cellStyle name="Currency 4 2 2 3" xfId="22468"/>
    <cellStyle name="Currency 7 2 4 3" xfId="22469"/>
    <cellStyle name="Normal 7 2 9 3" xfId="22470"/>
    <cellStyle name="Percent 5 3 7 3" xfId="22471"/>
    <cellStyle name="Percent 5 2 3 2 3" xfId="22472"/>
    <cellStyle name="Percent 5 2 2 2 5 3" xfId="22473"/>
    <cellStyle name="Percent 8 2 4 3" xfId="22474"/>
    <cellStyle name="Normal 12 11 3" xfId="22475"/>
    <cellStyle name="Comma 6 10 3" xfId="22476"/>
    <cellStyle name="Comma 6 2 8 3" xfId="22477"/>
    <cellStyle name="Currency 187" xfId="22478"/>
    <cellStyle name="Percent 188" xfId="22479"/>
    <cellStyle name="Comma 214" xfId="22480"/>
    <cellStyle name="Percent 189" xfId="22481"/>
    <cellStyle name="Comma 213" xfId="22482"/>
    <cellStyle name="Currency 186" xfId="22483"/>
    <cellStyle name="Percent 187" xfId="22484"/>
    <cellStyle name="Comma 215" xfId="22485"/>
    <cellStyle name="Currency 188" xfId="22486"/>
    <cellStyle name="20% - Accent6 5 4" xfId="22487"/>
    <cellStyle name="20% - Accent6 15 3" xfId="22488"/>
    <cellStyle name="Percent 195" xfId="22489"/>
    <cellStyle name="40% - Accent6 9 3" xfId="22490"/>
    <cellStyle name="40% - Accent1 5 8" xfId="22491"/>
    <cellStyle name="Note 2 14 3" xfId="22492"/>
    <cellStyle name="20% - Accent5 5 4" xfId="22493"/>
    <cellStyle name="Normal 5 13 4" xfId="22494"/>
    <cellStyle name="20% - Accent1 7 3" xfId="22495"/>
    <cellStyle name="40% - Accent3 7 3" xfId="22496"/>
    <cellStyle name="40% - Accent5 15 3" xfId="22497"/>
    <cellStyle name="20% - Accent2 14 3" xfId="22498"/>
    <cellStyle name="40% - Accent4 11 3" xfId="22499"/>
    <cellStyle name="40% - Accent2 13 3" xfId="22500"/>
    <cellStyle name="Normal 5 27 4" xfId="22501"/>
    <cellStyle name="Normal 5 21 4" xfId="22502"/>
    <cellStyle name="40% - Accent1 9 3" xfId="22503"/>
    <cellStyle name="Percent 5 18 3" xfId="22504"/>
    <cellStyle name="Comma 5 4 4" xfId="22505"/>
    <cellStyle name="40% - Accent5 14 3" xfId="22506"/>
    <cellStyle name="20% - Accent4 5 8" xfId="22507"/>
    <cellStyle name="20% - Accent6 14 3" xfId="22508"/>
    <cellStyle name="40% - Accent1 6 4" xfId="22509"/>
    <cellStyle name="Note 2 7 3" xfId="22510"/>
    <cellStyle name="40% - Accent4 8 3" xfId="22511"/>
    <cellStyle name="Comma 17 4" xfId="22512"/>
    <cellStyle name="40% - Accent6 6 4" xfId="22513"/>
    <cellStyle name="20% - Accent6 9 3" xfId="22514"/>
    <cellStyle name="Comma 223" xfId="22515"/>
    <cellStyle name="40% - Accent2 9 3" xfId="22516"/>
    <cellStyle name="Comma 5 17 3" xfId="22517"/>
    <cellStyle name="Comma 15 4" xfId="22518"/>
    <cellStyle name="40% - Accent2 12 3" xfId="22519"/>
    <cellStyle name="Normal 5 25 4" xfId="22520"/>
    <cellStyle name="Percent 2 3 7" xfId="22521"/>
    <cellStyle name="Normal 5 11 4" xfId="22522"/>
    <cellStyle name="40% - Accent3 10 3" xfId="22523"/>
    <cellStyle name="40% - Accent1 10 3" xfId="22524"/>
    <cellStyle name="Percent 192" xfId="22525"/>
    <cellStyle name="Comma 218" xfId="22526"/>
    <cellStyle name="40% - Accent3 5 8" xfId="22527"/>
    <cellStyle name="20% - Accent3 14 3" xfId="22528"/>
    <cellStyle name="Percent 197" xfId="22529"/>
    <cellStyle name="Comma 5 28 3" xfId="22530"/>
    <cellStyle name="Normal 5 9 4" xfId="22531"/>
    <cellStyle name="40% - Accent6 12 3" xfId="22532"/>
    <cellStyle name="Note 2 12 3" xfId="22533"/>
    <cellStyle name="Comma 22 4" xfId="22534"/>
    <cellStyle name="Note 2 9 3" xfId="22535"/>
    <cellStyle name="20% - Accent3 6 4" xfId="22536"/>
    <cellStyle name="Comma 219" xfId="22537"/>
    <cellStyle name="20% - Accent2 10 3" xfId="22538"/>
    <cellStyle name="40% - Accent5 9 3" xfId="22539"/>
    <cellStyle name="40% - Accent4 15 3" xfId="22540"/>
    <cellStyle name="Percent 5 22 3" xfId="22541"/>
    <cellStyle name="Normal 5 15 4" xfId="22542"/>
    <cellStyle name="Percent 5 19 3" xfId="22543"/>
    <cellStyle name="20% - Accent4 9 3" xfId="22544"/>
    <cellStyle name="40% - Accent6 8 3" xfId="22545"/>
    <cellStyle name="40% - Accent4 10 3" xfId="22546"/>
    <cellStyle name="Percent 5 25 3" xfId="22547"/>
    <cellStyle name="Percent 5 15 3" xfId="22548"/>
    <cellStyle name="40% - Accent4 9 3" xfId="22549"/>
    <cellStyle name="Comma 5 5 5" xfId="22550"/>
    <cellStyle name="Comma 19 4" xfId="22551"/>
    <cellStyle name="Comma 8 7" xfId="22552"/>
    <cellStyle name="20% - Accent4 13 3" xfId="22553"/>
    <cellStyle name="Percent 193" xfId="22554"/>
    <cellStyle name="40% - Accent3 14 3" xfId="22555"/>
    <cellStyle name="20% - Accent2 15 3" xfId="22556"/>
    <cellStyle name="Normal 5 10 4" xfId="22557"/>
    <cellStyle name="40% - Accent4 12 3" xfId="22558"/>
    <cellStyle name="20% - Accent6 8 3" xfId="22559"/>
    <cellStyle name="20% - Accent5 13 3" xfId="22560"/>
    <cellStyle name="Normal 5 22 4" xfId="22561"/>
    <cellStyle name="20% - Accent6 7 3" xfId="22562"/>
    <cellStyle name="20% - Accent6 11 3" xfId="22563"/>
    <cellStyle name="20% - Accent1 15 3" xfId="22564"/>
    <cellStyle name="40% - Accent3 15 3" xfId="22565"/>
    <cellStyle name="20% - Accent4 15 3" xfId="22566"/>
    <cellStyle name="Percent 5 17 3" xfId="22567"/>
    <cellStyle name="Comma 5 19 3" xfId="22568"/>
    <cellStyle name="Normal 5 16 4" xfId="22569"/>
    <cellStyle name="Normal 5 20 4" xfId="22570"/>
    <cellStyle name="Comma 222" xfId="22571"/>
    <cellStyle name="20% - Accent1 14 3" xfId="22572"/>
    <cellStyle name="40% - Accent4 7 3" xfId="22573"/>
    <cellStyle name="40% - Accent1 15 3" xfId="22574"/>
    <cellStyle name="20% - Accent2 9 3" xfId="22575"/>
    <cellStyle name="20% - Accent5 15 3" xfId="22576"/>
    <cellStyle name="20% - Accent1 10 3" xfId="22577"/>
    <cellStyle name="Comma 5 24 3" xfId="22578"/>
    <cellStyle name="40% - Accent2 5 4" xfId="22579"/>
    <cellStyle name="40% - Accent4 13 3" xfId="22580"/>
    <cellStyle name="Percent 5 16 3" xfId="22581"/>
    <cellStyle name="20% - Accent5 12 3" xfId="22582"/>
    <cellStyle name="20% - Accent3 5 8" xfId="22583"/>
    <cellStyle name="Normal 5 8 4" xfId="22584"/>
    <cellStyle name="20% - Accent6 12 3" xfId="22585"/>
    <cellStyle name="20% - Accent2 5 8" xfId="22586"/>
    <cellStyle name="40% - Accent5 5 4" xfId="22587"/>
    <cellStyle name="20% - Accent6 10 3" xfId="22588"/>
    <cellStyle name="20% - Accent4 11 3" xfId="22589"/>
    <cellStyle name="40% - Accent4 6 4" xfId="22590"/>
    <cellStyle name="Note 2 13 3" xfId="22591"/>
    <cellStyle name="Comma 10 7" xfId="22592"/>
    <cellStyle name="20% - Accent5 9 3" xfId="22593"/>
    <cellStyle name="Percent 5 28 3" xfId="22594"/>
    <cellStyle name="Comma 5 27 3" xfId="22595"/>
    <cellStyle name="Normal 5 23 4" xfId="22596"/>
    <cellStyle name="20% - Accent3 9 3" xfId="22597"/>
    <cellStyle name="Percent 5 5 4" xfId="22598"/>
    <cellStyle name="Comma 5 16 3" xfId="22599"/>
    <cellStyle name="20% - Accent3 10 3" xfId="22600"/>
    <cellStyle name="40% - Accent1 7 3" xfId="22601"/>
    <cellStyle name="Percent 5 24 3" xfId="22602"/>
    <cellStyle name="Comma 5 25 3" xfId="22603"/>
    <cellStyle name="20% - Accent1 11 3" xfId="22604"/>
    <cellStyle name="Percent 5 14 3" xfId="22605"/>
    <cellStyle name="20% - Accent1 13 3" xfId="22606"/>
    <cellStyle name="Percent 5 27 3" xfId="22607"/>
    <cellStyle name="Note 2 10 3" xfId="22608"/>
    <cellStyle name="40% - Accent3 12 3" xfId="22609"/>
    <cellStyle name="40% - Accent6 11 3" xfId="22610"/>
    <cellStyle name="40% - Accent1 13 3" xfId="22611"/>
    <cellStyle name="Comma 5 8 4" xfId="22612"/>
    <cellStyle name="20% - Accent5 14 3" xfId="22613"/>
    <cellStyle name="40% - Accent3 9 3" xfId="22614"/>
    <cellStyle name="40% - Accent2 6 3" xfId="22615"/>
    <cellStyle name="40% - Accent1 8 3" xfId="22616"/>
    <cellStyle name="40% - Accent6 5 8" xfId="22617"/>
    <cellStyle name="40% - Accent3 8 3" xfId="22618"/>
    <cellStyle name="40% - Accent2 7 3" xfId="22619"/>
    <cellStyle name="20% - Accent2 8 3" xfId="22620"/>
    <cellStyle name="40% - Accent3 11 3" xfId="22621"/>
    <cellStyle name="20% - Accent5 11 3" xfId="22622"/>
    <cellStyle name="40% - Accent5 6 3" xfId="22623"/>
    <cellStyle name="Percent 5 20 3" xfId="22624"/>
    <cellStyle name="Note 2 11 3" xfId="22625"/>
    <cellStyle name="Normal 5 29 4" xfId="22626"/>
    <cellStyle name="20% - Accent6 13 3" xfId="22627"/>
    <cellStyle name="20% - Accent1 12 3" xfId="22628"/>
    <cellStyle name="40% - Accent2 15 3" xfId="22629"/>
    <cellStyle name="Comma 5 22 3" xfId="22630"/>
    <cellStyle name="Comma 5 23 3" xfId="22631"/>
    <cellStyle name="Note 2 8 3" xfId="22632"/>
    <cellStyle name="Comma 7 9" xfId="22633"/>
    <cellStyle name="Percent 5 23 3" xfId="22634"/>
    <cellStyle name="40% - Accent6 14 3" xfId="22635"/>
    <cellStyle name="20% - Accent2 12 3" xfId="22636"/>
    <cellStyle name="20% - Accent6 6 3" xfId="22637"/>
    <cellStyle name="Comma 13 4" xfId="22638"/>
    <cellStyle name="Comma 9 8" xfId="22639"/>
    <cellStyle name="40% - Accent5 13 3" xfId="22640"/>
    <cellStyle name="40% - Accent5 7 3" xfId="22641"/>
    <cellStyle name="Normal 5 14 4" xfId="22642"/>
    <cellStyle name="Comma 12 5" xfId="22643"/>
    <cellStyle name="40% - Accent6 13 3" xfId="22644"/>
    <cellStyle name="Comma 2 3 8" xfId="22645"/>
    <cellStyle name="20% - Accent1 5 8" xfId="22646"/>
    <cellStyle name="40% - Accent2 14 3" xfId="22647"/>
    <cellStyle name="Normal 5 26 4" xfId="22648"/>
    <cellStyle name="Comma 21 4" xfId="22649"/>
    <cellStyle name="Percent 5 21 3" xfId="22650"/>
    <cellStyle name="Comma 220" xfId="22651"/>
    <cellStyle name="20% - Accent3 13 3" xfId="22652"/>
    <cellStyle name="40% - Accent4 5 8" xfId="22653"/>
    <cellStyle name="20% - Accent5 6 3" xfId="22654"/>
    <cellStyle name="40% - Accent1 12 3" xfId="22655"/>
    <cellStyle name="Normal 5 19 4" xfId="22656"/>
    <cellStyle name="20% - Accent5 10 3" xfId="22657"/>
    <cellStyle name="Comma 18 4" xfId="22658"/>
    <cellStyle name="Comma 20 4" xfId="22659"/>
    <cellStyle name="Comma 221" xfId="22660"/>
    <cellStyle name="Normal 5 18 4" xfId="22661"/>
    <cellStyle name="Comma 5 15 3" xfId="22662"/>
    <cellStyle name="20% - Accent1 6 4" xfId="22663"/>
    <cellStyle name="Comma 5 21 3" xfId="22664"/>
    <cellStyle name="20% - Accent2 11 3" xfId="22665"/>
    <cellStyle name="Comma 14 4" xfId="22666"/>
    <cellStyle name="20% - Accent2 13 3" xfId="22667"/>
    <cellStyle name="40% - Accent4 14 3" xfId="22668"/>
    <cellStyle name="20% - Accent5 7 3" xfId="22669"/>
    <cellStyle name="20% - Accent4 6 4" xfId="22670"/>
    <cellStyle name="20% - Accent1 9 3" xfId="22671"/>
    <cellStyle name="Percent 194" xfId="22672"/>
    <cellStyle name="40% - Accent6 10 3" xfId="22673"/>
    <cellStyle name="20% - Accent4 14 3" xfId="22674"/>
    <cellStyle name="20% - Accent2 7 3" xfId="22675"/>
    <cellStyle name="20% - Accent3 11 3" xfId="22676"/>
    <cellStyle name="40% - Accent5 12 3" xfId="22677"/>
    <cellStyle name="20% - Accent2 6 4" xfId="22678"/>
    <cellStyle name="Comma 5 20 3" xfId="22679"/>
    <cellStyle name="Normal 5 17 4" xfId="22680"/>
    <cellStyle name="40% - Accent2 8 3" xfId="22681"/>
    <cellStyle name="40% - Accent6 7 3" xfId="22682"/>
    <cellStyle name="40% - Accent1 14 3" xfId="22683"/>
    <cellStyle name="40% - Accent3 13 3" xfId="22684"/>
    <cellStyle name="20% - Accent4 7 3" xfId="22685"/>
    <cellStyle name="Percent 5 26 3" xfId="22686"/>
    <cellStyle name="20% - Accent4 10 3" xfId="22687"/>
    <cellStyle name="Percent 5 13 3" xfId="22688"/>
    <cellStyle name="20% - Accent3 8 3" xfId="22689"/>
    <cellStyle name="40% - Accent5 11 3" xfId="22690"/>
    <cellStyle name="Comma 5 26 3" xfId="22691"/>
    <cellStyle name="20% - Accent3 12 3" xfId="22692"/>
    <cellStyle name="Normal 5 12 4" xfId="22693"/>
    <cellStyle name="40% - Accent5 10 3" xfId="22694"/>
    <cellStyle name="20% - Accent3 15 3" xfId="22695"/>
    <cellStyle name="20% - Accent4 12 3" xfId="22696"/>
    <cellStyle name="Note 2 15 3" xfId="22697"/>
    <cellStyle name="20% - Accent5 8 3" xfId="22698"/>
    <cellStyle name="40% - Accent2 10 3" xfId="22699"/>
    <cellStyle name="Percent 196" xfId="22700"/>
    <cellStyle name="Comma 23 4" xfId="22701"/>
    <cellStyle name="40% - Accent3 6 4" xfId="22702"/>
    <cellStyle name="20% - Accent3 7 3" xfId="22703"/>
    <cellStyle name="Normal 10 2 5" xfId="22704"/>
    <cellStyle name="40% - Accent6 15 3" xfId="22705"/>
    <cellStyle name="40% - Accent1 11 3" xfId="22706"/>
    <cellStyle name="Comma 5 18 3" xfId="22707"/>
    <cellStyle name="Comma 5 6 4" xfId="22708"/>
    <cellStyle name="20% - Accent4 8 3" xfId="22709"/>
    <cellStyle name="Comma 11 8" xfId="22710"/>
    <cellStyle name="20% - Accent1 8 3" xfId="22711"/>
    <cellStyle name="Comma 16 4" xfId="22712"/>
    <cellStyle name="Comma 3 31" xfId="22713"/>
    <cellStyle name="Percent 3 32" xfId="22714"/>
    <cellStyle name="Currency 3 32" xfId="22715"/>
    <cellStyle name="20% - Accent1 17" xfId="22716"/>
    <cellStyle name="40% - Accent1 17" xfId="22717"/>
    <cellStyle name="20% - Accent2 17" xfId="22718"/>
    <cellStyle name="40% - Accent2 17" xfId="22719"/>
    <cellStyle name="20% - Accent3 17" xfId="22720"/>
    <cellStyle name="40% - Accent3 17" xfId="22721"/>
    <cellStyle name="20% - Accent4 17" xfId="22722"/>
    <cellStyle name="40% - Accent4 17" xfId="22723"/>
    <cellStyle name="20% - Accent5 17" xfId="22724"/>
    <cellStyle name="40% - Accent5 17" xfId="22725"/>
    <cellStyle name="20% - Accent6 17" xfId="22726"/>
    <cellStyle name="40% - Accent6 17" xfId="22727"/>
    <cellStyle name="Normal 3 3 12" xfId="22728"/>
    <cellStyle name="Comma 2 3 9" xfId="22729"/>
    <cellStyle name="Percent 2 3 8" xfId="22730"/>
    <cellStyle name="Normal 10 2 6" xfId="22731"/>
    <cellStyle name="Comma 4 31" xfId="22732"/>
    <cellStyle name="Comma 5 31" xfId="22733"/>
    <cellStyle name="Comma 6 15" xfId="22734"/>
    <cellStyle name="Comma 7 10" xfId="22735"/>
    <cellStyle name="Comma 8 8" xfId="22736"/>
    <cellStyle name="Comma 10 8" xfId="22737"/>
    <cellStyle name="Comma 9 9" xfId="22738"/>
    <cellStyle name="Comma 11 9" xfId="22739"/>
    <cellStyle name="Comma 14 5" xfId="22740"/>
    <cellStyle name="Comma 12 6" xfId="22741"/>
    <cellStyle name="Comma 13 5" xfId="22742"/>
    <cellStyle name="Comma 15 5" xfId="22743"/>
    <cellStyle name="Comma 16 5" xfId="22744"/>
    <cellStyle name="Comma 17 5" xfId="22745"/>
    <cellStyle name="Comma 22 5" xfId="22746"/>
    <cellStyle name="Comma 18 5" xfId="22747"/>
    <cellStyle name="Comma 19 5" xfId="22748"/>
    <cellStyle name="Comma 20 5" xfId="22749"/>
    <cellStyle name="Comma 21 5" xfId="22750"/>
    <cellStyle name="Comma 23 5" xfId="22751"/>
    <cellStyle name="Normal 5 3 9" xfId="22752"/>
    <cellStyle name="Note 2 18" xfId="22753"/>
    <cellStyle name="Comma 5 2 12" xfId="22754"/>
    <cellStyle name="Percent 5 2 13" xfId="22755"/>
    <cellStyle name="Normal 5 4 9" xfId="22756"/>
    <cellStyle name="Comma 5 3 10" xfId="22757"/>
    <cellStyle name="Percent 5 3 11" xfId="22758"/>
    <cellStyle name="Normal 5 5 9" xfId="22759"/>
    <cellStyle name="Comma 5 4 5" xfId="22760"/>
    <cellStyle name="Percent 5 4 8" xfId="22761"/>
    <cellStyle name="Normal 5 6 9" xfId="22762"/>
    <cellStyle name="Comma 5 5 6" xfId="22763"/>
    <cellStyle name="Percent 5 5 5" xfId="22764"/>
    <cellStyle name="Normal 5 7 9" xfId="22765"/>
    <cellStyle name="Comma 5 6 5" xfId="22766"/>
    <cellStyle name="Percent 5 6 7" xfId="22767"/>
    <cellStyle name="Normal 5 8 5" xfId="22768"/>
    <cellStyle name="Comma 5 7 8" xfId="22769"/>
    <cellStyle name="Percent 5 7 6" xfId="22770"/>
    <cellStyle name="Normal 5 9 5" xfId="22771"/>
    <cellStyle name="Comma 5 8 5" xfId="22772"/>
    <cellStyle name="Percent 5 8 5" xfId="22773"/>
    <cellStyle name="Normal 5 10 5" xfId="22774"/>
    <cellStyle name="Comma 5 9 7" xfId="22775"/>
    <cellStyle name="Percent 5 9 5" xfId="22776"/>
    <cellStyle name="Normal 5 11 5" xfId="22777"/>
    <cellStyle name="Comma 5 10 6" xfId="22778"/>
    <cellStyle name="Percent 5 10 4" xfId="22779"/>
    <cellStyle name="Normal 5 12 5" xfId="22780"/>
    <cellStyle name="Comma 5 11 5" xfId="22781"/>
    <cellStyle name="Percent 5 11 4" xfId="22782"/>
    <cellStyle name="Normal 5 13 5" xfId="22783"/>
    <cellStyle name="Comma 5 12 4" xfId="22784"/>
    <cellStyle name="Percent 5 12 4" xfId="22785"/>
    <cellStyle name="Normal 5 14 5" xfId="22786"/>
    <cellStyle name="Comma 5 13 4" xfId="22787"/>
    <cellStyle name="Percent 5 13 4" xfId="22788"/>
    <cellStyle name="Normal 5 15 5" xfId="22789"/>
    <cellStyle name="Comma 5 14 4" xfId="22790"/>
    <cellStyle name="Percent 5 14 4" xfId="22791"/>
    <cellStyle name="20% - Accent1 2 8" xfId="22792"/>
    <cellStyle name="40% - Accent1 2 8" xfId="22793"/>
    <cellStyle name="20% - Accent2 2 8" xfId="22794"/>
    <cellStyle name="40% - Accent2 2 8" xfId="22795"/>
    <cellStyle name="20% - Accent3 2 8" xfId="22796"/>
    <cellStyle name="40% - Accent3 2 8" xfId="22797"/>
    <cellStyle name="20% - Accent4 2 8" xfId="22798"/>
    <cellStyle name="40% - Accent4 2 8" xfId="22799"/>
    <cellStyle name="20% - Accent5 2 8" xfId="22800"/>
    <cellStyle name="40% - Accent5 2 8" xfId="22801"/>
    <cellStyle name="20% - Accent6 2 8" xfId="22802"/>
    <cellStyle name="40% - Accent6 2 8" xfId="22803"/>
    <cellStyle name="Normal 5 16 5" xfId="22804"/>
    <cellStyle name="Note 2 2 7" xfId="22805"/>
    <cellStyle name="Comma 5 15 4" xfId="22806"/>
    <cellStyle name="Percent 5 15 4" xfId="22807"/>
    <cellStyle name="20% - Accent1 3 8" xfId="22808"/>
    <cellStyle name="40% - Accent1 3 8" xfId="22809"/>
    <cellStyle name="20% - Accent2 3 8" xfId="22810"/>
    <cellStyle name="40% - Accent2 3 8" xfId="22811"/>
    <cellStyle name="20% - Accent3 3 8" xfId="22812"/>
    <cellStyle name="40% - Accent3 3 8" xfId="22813"/>
    <cellStyle name="20% - Accent4 3 8" xfId="22814"/>
    <cellStyle name="40% - Accent4 3 8" xfId="22815"/>
    <cellStyle name="20% - Accent5 3 8" xfId="22816"/>
    <cellStyle name="40% - Accent5 3 8" xfId="22817"/>
    <cellStyle name="20% - Accent6 3 8" xfId="22818"/>
    <cellStyle name="40% - Accent6 3 8" xfId="22819"/>
    <cellStyle name="Normal 5 17 5" xfId="22820"/>
    <cellStyle name="Note 2 3 6" xfId="22821"/>
    <cellStyle name="Comma 5 16 4" xfId="22822"/>
    <cellStyle name="Percent 5 16 4" xfId="22823"/>
    <cellStyle name="20% - Accent1 4 8" xfId="22824"/>
    <cellStyle name="40% - Accent1 4 8" xfId="22825"/>
    <cellStyle name="20% - Accent2 4 8" xfId="22826"/>
    <cellStyle name="40% - Accent2 4 8" xfId="22827"/>
    <cellStyle name="20% - Accent3 4 8" xfId="22828"/>
    <cellStyle name="40% - Accent3 4 8" xfId="22829"/>
    <cellStyle name="20% - Accent4 4 8" xfId="22830"/>
    <cellStyle name="40% - Accent4 4 8" xfId="22831"/>
    <cellStyle name="20% - Accent5 4 8" xfId="22832"/>
    <cellStyle name="40% - Accent5 4 8" xfId="22833"/>
    <cellStyle name="20% - Accent6 4 8" xfId="22834"/>
    <cellStyle name="40% - Accent6 4 8" xfId="22835"/>
    <cellStyle name="Normal 5 18 5" xfId="22836"/>
    <cellStyle name="Note 2 4 5" xfId="22837"/>
    <cellStyle name="Comma 5 17 4" xfId="22838"/>
    <cellStyle name="Percent 5 17 4" xfId="22839"/>
    <cellStyle name="20% - Accent1 5 9" xfId="22840"/>
    <cellStyle name="40% - Accent1 5 9" xfId="22841"/>
    <cellStyle name="20% - Accent2 5 9" xfId="22842"/>
    <cellStyle name="40% - Accent2 5 5" xfId="22843"/>
    <cellStyle name="20% - Accent3 5 9" xfId="22844"/>
    <cellStyle name="40% - Accent3 5 9" xfId="22845"/>
    <cellStyle name="20% - Accent4 5 9" xfId="22846"/>
    <cellStyle name="40% - Accent4 5 9" xfId="22847"/>
    <cellStyle name="20% - Accent5 5 5" xfId="22848"/>
    <cellStyle name="40% - Accent5 5 5" xfId="22849"/>
    <cellStyle name="20% - Accent6 5 5" xfId="22850"/>
    <cellStyle name="40% - Accent6 5 9" xfId="22851"/>
    <cellStyle name="Normal 5 19 5" xfId="22852"/>
    <cellStyle name="Note 2 5 4" xfId="22853"/>
    <cellStyle name="Comma 5 18 4" xfId="22854"/>
    <cellStyle name="Percent 5 18 4" xfId="22855"/>
    <cellStyle name="20% - Accent1 6 5" xfId="22856"/>
    <cellStyle name="40% - Accent1 6 5" xfId="22857"/>
    <cellStyle name="20% - Accent2 6 5" xfId="22858"/>
    <cellStyle name="40% - Accent2 6 4" xfId="22859"/>
    <cellStyle name="20% - Accent3 6 5" xfId="22860"/>
    <cellStyle name="40% - Accent3 6 5" xfId="22861"/>
    <cellStyle name="20% - Accent4 6 5" xfId="22862"/>
    <cellStyle name="40% - Accent4 6 5" xfId="22863"/>
    <cellStyle name="20% - Accent5 6 4" xfId="22864"/>
    <cellStyle name="40% - Accent5 6 4" xfId="22865"/>
    <cellStyle name="20% - Accent6 6 4" xfId="22866"/>
    <cellStyle name="40% - Accent6 6 5" xfId="22867"/>
    <cellStyle name="Normal 5 20 5" xfId="22868"/>
    <cellStyle name="Note 2 6 4" xfId="22869"/>
    <cellStyle name="Comma 5 19 4" xfId="22870"/>
    <cellStyle name="Percent 5 19 4" xfId="22871"/>
    <cellStyle name="20% - Accent1 7 4" xfId="22872"/>
    <cellStyle name="40% - Accent1 7 4" xfId="22873"/>
    <cellStyle name="20% - Accent2 7 4" xfId="22874"/>
    <cellStyle name="40% - Accent2 7 4" xfId="22875"/>
    <cellStyle name="20% - Accent3 7 4" xfId="22876"/>
    <cellStyle name="40% - Accent3 7 4" xfId="22877"/>
    <cellStyle name="20% - Accent4 7 4" xfId="22878"/>
    <cellStyle name="40% - Accent4 7 4" xfId="22879"/>
    <cellStyle name="20% - Accent5 7 4" xfId="22880"/>
    <cellStyle name="40% - Accent5 7 4" xfId="22881"/>
    <cellStyle name="20% - Accent6 7 4" xfId="22882"/>
    <cellStyle name="40% - Accent6 7 4" xfId="22883"/>
    <cellStyle name="Normal 5 21 5" xfId="22884"/>
    <cellStyle name="Note 2 7 4" xfId="22885"/>
    <cellStyle name="Comma 5 20 4" xfId="22886"/>
    <cellStyle name="Percent 5 20 4" xfId="22887"/>
    <cellStyle name="20% - Accent1 8 4" xfId="22888"/>
    <cellStyle name="40% - Accent1 8 4" xfId="22889"/>
    <cellStyle name="20% - Accent2 8 4" xfId="22890"/>
    <cellStyle name="40% - Accent2 8 4" xfId="22891"/>
    <cellStyle name="20% - Accent3 8 4" xfId="22892"/>
    <cellStyle name="40% - Accent3 8 4" xfId="22893"/>
    <cellStyle name="20% - Accent4 8 4" xfId="22894"/>
    <cellStyle name="40% - Accent4 8 4" xfId="22895"/>
    <cellStyle name="20% - Accent5 8 4" xfId="22896"/>
    <cellStyle name="40% - Accent5 8 4" xfId="22897"/>
    <cellStyle name="20% - Accent6 8 4" xfId="22898"/>
    <cellStyle name="40% - Accent6 8 4" xfId="22899"/>
    <cellStyle name="Normal 5 22 5" xfId="22900"/>
    <cellStyle name="Note 2 8 4" xfId="22901"/>
    <cellStyle name="Comma 5 21 4" xfId="22902"/>
    <cellStyle name="Percent 5 21 4" xfId="22903"/>
    <cellStyle name="20% - Accent1 9 4" xfId="22904"/>
    <cellStyle name="40% - Accent1 9 4" xfId="22905"/>
    <cellStyle name="20% - Accent2 9 4" xfId="22906"/>
    <cellStyle name="40% - Accent2 9 4" xfId="22907"/>
    <cellStyle name="20% - Accent3 9 4" xfId="22908"/>
    <cellStyle name="40% - Accent3 9 4" xfId="22909"/>
    <cellStyle name="20% - Accent4 9 4" xfId="22910"/>
    <cellStyle name="40% - Accent4 9 4" xfId="22911"/>
    <cellStyle name="20% - Accent5 9 4" xfId="22912"/>
    <cellStyle name="40% - Accent5 9 4" xfId="22913"/>
    <cellStyle name="20% - Accent6 9 4" xfId="22914"/>
    <cellStyle name="40% - Accent6 9 4" xfId="22915"/>
    <cellStyle name="Normal 5 23 5" xfId="22916"/>
    <cellStyle name="Note 2 9 4" xfId="22917"/>
    <cellStyle name="Comma 5 22 4" xfId="22918"/>
    <cellStyle name="Percent 5 22 4" xfId="22919"/>
    <cellStyle name="20% - Accent1 10 4" xfId="22920"/>
    <cellStyle name="40% - Accent1 10 4" xfId="22921"/>
    <cellStyle name="20% - Accent2 10 4" xfId="22922"/>
    <cellStyle name="40% - Accent2 10 4" xfId="22923"/>
    <cellStyle name="20% - Accent3 10 4" xfId="22924"/>
    <cellStyle name="40% - Accent3 10 4" xfId="22925"/>
    <cellStyle name="20% - Accent4 10 4" xfId="22926"/>
    <cellStyle name="40% - Accent4 10 4" xfId="22927"/>
    <cellStyle name="20% - Accent5 10 4" xfId="22928"/>
    <cellStyle name="40% - Accent5 10 4" xfId="22929"/>
    <cellStyle name="20% - Accent6 10 4" xfId="22930"/>
    <cellStyle name="40% - Accent6 10 4" xfId="22931"/>
    <cellStyle name="Normal 5 24 8" xfId="22932"/>
    <cellStyle name="Note 2 10 4" xfId="22933"/>
    <cellStyle name="Comma 5 23 4" xfId="22934"/>
    <cellStyle name="Percent 5 23 4" xfId="22935"/>
    <cellStyle name="20% - Accent1 11 4" xfId="22936"/>
    <cellStyle name="40% - Accent1 11 4" xfId="22937"/>
    <cellStyle name="20% - Accent2 11 4" xfId="22938"/>
    <cellStyle name="40% - Accent2 11 4" xfId="22939"/>
    <cellStyle name="20% - Accent3 11 4" xfId="22940"/>
    <cellStyle name="40% - Accent3 11 4" xfId="22941"/>
    <cellStyle name="20% - Accent4 11 4" xfId="22942"/>
    <cellStyle name="40% - Accent4 11 4" xfId="22943"/>
    <cellStyle name="20% - Accent5 11 4" xfId="22944"/>
    <cellStyle name="40% - Accent5 11 4" xfId="22945"/>
    <cellStyle name="20% - Accent6 11 4" xfId="22946"/>
    <cellStyle name="40% - Accent6 11 4" xfId="22947"/>
    <cellStyle name="Normal 5 25 5" xfId="22948"/>
    <cellStyle name="Note 2 11 4" xfId="22949"/>
    <cellStyle name="Comma 5 24 4" xfId="22950"/>
    <cellStyle name="Percent 5 24 4" xfId="22951"/>
    <cellStyle name="20% - Accent1 12 4" xfId="22952"/>
    <cellStyle name="40% - Accent1 12 4" xfId="22953"/>
    <cellStyle name="20% - Accent2 12 4" xfId="22954"/>
    <cellStyle name="40% - Accent2 12 4" xfId="22955"/>
    <cellStyle name="20% - Accent3 12 4" xfId="22956"/>
    <cellStyle name="40% - Accent3 12 4" xfId="22957"/>
    <cellStyle name="20% - Accent4 12 4" xfId="22958"/>
    <cellStyle name="40% - Accent4 12 4" xfId="22959"/>
    <cellStyle name="20% - Accent5 12 4" xfId="22960"/>
    <cellStyle name="40% - Accent5 12 4" xfId="22961"/>
    <cellStyle name="20% - Accent6 12 4" xfId="22962"/>
    <cellStyle name="40% - Accent6 12 4" xfId="22963"/>
    <cellStyle name="Normal 5 26 5" xfId="22964"/>
    <cellStyle name="Note 2 12 4" xfId="22965"/>
    <cellStyle name="Comma 5 25 4" xfId="22966"/>
    <cellStyle name="Percent 5 25 4" xfId="22967"/>
    <cellStyle name="20% - Accent1 13 4" xfId="22968"/>
    <cellStyle name="40% - Accent1 13 4" xfId="22969"/>
    <cellStyle name="20% - Accent2 13 4" xfId="22970"/>
    <cellStyle name="40% - Accent2 13 4" xfId="22971"/>
    <cellStyle name="20% - Accent3 13 4" xfId="22972"/>
    <cellStyle name="40% - Accent3 13 4" xfId="22973"/>
    <cellStyle name="20% - Accent4 13 4" xfId="22974"/>
    <cellStyle name="40% - Accent4 13 4" xfId="22975"/>
    <cellStyle name="20% - Accent5 13 4" xfId="22976"/>
    <cellStyle name="40% - Accent5 13 4" xfId="22977"/>
    <cellStyle name="20% - Accent6 13 4" xfId="22978"/>
    <cellStyle name="40% - Accent6 13 4" xfId="22979"/>
    <cellStyle name="Normal 5 27 5" xfId="22980"/>
    <cellStyle name="Note 2 13 4" xfId="22981"/>
    <cellStyle name="Comma 5 26 4" xfId="22982"/>
    <cellStyle name="Percent 5 26 4" xfId="22983"/>
    <cellStyle name="20% - Accent1 14 4" xfId="22984"/>
    <cellStyle name="40% - Accent1 14 4" xfId="22985"/>
    <cellStyle name="20% - Accent2 14 4" xfId="22986"/>
    <cellStyle name="40% - Accent2 14 4" xfId="22987"/>
    <cellStyle name="20% - Accent3 14 4" xfId="22988"/>
    <cellStyle name="40% - Accent3 14 4" xfId="22989"/>
    <cellStyle name="20% - Accent4 14 4" xfId="22990"/>
    <cellStyle name="40% - Accent4 14 4" xfId="22991"/>
    <cellStyle name="20% - Accent5 14 4" xfId="22992"/>
    <cellStyle name="40% - Accent5 14 4" xfId="22993"/>
    <cellStyle name="20% - Accent6 14 4" xfId="22994"/>
    <cellStyle name="40% - Accent6 14 4" xfId="22995"/>
    <cellStyle name="Normal 5 28 8" xfId="22996"/>
    <cellStyle name="Note 2 14 4" xfId="22997"/>
    <cellStyle name="Comma 5 27 4" xfId="22998"/>
    <cellStyle name="Percent 5 27 4" xfId="22999"/>
    <cellStyle name="20% - Accent1 15 4" xfId="23000"/>
    <cellStyle name="40% - Accent1 15 4" xfId="23001"/>
    <cellStyle name="20% - Accent2 15 4" xfId="23002"/>
    <cellStyle name="40% - Accent2 15 4" xfId="23003"/>
    <cellStyle name="20% - Accent3 15 4" xfId="23004"/>
    <cellStyle name="40% - Accent3 15 4" xfId="23005"/>
    <cellStyle name="20% - Accent4 15 4" xfId="23006"/>
    <cellStyle name="40% - Accent4 15 4" xfId="23007"/>
    <cellStyle name="20% - Accent5 15 4" xfId="23008"/>
    <cellStyle name="40% - Accent5 15 4" xfId="23009"/>
    <cellStyle name="20% - Accent6 15 4" xfId="23010"/>
    <cellStyle name="40% - Accent6 15 4" xfId="23011"/>
    <cellStyle name="Normal 5 29 5" xfId="23012"/>
    <cellStyle name="Note 2 15 4" xfId="23013"/>
    <cellStyle name="Comma 5 28 4" xfId="23014"/>
    <cellStyle name="Percent 5 28 4" xfId="23015"/>
    <cellStyle name="Comma 3 32" xfId="23016"/>
    <cellStyle name="Percent 3 33" xfId="23017"/>
    <cellStyle name="Currency 3 33" xfId="23018"/>
    <cellStyle name="20% - Accent1 18" xfId="23019"/>
    <cellStyle name="40% - Accent1 18" xfId="23020"/>
    <cellStyle name="20% - Accent2 18" xfId="23021"/>
    <cellStyle name="40% - Accent2 18" xfId="23022"/>
    <cellStyle name="20% - Accent3 18" xfId="23023"/>
    <cellStyle name="40% - Accent3 18" xfId="23024"/>
    <cellStyle name="20% - Accent4 18" xfId="23025"/>
    <cellStyle name="40% - Accent4 18" xfId="23026"/>
    <cellStyle name="20% - Accent5 18" xfId="23027"/>
    <cellStyle name="40% - Accent5 18" xfId="23028"/>
    <cellStyle name="20% - Accent6 18" xfId="23029"/>
    <cellStyle name="40% - Accent6 18" xfId="23030"/>
    <cellStyle name="Normal 3 3 13" xfId="23031"/>
    <cellStyle name="Comma 2 3 10" xfId="23032"/>
    <cellStyle name="Percent 2 3 9" xfId="23033"/>
    <cellStyle name="Normal 10 2 7" xfId="23034"/>
    <cellStyle name="Comma 4 32" xfId="23035"/>
    <cellStyle name="Comma 5 32" xfId="23036"/>
    <cellStyle name="Comma 6 16" xfId="23037"/>
    <cellStyle name="Comma 7 11" xfId="23038"/>
    <cellStyle name="Comma 8 9" xfId="23039"/>
    <cellStyle name="Comma 10 9" xfId="23040"/>
    <cellStyle name="Comma 9 10" xfId="23041"/>
    <cellStyle name="Comma 11 10" xfId="23042"/>
    <cellStyle name="Comma 14 6" xfId="23043"/>
    <cellStyle name="Comma 12 7" xfId="23044"/>
    <cellStyle name="Comma 13 6" xfId="23045"/>
    <cellStyle name="Comma 15 6" xfId="23046"/>
    <cellStyle name="Comma 16 6" xfId="23047"/>
    <cellStyle name="Comma 17 6" xfId="23048"/>
    <cellStyle name="Comma 22 6" xfId="23049"/>
    <cellStyle name="Comma 18 6" xfId="23050"/>
    <cellStyle name="Comma 19 6" xfId="23051"/>
    <cellStyle name="Comma 20 6" xfId="23052"/>
    <cellStyle name="Comma 21 6" xfId="23053"/>
    <cellStyle name="Comma 23 6" xfId="23054"/>
    <cellStyle name="Normal 5 3 10" xfId="23055"/>
    <cellStyle name="Note 2 19" xfId="23056"/>
    <cellStyle name="Comma 5 2 13" xfId="23057"/>
    <cellStyle name="Percent 5 2 14" xfId="23058"/>
    <cellStyle name="Normal 5 4 10" xfId="23059"/>
    <cellStyle name="Comma 5 3 11" xfId="23060"/>
    <cellStyle name="Percent 5 3 12" xfId="23061"/>
    <cellStyle name="Normal 5 5 10" xfId="23062"/>
    <cellStyle name="Comma 5 4 6" xfId="23063"/>
    <cellStyle name="Percent 5 4 9" xfId="23064"/>
    <cellStyle name="Normal 5 6 10" xfId="23065"/>
    <cellStyle name="Comma 5 5 7" xfId="23066"/>
    <cellStyle name="Percent 5 5 6" xfId="23067"/>
    <cellStyle name="Normal 5 7 10" xfId="23068"/>
    <cellStyle name="Comma 5 6 6" xfId="23069"/>
    <cellStyle name="Percent 5 6 8" xfId="23070"/>
    <cellStyle name="Normal 5 8 6" xfId="23071"/>
    <cellStyle name="Comma 5 7 9" xfId="23072"/>
    <cellStyle name="Percent 5 7 7" xfId="23073"/>
    <cellStyle name="Normal 5 9 6" xfId="23074"/>
    <cellStyle name="Comma 5 8 6" xfId="23075"/>
    <cellStyle name="Percent 5 8 6" xfId="23076"/>
    <cellStyle name="Normal 5 10 6" xfId="23077"/>
    <cellStyle name="Comma 5 9 8" xfId="23078"/>
    <cellStyle name="Percent 5 9 6" xfId="23079"/>
    <cellStyle name="Normal 5 11 6" xfId="23080"/>
    <cellStyle name="Comma 5 10 7" xfId="23081"/>
    <cellStyle name="Percent 5 10 5" xfId="23082"/>
    <cellStyle name="Normal 5 12 6" xfId="23083"/>
    <cellStyle name="Comma 5 11 6" xfId="23084"/>
    <cellStyle name="Percent 5 11 5" xfId="23085"/>
    <cellStyle name="Normal 5 13 6" xfId="23086"/>
    <cellStyle name="Comma 5 12 5" xfId="23087"/>
    <cellStyle name="Percent 5 12 5" xfId="23088"/>
    <cellStyle name="Normal 5 14 6" xfId="23089"/>
    <cellStyle name="Comma 5 13 5" xfId="23090"/>
    <cellStyle name="Percent 5 13 5" xfId="23091"/>
    <cellStyle name="Normal 5 15 6" xfId="23092"/>
    <cellStyle name="Comma 5 14 5" xfId="23093"/>
    <cellStyle name="Percent 5 14 5" xfId="23094"/>
    <cellStyle name="20% - Accent1 2 9" xfId="23095"/>
    <cellStyle name="40% - Accent1 2 9" xfId="23096"/>
    <cellStyle name="20% - Accent2 2 9" xfId="23097"/>
    <cellStyle name="40% - Accent2 2 9" xfId="23098"/>
    <cellStyle name="20% - Accent3 2 9" xfId="23099"/>
    <cellStyle name="40% - Accent3 2 9" xfId="23100"/>
    <cellStyle name="20% - Accent4 2 9" xfId="23101"/>
    <cellStyle name="40% - Accent4 2 9" xfId="23102"/>
    <cellStyle name="20% - Accent5 2 9" xfId="23103"/>
    <cellStyle name="40% - Accent5 2 9" xfId="23104"/>
    <cellStyle name="20% - Accent6 2 9" xfId="23105"/>
    <cellStyle name="40% - Accent6 2 9" xfId="23106"/>
    <cellStyle name="Normal 5 16 6" xfId="23107"/>
    <cellStyle name="Note 2 2 8" xfId="23108"/>
    <cellStyle name="Comma 5 15 5" xfId="23109"/>
    <cellStyle name="Percent 5 15 5" xfId="23110"/>
    <cellStyle name="20% - Accent1 3 9" xfId="23111"/>
    <cellStyle name="40% - Accent1 3 9" xfId="23112"/>
    <cellStyle name="20% - Accent2 3 9" xfId="23113"/>
    <cellStyle name="40% - Accent2 3 9" xfId="23114"/>
    <cellStyle name="20% - Accent3 3 9" xfId="23115"/>
    <cellStyle name="40% - Accent3 3 9" xfId="23116"/>
    <cellStyle name="20% - Accent4 3 9" xfId="23117"/>
    <cellStyle name="40% - Accent4 3 9" xfId="23118"/>
    <cellStyle name="20% - Accent5 3 9" xfId="23119"/>
    <cellStyle name="40% - Accent5 3 9" xfId="23120"/>
    <cellStyle name="20% - Accent6 3 9" xfId="23121"/>
    <cellStyle name="40% - Accent6 3 9" xfId="23122"/>
    <cellStyle name="Normal 5 17 6" xfId="23123"/>
    <cellStyle name="Note 2 3 7" xfId="23124"/>
    <cellStyle name="Comma 5 16 5" xfId="23125"/>
    <cellStyle name="Percent 5 16 5" xfId="23126"/>
    <cellStyle name="20% - Accent1 4 9" xfId="23127"/>
    <cellStyle name="40% - Accent1 4 9" xfId="23128"/>
    <cellStyle name="20% - Accent2 4 9" xfId="23129"/>
    <cellStyle name="40% - Accent2 4 9" xfId="23130"/>
    <cellStyle name="20% - Accent3 4 9" xfId="23131"/>
    <cellStyle name="40% - Accent3 4 9" xfId="23132"/>
    <cellStyle name="20% - Accent4 4 9" xfId="23133"/>
    <cellStyle name="40% - Accent4 4 9" xfId="23134"/>
    <cellStyle name="20% - Accent5 4 9" xfId="23135"/>
    <cellStyle name="40% - Accent5 4 9" xfId="23136"/>
    <cellStyle name="20% - Accent6 4 9" xfId="23137"/>
    <cellStyle name="40% - Accent6 4 9" xfId="23138"/>
    <cellStyle name="Normal 5 18 6" xfId="23139"/>
    <cellStyle name="Note 2 4 6" xfId="23140"/>
    <cellStyle name="Comma 5 17 5" xfId="23141"/>
    <cellStyle name="Percent 5 17 5" xfId="23142"/>
    <cellStyle name="20% - Accent1 5 10" xfId="23143"/>
    <cellStyle name="40% - Accent1 5 10" xfId="23144"/>
    <cellStyle name="20% - Accent2 5 10" xfId="23145"/>
    <cellStyle name="40% - Accent2 5 6" xfId="23146"/>
    <cellStyle name="20% - Accent3 5 10" xfId="23147"/>
    <cellStyle name="40% - Accent3 5 10" xfId="23148"/>
    <cellStyle name="20% - Accent4 5 10" xfId="23149"/>
    <cellStyle name="40% - Accent4 5 10" xfId="23150"/>
    <cellStyle name="20% - Accent5 5 6" xfId="23151"/>
    <cellStyle name="40% - Accent5 5 6" xfId="23152"/>
    <cellStyle name="20% - Accent6 5 6" xfId="23153"/>
    <cellStyle name="40% - Accent6 5 10" xfId="23154"/>
    <cellStyle name="Normal 5 19 6" xfId="23155"/>
    <cellStyle name="Note 2 5 5" xfId="23156"/>
    <cellStyle name="Comma 5 18 5" xfId="23157"/>
    <cellStyle name="Percent 5 18 5" xfId="23158"/>
    <cellStyle name="20% - Accent1 6 6" xfId="23159"/>
    <cellStyle name="40% - Accent1 6 6" xfId="23160"/>
    <cellStyle name="20% - Accent2 6 6" xfId="23161"/>
    <cellStyle name="40% - Accent2 6 5" xfId="23162"/>
    <cellStyle name="20% - Accent3 6 6" xfId="23163"/>
    <cellStyle name="40% - Accent3 6 6" xfId="23164"/>
    <cellStyle name="20% - Accent4 6 6" xfId="23165"/>
    <cellStyle name="40% - Accent4 6 6" xfId="23166"/>
    <cellStyle name="20% - Accent5 6 5" xfId="23167"/>
    <cellStyle name="40% - Accent5 6 5" xfId="23168"/>
    <cellStyle name="20% - Accent6 6 5" xfId="23169"/>
    <cellStyle name="40% - Accent6 6 6" xfId="23170"/>
    <cellStyle name="Normal 5 20 6" xfId="23171"/>
    <cellStyle name="Note 2 6 5" xfId="23172"/>
    <cellStyle name="Comma 5 19 5" xfId="23173"/>
    <cellStyle name="Percent 5 19 5" xfId="23174"/>
    <cellStyle name="20% - Accent1 7 5" xfId="23175"/>
    <cellStyle name="40% - Accent1 7 5" xfId="23176"/>
    <cellStyle name="20% - Accent2 7 5" xfId="23177"/>
    <cellStyle name="40% - Accent2 7 5" xfId="23178"/>
    <cellStyle name="20% - Accent3 7 5" xfId="23179"/>
    <cellStyle name="40% - Accent3 7 5" xfId="23180"/>
    <cellStyle name="20% - Accent4 7 5" xfId="23181"/>
    <cellStyle name="40% - Accent4 7 5" xfId="23182"/>
    <cellStyle name="20% - Accent5 7 5" xfId="23183"/>
    <cellStyle name="40% - Accent5 7 5" xfId="23184"/>
    <cellStyle name="20% - Accent6 7 5" xfId="23185"/>
    <cellStyle name="40% - Accent6 7 5" xfId="23186"/>
    <cellStyle name="Normal 5 21 6" xfId="23187"/>
    <cellStyle name="Note 2 7 5" xfId="23188"/>
    <cellStyle name="Comma 5 20 5" xfId="23189"/>
    <cellStyle name="Percent 5 20 5" xfId="23190"/>
    <cellStyle name="20% - Accent1 8 5" xfId="23191"/>
    <cellStyle name="40% - Accent1 8 5" xfId="23192"/>
    <cellStyle name="20% - Accent2 8 5" xfId="23193"/>
    <cellStyle name="40% - Accent2 8 5" xfId="23194"/>
    <cellStyle name="20% - Accent3 8 5" xfId="23195"/>
    <cellStyle name="40% - Accent3 8 5" xfId="23196"/>
    <cellStyle name="20% - Accent4 8 5" xfId="23197"/>
    <cellStyle name="40% - Accent4 8 5" xfId="23198"/>
    <cellStyle name="20% - Accent5 8 5" xfId="23199"/>
    <cellStyle name="40% - Accent5 8 5" xfId="23200"/>
    <cellStyle name="20% - Accent6 8 5" xfId="23201"/>
    <cellStyle name="40% - Accent6 8 5" xfId="23202"/>
    <cellStyle name="Normal 5 22 6" xfId="23203"/>
    <cellStyle name="Note 2 8 5" xfId="23204"/>
    <cellStyle name="Comma 5 21 5" xfId="23205"/>
    <cellStyle name="Percent 5 21 5" xfId="23206"/>
    <cellStyle name="20% - Accent1 9 5" xfId="23207"/>
    <cellStyle name="40% - Accent1 9 5" xfId="23208"/>
    <cellStyle name="20% - Accent2 9 5" xfId="23209"/>
    <cellStyle name="40% - Accent2 9 5" xfId="23210"/>
    <cellStyle name="20% - Accent3 9 5" xfId="23211"/>
    <cellStyle name="40% - Accent3 9 5" xfId="23212"/>
    <cellStyle name="20% - Accent4 9 5" xfId="23213"/>
    <cellStyle name="40% - Accent4 9 5" xfId="23214"/>
    <cellStyle name="20% - Accent5 9 5" xfId="23215"/>
    <cellStyle name="40% - Accent5 9 5" xfId="23216"/>
    <cellStyle name="20% - Accent6 9 5" xfId="23217"/>
    <cellStyle name="40% - Accent6 9 5" xfId="23218"/>
    <cellStyle name="Normal 5 23 6" xfId="23219"/>
    <cellStyle name="Note 2 9 5" xfId="23220"/>
    <cellStyle name="Comma 5 22 5" xfId="23221"/>
    <cellStyle name="Percent 5 22 5" xfId="23222"/>
    <cellStyle name="20% - Accent1 10 5" xfId="23223"/>
    <cellStyle name="40% - Accent1 10 5" xfId="23224"/>
    <cellStyle name="20% - Accent2 10 5" xfId="23225"/>
    <cellStyle name="40% - Accent2 10 5" xfId="23226"/>
    <cellStyle name="20% - Accent3 10 5" xfId="23227"/>
    <cellStyle name="40% - Accent3 10 5" xfId="23228"/>
    <cellStyle name="20% - Accent4 10 5" xfId="23229"/>
    <cellStyle name="40% - Accent4 10 5" xfId="23230"/>
    <cellStyle name="20% - Accent5 10 5" xfId="23231"/>
    <cellStyle name="40% - Accent5 10 5" xfId="23232"/>
    <cellStyle name="20% - Accent6 10 5" xfId="23233"/>
    <cellStyle name="40% - Accent6 10 5" xfId="23234"/>
    <cellStyle name="Normal 5 24 9" xfId="23235"/>
    <cellStyle name="Note 2 10 5" xfId="23236"/>
    <cellStyle name="Comma 5 23 5" xfId="23237"/>
    <cellStyle name="Percent 5 23 5" xfId="23238"/>
    <cellStyle name="20% - Accent1 11 5" xfId="23239"/>
    <cellStyle name="40% - Accent1 11 5" xfId="23240"/>
    <cellStyle name="20% - Accent2 11 5" xfId="23241"/>
    <cellStyle name="40% - Accent2 11 5" xfId="23242"/>
    <cellStyle name="20% - Accent3 11 5" xfId="23243"/>
    <cellStyle name="40% - Accent3 11 5" xfId="23244"/>
    <cellStyle name="20% - Accent4 11 5" xfId="23245"/>
    <cellStyle name="40% - Accent4 11 5" xfId="23246"/>
    <cellStyle name="20% - Accent5 11 5" xfId="23247"/>
    <cellStyle name="40% - Accent5 11 5" xfId="23248"/>
    <cellStyle name="20% - Accent6 11 5" xfId="23249"/>
    <cellStyle name="40% - Accent6 11 5" xfId="23250"/>
    <cellStyle name="Normal 5 25 6" xfId="23251"/>
    <cellStyle name="Note 2 11 5" xfId="23252"/>
    <cellStyle name="Comma 5 24 5" xfId="23253"/>
    <cellStyle name="Percent 5 24 5" xfId="23254"/>
    <cellStyle name="20% - Accent1 12 5" xfId="23255"/>
    <cellStyle name="40% - Accent1 12 5" xfId="23256"/>
    <cellStyle name="20% - Accent2 12 5" xfId="23257"/>
    <cellStyle name="40% - Accent2 12 5" xfId="23258"/>
    <cellStyle name="20% - Accent3 12 5" xfId="23259"/>
    <cellStyle name="40% - Accent3 12 5" xfId="23260"/>
    <cellStyle name="20% - Accent4 12 5" xfId="23261"/>
    <cellStyle name="40% - Accent4 12 5" xfId="23262"/>
    <cellStyle name="20% - Accent5 12 5" xfId="23263"/>
    <cellStyle name="40% - Accent5 12 5" xfId="23264"/>
    <cellStyle name="20% - Accent6 12 5" xfId="23265"/>
    <cellStyle name="40% - Accent6 12 5" xfId="23266"/>
    <cellStyle name="Normal 5 26 6" xfId="23267"/>
    <cellStyle name="Note 2 12 5" xfId="23268"/>
    <cellStyle name="Comma 5 25 5" xfId="23269"/>
    <cellStyle name="Percent 5 25 5" xfId="23270"/>
    <cellStyle name="20% - Accent1 13 5" xfId="23271"/>
    <cellStyle name="40% - Accent1 13 5" xfId="23272"/>
    <cellStyle name="20% - Accent2 13 5" xfId="23273"/>
    <cellStyle name="40% - Accent2 13 5" xfId="23274"/>
    <cellStyle name="20% - Accent3 13 5" xfId="23275"/>
    <cellStyle name="40% - Accent3 13 5" xfId="23276"/>
    <cellStyle name="20% - Accent4 13 5" xfId="23277"/>
    <cellStyle name="40% - Accent4 13 5" xfId="23278"/>
    <cellStyle name="20% - Accent5 13 5" xfId="23279"/>
    <cellStyle name="40% - Accent5 13 5" xfId="23280"/>
    <cellStyle name="20% - Accent6 13 5" xfId="23281"/>
    <cellStyle name="40% - Accent6 13 5" xfId="23282"/>
    <cellStyle name="Normal 5 27 6" xfId="23283"/>
    <cellStyle name="Note 2 13 5" xfId="23284"/>
    <cellStyle name="Comma 5 26 5" xfId="23285"/>
    <cellStyle name="Percent 5 26 5" xfId="23286"/>
    <cellStyle name="20% - Accent1 14 5" xfId="23287"/>
    <cellStyle name="40% - Accent1 14 5" xfId="23288"/>
    <cellStyle name="20% - Accent2 14 5" xfId="23289"/>
    <cellStyle name="40% - Accent2 14 5" xfId="23290"/>
    <cellStyle name="20% - Accent3 14 5" xfId="23291"/>
    <cellStyle name="40% - Accent3 14 5" xfId="23292"/>
    <cellStyle name="20% - Accent4 14 5" xfId="23293"/>
    <cellStyle name="40% - Accent4 14 5" xfId="23294"/>
    <cellStyle name="20% - Accent5 14 5" xfId="23295"/>
    <cellStyle name="40% - Accent5 14 5" xfId="23296"/>
    <cellStyle name="20% - Accent6 14 5" xfId="23297"/>
    <cellStyle name="40% - Accent6 14 5" xfId="23298"/>
    <cellStyle name="Normal 5 28 9" xfId="23299"/>
    <cellStyle name="Note 2 14 5" xfId="23300"/>
    <cellStyle name="Comma 5 27 5" xfId="23301"/>
    <cellStyle name="Percent 5 27 5" xfId="23302"/>
    <cellStyle name="20% - Accent1 15 5" xfId="23303"/>
    <cellStyle name="40% - Accent1 15 5" xfId="23304"/>
    <cellStyle name="20% - Accent2 15 5" xfId="23305"/>
    <cellStyle name="40% - Accent2 15 5" xfId="23306"/>
    <cellStyle name="20% - Accent3 15 5" xfId="23307"/>
    <cellStyle name="40% - Accent3 15 5" xfId="23308"/>
    <cellStyle name="20% - Accent4 15 5" xfId="23309"/>
    <cellStyle name="40% - Accent4 15 5" xfId="23310"/>
    <cellStyle name="20% - Accent5 15 5" xfId="23311"/>
    <cellStyle name="40% - Accent5 15 5" xfId="23312"/>
    <cellStyle name="20% - Accent6 15 5" xfId="23313"/>
    <cellStyle name="40% - Accent6 15 5" xfId="23314"/>
    <cellStyle name="Normal 5 29 6" xfId="23315"/>
    <cellStyle name="Note 2 15 5" xfId="23316"/>
    <cellStyle name="Comma 5 28 5" xfId="23317"/>
    <cellStyle name="Percent 5 28 5" xfId="23318"/>
    <cellStyle name="Comma 224" xfId="23319"/>
    <cellStyle name="Comma 225" xfId="23320"/>
    <cellStyle name="Comma 226" xfId="23321"/>
    <cellStyle name="Comma 228" xfId="23322"/>
    <cellStyle name="20% - Accent1 19" xfId="23323"/>
    <cellStyle name="40% - Accent1 19" xfId="23324"/>
    <cellStyle name="20% - Accent2 19" xfId="23325"/>
    <cellStyle name="40% - Accent2 19" xfId="23326"/>
    <cellStyle name="20% - Accent3 19" xfId="23327"/>
    <cellStyle name="40% - Accent3 19" xfId="23328"/>
    <cellStyle name="20% - Accent4 19" xfId="23329"/>
    <cellStyle name="40% - Accent4 19" xfId="23330"/>
    <cellStyle name="20% - Accent5 19" xfId="23331"/>
    <cellStyle name="40% - Accent5 19" xfId="23332"/>
    <cellStyle name="20% - Accent6 19" xfId="23333"/>
    <cellStyle name="40% - Accent6 19" xfId="23334"/>
    <cellStyle name="Normal 60" xfId="23335"/>
    <cellStyle name="Comma 227" xfId="23336"/>
    <cellStyle name="Currency 189" xfId="23337"/>
    <cellStyle name="Percent 198" xfId="23338"/>
    <cellStyle name="Comma 3 33" xfId="23339"/>
    <cellStyle name="Percent 3 34" xfId="23340"/>
    <cellStyle name="Currency 3 34" xfId="23341"/>
    <cellStyle name="Normal 3 3 14" xfId="23342"/>
    <cellStyle name="Comma 2 3 11" xfId="23343"/>
    <cellStyle name="Percent 2 3 10" xfId="23344"/>
    <cellStyle name="Normal 10 2 8" xfId="23345"/>
    <cellStyle name="Comma 4 33" xfId="23346"/>
    <cellStyle name="Comma 5 33" xfId="23347"/>
    <cellStyle name="Comma 6 17" xfId="23348"/>
    <cellStyle name="Comma 7 12" xfId="23349"/>
    <cellStyle name="Comma 8 10" xfId="23350"/>
    <cellStyle name="Comma 10 10" xfId="23351"/>
    <cellStyle name="Comma 9 11" xfId="23352"/>
    <cellStyle name="Comma 11 11" xfId="23353"/>
    <cellStyle name="Comma 14 7" xfId="23354"/>
    <cellStyle name="Comma 12 8" xfId="23355"/>
    <cellStyle name="Comma 13 7" xfId="23356"/>
    <cellStyle name="Comma 15 7" xfId="23357"/>
    <cellStyle name="Comma 16 7" xfId="23358"/>
    <cellStyle name="Comma 17 7" xfId="23359"/>
    <cellStyle name="Comma 22 7" xfId="23360"/>
    <cellStyle name="Comma 18 7" xfId="23361"/>
    <cellStyle name="Comma 19 7" xfId="23362"/>
    <cellStyle name="Comma 20 7" xfId="23363"/>
    <cellStyle name="Comma 21 7" xfId="23364"/>
    <cellStyle name="Comma 23 7" xfId="23365"/>
    <cellStyle name="Normal 5 3 11" xfId="23366"/>
    <cellStyle name="Note 2 20" xfId="23367"/>
    <cellStyle name="Comma 5 2 14" xfId="23368"/>
    <cellStyle name="Percent 5 2 15" xfId="23369"/>
    <cellStyle name="Normal 5 4 11" xfId="23370"/>
    <cellStyle name="Comma 5 3 12" xfId="23371"/>
    <cellStyle name="Percent 5 3 13" xfId="23372"/>
    <cellStyle name="Normal 5 5 11" xfId="23373"/>
    <cellStyle name="Comma 5 4 7" xfId="23374"/>
    <cellStyle name="Percent 5 4 10" xfId="23375"/>
    <cellStyle name="Normal 5 6 11" xfId="23376"/>
    <cellStyle name="Comma 5 5 8" xfId="23377"/>
    <cellStyle name="Percent 5 5 7" xfId="23378"/>
    <cellStyle name="Normal 5 7 11" xfId="23379"/>
    <cellStyle name="Comma 5 6 7" xfId="23380"/>
    <cellStyle name="Percent 5 6 9" xfId="23381"/>
    <cellStyle name="Normal 5 8 7" xfId="23382"/>
    <cellStyle name="Comma 5 7 10" xfId="23383"/>
    <cellStyle name="Percent 5 7 8" xfId="23384"/>
    <cellStyle name="Normal 5 9 7" xfId="23385"/>
    <cellStyle name="Comma 5 8 7" xfId="23386"/>
    <cellStyle name="Percent 5 8 7" xfId="23387"/>
    <cellStyle name="Normal 5 10 7" xfId="23388"/>
    <cellStyle name="Comma 5 9 9" xfId="23389"/>
    <cellStyle name="Percent 5 9 7" xfId="23390"/>
    <cellStyle name="Normal 5 11 7" xfId="23391"/>
    <cellStyle name="Comma 5 10 8" xfId="23392"/>
    <cellStyle name="Percent 5 10 6" xfId="23393"/>
    <cellStyle name="Normal 5 12 7" xfId="23394"/>
    <cellStyle name="Comma 5 11 7" xfId="23395"/>
    <cellStyle name="Percent 5 11 6" xfId="23396"/>
    <cellStyle name="Normal 5 13 7" xfId="23397"/>
    <cellStyle name="Comma 5 12 6" xfId="23398"/>
    <cellStyle name="Percent 5 12 6" xfId="23399"/>
    <cellStyle name="Normal 5 14 7" xfId="23400"/>
    <cellStyle name="Comma 5 13 6" xfId="23401"/>
    <cellStyle name="Percent 5 13 6" xfId="23402"/>
    <cellStyle name="Normal 5 15 7" xfId="23403"/>
    <cellStyle name="Comma 5 14 6" xfId="23404"/>
    <cellStyle name="Percent 5 14 6" xfId="23405"/>
    <cellStyle name="20% - Accent1 2 10" xfId="23406"/>
    <cellStyle name="40% - Accent1 2 10" xfId="23407"/>
    <cellStyle name="20% - Accent2 2 10" xfId="23408"/>
    <cellStyle name="40% - Accent2 2 10" xfId="23409"/>
    <cellStyle name="20% - Accent3 2 10" xfId="23410"/>
    <cellStyle name="40% - Accent3 2 10" xfId="23411"/>
    <cellStyle name="20% - Accent4 2 10" xfId="23412"/>
    <cellStyle name="40% - Accent4 2 10" xfId="23413"/>
    <cellStyle name="20% - Accent5 2 10" xfId="23414"/>
    <cellStyle name="40% - Accent5 2 10" xfId="23415"/>
    <cellStyle name="20% - Accent6 2 10" xfId="23416"/>
    <cellStyle name="40% - Accent6 2 10" xfId="23417"/>
    <cellStyle name="Normal 5 16 7" xfId="23418"/>
    <cellStyle name="Note 2 2 9" xfId="23419"/>
    <cellStyle name="Comma 5 15 6" xfId="23420"/>
    <cellStyle name="Percent 5 15 6" xfId="23421"/>
    <cellStyle name="20% - Accent1 3 10" xfId="23422"/>
    <cellStyle name="40% - Accent1 3 10" xfId="23423"/>
    <cellStyle name="20% - Accent2 3 10" xfId="23424"/>
    <cellStyle name="40% - Accent2 3 10" xfId="23425"/>
    <cellStyle name="20% - Accent3 3 10" xfId="23426"/>
    <cellStyle name="40% - Accent3 3 10" xfId="23427"/>
    <cellStyle name="20% - Accent4 3 10" xfId="23428"/>
    <cellStyle name="40% - Accent4 3 10" xfId="23429"/>
    <cellStyle name="20% - Accent5 3 10" xfId="23430"/>
    <cellStyle name="40% - Accent5 3 10" xfId="23431"/>
    <cellStyle name="20% - Accent6 3 10" xfId="23432"/>
    <cellStyle name="40% - Accent6 3 10" xfId="23433"/>
    <cellStyle name="Normal 5 17 7" xfId="23434"/>
    <cellStyle name="Note 2 3 8" xfId="23435"/>
    <cellStyle name="Comma 5 16 6" xfId="23436"/>
    <cellStyle name="Percent 5 16 6" xfId="23437"/>
    <cellStyle name="20% - Accent1 4 10" xfId="23438"/>
    <cellStyle name="40% - Accent1 4 10" xfId="23439"/>
    <cellStyle name="20% - Accent2 4 10" xfId="23440"/>
    <cellStyle name="40% - Accent2 4 10" xfId="23441"/>
    <cellStyle name="20% - Accent3 4 10" xfId="23442"/>
    <cellStyle name="40% - Accent3 4 10" xfId="23443"/>
    <cellStyle name="20% - Accent4 4 10" xfId="23444"/>
    <cellStyle name="40% - Accent4 4 10" xfId="23445"/>
    <cellStyle name="20% - Accent5 4 10" xfId="23446"/>
    <cellStyle name="40% - Accent5 4 10" xfId="23447"/>
    <cellStyle name="20% - Accent6 4 10" xfId="23448"/>
    <cellStyle name="40% - Accent6 4 10" xfId="23449"/>
    <cellStyle name="Normal 5 18 7" xfId="23450"/>
    <cellStyle name="Note 2 4 7" xfId="23451"/>
    <cellStyle name="Comma 5 17 6" xfId="23452"/>
    <cellStyle name="Percent 5 17 6" xfId="23453"/>
    <cellStyle name="20% - Accent1 5 11" xfId="23454"/>
    <cellStyle name="40% - Accent1 5 11" xfId="23455"/>
    <cellStyle name="20% - Accent2 5 11" xfId="23456"/>
    <cellStyle name="40% - Accent2 5 7" xfId="23457"/>
    <cellStyle name="20% - Accent3 5 11" xfId="23458"/>
    <cellStyle name="40% - Accent3 5 11" xfId="23459"/>
    <cellStyle name="20% - Accent4 5 11" xfId="23460"/>
    <cellStyle name="40% - Accent4 5 11" xfId="23461"/>
    <cellStyle name="20% - Accent5 5 7" xfId="23462"/>
    <cellStyle name="40% - Accent5 5 7" xfId="23463"/>
    <cellStyle name="20% - Accent6 5 7" xfId="23464"/>
    <cellStyle name="40% - Accent6 5 11" xfId="23465"/>
    <cellStyle name="Normal 5 19 7" xfId="23466"/>
    <cellStyle name="Note 2 5 6" xfId="23467"/>
    <cellStyle name="Comma 5 18 6" xfId="23468"/>
    <cellStyle name="Percent 5 18 6" xfId="23469"/>
    <cellStyle name="20% - Accent1 6 7" xfId="23470"/>
    <cellStyle name="40% - Accent1 6 7" xfId="23471"/>
    <cellStyle name="20% - Accent2 6 7" xfId="23472"/>
    <cellStyle name="40% - Accent2 6 6" xfId="23473"/>
    <cellStyle name="20% - Accent3 6 7" xfId="23474"/>
    <cellStyle name="40% - Accent3 6 7" xfId="23475"/>
    <cellStyle name="20% - Accent4 6 7" xfId="23476"/>
    <cellStyle name="40% - Accent4 6 7" xfId="23477"/>
    <cellStyle name="20% - Accent5 6 6" xfId="23478"/>
    <cellStyle name="40% - Accent5 6 6" xfId="23479"/>
    <cellStyle name="20% - Accent6 6 6" xfId="23480"/>
    <cellStyle name="40% - Accent6 6 7" xfId="23481"/>
    <cellStyle name="Normal 5 20 7" xfId="23482"/>
    <cellStyle name="Note 2 6 6" xfId="23483"/>
    <cellStyle name="Comma 5 19 6" xfId="23484"/>
    <cellStyle name="Percent 5 19 6" xfId="23485"/>
    <cellStyle name="20% - Accent1 7 6" xfId="23486"/>
    <cellStyle name="40% - Accent1 7 6" xfId="23487"/>
    <cellStyle name="20% - Accent2 7 6" xfId="23488"/>
    <cellStyle name="40% - Accent2 7 6" xfId="23489"/>
    <cellStyle name="20% - Accent3 7 6" xfId="23490"/>
    <cellStyle name="40% - Accent3 7 6" xfId="23491"/>
    <cellStyle name="20% - Accent4 7 6" xfId="23492"/>
    <cellStyle name="40% - Accent4 7 6" xfId="23493"/>
    <cellStyle name="20% - Accent5 7 6" xfId="23494"/>
    <cellStyle name="40% - Accent5 7 6" xfId="23495"/>
    <cellStyle name="20% - Accent6 7 6" xfId="23496"/>
    <cellStyle name="40% - Accent6 7 6" xfId="23497"/>
    <cellStyle name="Normal 5 21 7" xfId="23498"/>
    <cellStyle name="Note 2 7 6" xfId="23499"/>
    <cellStyle name="Comma 5 20 6" xfId="23500"/>
    <cellStyle name="Percent 5 20 6" xfId="23501"/>
    <cellStyle name="20% - Accent1 8 6" xfId="23502"/>
    <cellStyle name="40% - Accent1 8 6" xfId="23503"/>
    <cellStyle name="20% - Accent2 8 6" xfId="23504"/>
    <cellStyle name="40% - Accent2 8 6" xfId="23505"/>
    <cellStyle name="20% - Accent3 8 6" xfId="23506"/>
    <cellStyle name="40% - Accent3 8 6" xfId="23507"/>
    <cellStyle name="20% - Accent4 8 6" xfId="23508"/>
    <cellStyle name="40% - Accent4 8 6" xfId="23509"/>
    <cellStyle name="20% - Accent5 8 6" xfId="23510"/>
    <cellStyle name="40% - Accent5 8 6" xfId="23511"/>
    <cellStyle name="20% - Accent6 8 6" xfId="23512"/>
    <cellStyle name="40% - Accent6 8 6" xfId="23513"/>
    <cellStyle name="Normal 5 22 7" xfId="23514"/>
    <cellStyle name="Note 2 8 6" xfId="23515"/>
    <cellStyle name="Comma 5 21 6" xfId="23516"/>
    <cellStyle name="Percent 5 21 6" xfId="23517"/>
    <cellStyle name="20% - Accent1 9 6" xfId="23518"/>
    <cellStyle name="40% - Accent1 9 6" xfId="23519"/>
    <cellStyle name="20% - Accent2 9 6" xfId="23520"/>
    <cellStyle name="40% - Accent2 9 6" xfId="23521"/>
    <cellStyle name="20% - Accent3 9 6" xfId="23522"/>
    <cellStyle name="40% - Accent3 9 6" xfId="23523"/>
    <cellStyle name="20% - Accent4 9 6" xfId="23524"/>
    <cellStyle name="40% - Accent4 9 6" xfId="23525"/>
    <cellStyle name="20% - Accent5 9 6" xfId="23526"/>
    <cellStyle name="40% - Accent5 9 6" xfId="23527"/>
    <cellStyle name="20% - Accent6 9 6" xfId="23528"/>
    <cellStyle name="40% - Accent6 9 6" xfId="23529"/>
    <cellStyle name="Normal 5 23 7" xfId="23530"/>
    <cellStyle name="Note 2 9 6" xfId="23531"/>
    <cellStyle name="Comma 5 22 6" xfId="23532"/>
    <cellStyle name="Percent 5 22 6" xfId="23533"/>
    <cellStyle name="20% - Accent1 10 6" xfId="23534"/>
    <cellStyle name="40% - Accent1 10 6" xfId="23535"/>
    <cellStyle name="20% - Accent2 10 6" xfId="23536"/>
    <cellStyle name="40% - Accent2 10 6" xfId="23537"/>
    <cellStyle name="20% - Accent3 10 6" xfId="23538"/>
    <cellStyle name="40% - Accent3 10 6" xfId="23539"/>
    <cellStyle name="20% - Accent4 10 6" xfId="23540"/>
    <cellStyle name="40% - Accent4 10 6" xfId="23541"/>
    <cellStyle name="20% - Accent5 10 6" xfId="23542"/>
    <cellStyle name="40% - Accent5 10 6" xfId="23543"/>
    <cellStyle name="20% - Accent6 10 6" xfId="23544"/>
    <cellStyle name="40% - Accent6 10 6" xfId="23545"/>
    <cellStyle name="Normal 5 24 10" xfId="23546"/>
    <cellStyle name="Note 2 10 6" xfId="23547"/>
    <cellStyle name="Comma 5 23 6" xfId="23548"/>
    <cellStyle name="Percent 5 23 6" xfId="23549"/>
    <cellStyle name="20% - Accent1 11 6" xfId="23550"/>
    <cellStyle name="40% - Accent1 11 6" xfId="23551"/>
    <cellStyle name="20% - Accent2 11 6" xfId="23552"/>
    <cellStyle name="40% - Accent2 11 6" xfId="23553"/>
    <cellStyle name="20% - Accent3 11 6" xfId="23554"/>
    <cellStyle name="40% - Accent3 11 6" xfId="23555"/>
    <cellStyle name="20% - Accent4 11 6" xfId="23556"/>
    <cellStyle name="40% - Accent4 11 6" xfId="23557"/>
    <cellStyle name="20% - Accent5 11 6" xfId="23558"/>
    <cellStyle name="40% - Accent5 11 6" xfId="23559"/>
    <cellStyle name="20% - Accent6 11 6" xfId="23560"/>
    <cellStyle name="40% - Accent6 11 6" xfId="23561"/>
    <cellStyle name="Normal 5 25 7" xfId="23562"/>
    <cellStyle name="Note 2 11 6" xfId="23563"/>
    <cellStyle name="Comma 5 24 6" xfId="23564"/>
    <cellStyle name="Percent 5 24 6" xfId="23565"/>
    <cellStyle name="20% - Accent1 12 6" xfId="23566"/>
    <cellStyle name="40% - Accent1 12 6" xfId="23567"/>
    <cellStyle name="20% - Accent2 12 6" xfId="23568"/>
    <cellStyle name="40% - Accent2 12 6" xfId="23569"/>
    <cellStyle name="20% - Accent3 12 6" xfId="23570"/>
    <cellStyle name="40% - Accent3 12 6" xfId="23571"/>
    <cellStyle name="20% - Accent4 12 6" xfId="23572"/>
    <cellStyle name="40% - Accent4 12 6" xfId="23573"/>
    <cellStyle name="20% - Accent5 12 6" xfId="23574"/>
    <cellStyle name="40% - Accent5 12 6" xfId="23575"/>
    <cellStyle name="20% - Accent6 12 6" xfId="23576"/>
    <cellStyle name="40% - Accent6 12 6" xfId="23577"/>
    <cellStyle name="Normal 5 26 7" xfId="23578"/>
    <cellStyle name="Note 2 12 6" xfId="23579"/>
    <cellStyle name="Comma 5 25 6" xfId="23580"/>
    <cellStyle name="Percent 5 25 6" xfId="23581"/>
    <cellStyle name="20% - Accent1 13 6" xfId="23582"/>
    <cellStyle name="40% - Accent1 13 6" xfId="23583"/>
    <cellStyle name="20% - Accent2 13 6" xfId="23584"/>
    <cellStyle name="40% - Accent2 13 6" xfId="23585"/>
    <cellStyle name="20% - Accent3 13 6" xfId="23586"/>
    <cellStyle name="40% - Accent3 13 6" xfId="23587"/>
    <cellStyle name="20% - Accent4 13 6" xfId="23588"/>
    <cellStyle name="40% - Accent4 13 6" xfId="23589"/>
    <cellStyle name="20% - Accent5 13 6" xfId="23590"/>
    <cellStyle name="40% - Accent5 13 6" xfId="23591"/>
    <cellStyle name="20% - Accent6 13 6" xfId="23592"/>
    <cellStyle name="40% - Accent6 13 6" xfId="23593"/>
    <cellStyle name="Normal 5 27 7" xfId="23594"/>
    <cellStyle name="Note 2 13 6" xfId="23595"/>
    <cellStyle name="Comma 5 26 6" xfId="23596"/>
    <cellStyle name="Percent 5 26 6" xfId="23597"/>
    <cellStyle name="20% - Accent1 14 6" xfId="23598"/>
    <cellStyle name="40% - Accent1 14 6" xfId="23599"/>
    <cellStyle name="20% - Accent2 14 6" xfId="23600"/>
    <cellStyle name="40% - Accent2 14 6" xfId="23601"/>
    <cellStyle name="20% - Accent3 14 6" xfId="23602"/>
    <cellStyle name="40% - Accent3 14 6" xfId="23603"/>
    <cellStyle name="20% - Accent4 14 6" xfId="23604"/>
    <cellStyle name="40% - Accent4 14 6" xfId="23605"/>
    <cellStyle name="20% - Accent5 14 6" xfId="23606"/>
    <cellStyle name="40% - Accent5 14 6" xfId="23607"/>
    <cellStyle name="20% - Accent6 14 6" xfId="23608"/>
    <cellStyle name="40% - Accent6 14 6" xfId="23609"/>
    <cellStyle name="Normal 5 28 10" xfId="23610"/>
    <cellStyle name="Note 2 14 6" xfId="23611"/>
    <cellStyle name="Comma 5 27 6" xfId="23612"/>
    <cellStyle name="Percent 5 27 6" xfId="23613"/>
    <cellStyle name="20% - Accent1 15 6" xfId="23614"/>
    <cellStyle name="40% - Accent1 15 6" xfId="23615"/>
    <cellStyle name="20% - Accent2 15 6" xfId="23616"/>
    <cellStyle name="40% - Accent2 15 6" xfId="23617"/>
    <cellStyle name="20% - Accent3 15 6" xfId="23618"/>
    <cellStyle name="40% - Accent3 15 6" xfId="23619"/>
    <cellStyle name="20% - Accent4 15 6" xfId="23620"/>
    <cellStyle name="40% - Accent4 15 6" xfId="23621"/>
    <cellStyle name="20% - Accent5 15 6" xfId="23622"/>
    <cellStyle name="40% - Accent5 15 6" xfId="23623"/>
    <cellStyle name="20% - Accent6 15 6" xfId="23624"/>
    <cellStyle name="40% - Accent6 15 6" xfId="23625"/>
    <cellStyle name="Normal 5 29 7" xfId="23626"/>
    <cellStyle name="Note 2 15 6" xfId="23627"/>
    <cellStyle name="Comma 5 28 6" xfId="23628"/>
    <cellStyle name="Percent 5 28 6" xfId="23629"/>
    <cellStyle name="Comma 3 30 2" xfId="23630"/>
    <cellStyle name="Percent 3 31 2" xfId="23631"/>
    <cellStyle name="Currency 3 30 2" xfId="23632"/>
    <cellStyle name="20% - Accent1 16 2" xfId="23633"/>
    <cellStyle name="40% - Accent1 16 2" xfId="23634"/>
    <cellStyle name="20% - Accent2 16 2" xfId="23635"/>
    <cellStyle name="40% - Accent2 16 2" xfId="23636"/>
    <cellStyle name="20% - Accent3 16 2" xfId="23637"/>
    <cellStyle name="40% - Accent3 16 2" xfId="23638"/>
    <cellStyle name="20% - Accent4 16 2" xfId="23639"/>
    <cellStyle name="40% - Accent4 16 2" xfId="23640"/>
    <cellStyle name="20% - Accent5 16 2" xfId="23641"/>
    <cellStyle name="40% - Accent5 16 2" xfId="23642"/>
    <cellStyle name="20% - Accent6 16 2" xfId="23643"/>
    <cellStyle name="40% - Accent6 16 2" xfId="23644"/>
    <cellStyle name="Normal 3 3 2 8" xfId="23645"/>
    <cellStyle name="Comma 2 3 2 3" xfId="23646"/>
    <cellStyle name="Percent 2 3 2 3" xfId="23647"/>
    <cellStyle name="Normal 10 2 2 4" xfId="23648"/>
    <cellStyle name="Comma 4 29 2" xfId="23649"/>
    <cellStyle name="Comma 5 29 2" xfId="23650"/>
    <cellStyle name="Comma 6 2 12" xfId="23651"/>
    <cellStyle name="Comma 7 2 3" xfId="23652"/>
    <cellStyle name="Comma 8 2 5" xfId="23653"/>
    <cellStyle name="Comma 10 2 5" xfId="23654"/>
    <cellStyle name="Comma 9 2 5" xfId="23655"/>
    <cellStyle name="Comma 11 2 3" xfId="23656"/>
    <cellStyle name="Comma 14 2 2" xfId="23657"/>
    <cellStyle name="Comma 12 2 5" xfId="23658"/>
    <cellStyle name="Comma 13 2 5" xfId="23659"/>
    <cellStyle name="Comma 15 2 3" xfId="23660"/>
    <cellStyle name="Comma 16 2 2" xfId="23661"/>
    <cellStyle name="Comma 17 2 2" xfId="23662"/>
    <cellStyle name="Comma 22 2 2" xfId="23663"/>
    <cellStyle name="Comma 18 2 2" xfId="23664"/>
    <cellStyle name="Comma 19 2 2" xfId="23665"/>
    <cellStyle name="Comma 20 2 2" xfId="23666"/>
    <cellStyle name="Comma 21 2 2" xfId="23667"/>
    <cellStyle name="Comma 23 2 2" xfId="23668"/>
    <cellStyle name="Normal 5 3 2 3" xfId="23669"/>
    <cellStyle name="Note 2 16 2" xfId="23670"/>
    <cellStyle name="Comma 5 2 2 10" xfId="23671"/>
    <cellStyle name="Percent 5 2 2 11" xfId="23672"/>
    <cellStyle name="Normal 5 4 2 3" xfId="23673"/>
    <cellStyle name="Comma 5 3 2 8" xfId="23674"/>
    <cellStyle name="Percent 5 3 2 8" xfId="23675"/>
    <cellStyle name="Normal 5 5 2 3" xfId="23676"/>
    <cellStyle name="Comma 5 4 2 2" xfId="23677"/>
    <cellStyle name="Percent 5 4 2 7" xfId="23678"/>
    <cellStyle name="Normal 5 6 2 3" xfId="23679"/>
    <cellStyle name="Comma 5 5 2 3" xfId="23680"/>
    <cellStyle name="Percent 5 5 2 2" xfId="23681"/>
    <cellStyle name="Normal 5 7 2 3" xfId="23682"/>
    <cellStyle name="Comma 5 6 2 2" xfId="23683"/>
    <cellStyle name="Percent 5 6 2 6" xfId="23684"/>
    <cellStyle name="Normal 5 8 2 2" xfId="23685"/>
    <cellStyle name="Comma 5 7 2 7" xfId="23686"/>
    <cellStyle name="Percent 5 7 2 5" xfId="23687"/>
    <cellStyle name="Normal 5 9 2 2" xfId="23688"/>
    <cellStyle name="Comma 5 8 2 2" xfId="23689"/>
    <cellStyle name="Percent 5 8 2 3" xfId="23690"/>
    <cellStyle name="Normal 5 10 2 2" xfId="23691"/>
    <cellStyle name="Comma 5 9 2 6" xfId="23692"/>
    <cellStyle name="Percent 5 9 2 3" xfId="23693"/>
    <cellStyle name="Normal 5 11 2 2" xfId="23694"/>
    <cellStyle name="Comma 5 10 2 5" xfId="23695"/>
    <cellStyle name="Percent 5 10 2 2" xfId="23696"/>
    <cellStyle name="Normal 5 12 2 2" xfId="23697"/>
    <cellStyle name="Comma 5 11 2 3" xfId="23698"/>
    <cellStyle name="Percent 5 11 2 2" xfId="23699"/>
    <cellStyle name="Normal 5 13 2 2" xfId="23700"/>
    <cellStyle name="Comma 5 12 2 2" xfId="23701"/>
    <cellStyle name="Percent 5 12 2 2" xfId="23702"/>
    <cellStyle name="Normal 5 14 2 2" xfId="23703"/>
    <cellStyle name="Comma 5 13 2 2" xfId="23704"/>
    <cellStyle name="Percent 5 13 2 2" xfId="23705"/>
    <cellStyle name="Normal 5 15 2 2" xfId="23706"/>
    <cellStyle name="Comma 5 14 2 2" xfId="23707"/>
    <cellStyle name="Percent 5 14 2 2" xfId="23708"/>
    <cellStyle name="20% - Accent1 2 2 7" xfId="23709"/>
    <cellStyle name="40% - Accent1 2 2 7" xfId="23710"/>
    <cellStyle name="20% - Accent2 2 2 7" xfId="23711"/>
    <cellStyle name="40% - Accent2 2 2 7" xfId="23712"/>
    <cellStyle name="20% - Accent3 2 2 7" xfId="23713"/>
    <cellStyle name="40% - Accent3 2 2 7" xfId="23714"/>
    <cellStyle name="20% - Accent4 2 2 7" xfId="23715"/>
    <cellStyle name="40% - Accent4 2 2 7" xfId="23716"/>
    <cellStyle name="20% - Accent5 2 2 7" xfId="23717"/>
    <cellStyle name="40% - Accent5 2 2 7" xfId="23718"/>
    <cellStyle name="20% - Accent6 2 2 7" xfId="23719"/>
    <cellStyle name="40% - Accent6 2 2 7" xfId="23720"/>
    <cellStyle name="Normal 5 16 2 2" xfId="23721"/>
    <cellStyle name="Note 2 2 2 6" xfId="23722"/>
    <cellStyle name="Comma 5 15 2 2" xfId="23723"/>
    <cellStyle name="Percent 5 15 2 2" xfId="23724"/>
    <cellStyle name="20% - Accent1 3 2 7" xfId="23725"/>
    <cellStyle name="40% - Accent1 3 2 7" xfId="23726"/>
    <cellStyle name="20% - Accent2 3 2 7" xfId="23727"/>
    <cellStyle name="40% - Accent2 3 2 7" xfId="23728"/>
    <cellStyle name="20% - Accent3 3 2 7" xfId="23729"/>
    <cellStyle name="40% - Accent3 3 2 7" xfId="23730"/>
    <cellStyle name="20% - Accent4 3 2 7" xfId="23731"/>
    <cellStyle name="40% - Accent4 3 2 7" xfId="23732"/>
    <cellStyle name="20% - Accent5 3 2 7" xfId="23733"/>
    <cellStyle name="40% - Accent5 3 2 7" xfId="23734"/>
    <cellStyle name="20% - Accent6 3 2 7" xfId="23735"/>
    <cellStyle name="40% - Accent6 3 2 7" xfId="23736"/>
    <cellStyle name="Normal 5 17 2 2" xfId="23737"/>
    <cellStyle name="Note 2 3 2 5" xfId="23738"/>
    <cellStyle name="Comma 5 16 2 2" xfId="23739"/>
    <cellStyle name="Percent 5 16 2 2" xfId="23740"/>
    <cellStyle name="20% - Accent1 4 2 7" xfId="23741"/>
    <cellStyle name="40% - Accent1 4 2 7" xfId="23742"/>
    <cellStyle name="20% - Accent2 4 2 7" xfId="23743"/>
    <cellStyle name="40% - Accent2 4 2 7" xfId="23744"/>
    <cellStyle name="20% - Accent3 4 2 7" xfId="23745"/>
    <cellStyle name="40% - Accent3 4 2 7" xfId="23746"/>
    <cellStyle name="20% - Accent4 4 2 7" xfId="23747"/>
    <cellStyle name="40% - Accent4 4 2 7" xfId="23748"/>
    <cellStyle name="20% - Accent5 4 2 7" xfId="23749"/>
    <cellStyle name="40% - Accent5 4 2 7" xfId="23750"/>
    <cellStyle name="20% - Accent6 4 2 7" xfId="23751"/>
    <cellStyle name="40% - Accent6 4 2 7" xfId="23752"/>
    <cellStyle name="Normal 5 18 2 2" xfId="23753"/>
    <cellStyle name="Note 2 4 2 3" xfId="23754"/>
    <cellStyle name="Comma 5 17 2 2" xfId="23755"/>
    <cellStyle name="Percent 5 17 2 2" xfId="23756"/>
    <cellStyle name="20% - Accent1 5 2 7" xfId="23757"/>
    <cellStyle name="40% - Accent1 5 2 7" xfId="23758"/>
    <cellStyle name="20% - Accent2 5 2 7" xfId="23759"/>
    <cellStyle name="40% - Accent2 5 2 2" xfId="23760"/>
    <cellStyle name="20% - Accent3 5 2 7" xfId="23761"/>
    <cellStyle name="40% - Accent3 5 2 7" xfId="23762"/>
    <cellStyle name="20% - Accent4 5 2 7" xfId="23763"/>
    <cellStyle name="40% - Accent4 5 2 7" xfId="23764"/>
    <cellStyle name="20% - Accent5 5 2 2" xfId="23765"/>
    <cellStyle name="40% - Accent5 5 2 2" xfId="23766"/>
    <cellStyle name="20% - Accent6 5 2 2" xfId="23767"/>
    <cellStyle name="40% - Accent6 5 2 7" xfId="23768"/>
    <cellStyle name="Normal 5 19 2 2" xfId="23769"/>
    <cellStyle name="Note 2 5 2 2" xfId="23770"/>
    <cellStyle name="Comma 5 18 2 2" xfId="23771"/>
    <cellStyle name="Percent 5 18 2 2" xfId="23772"/>
    <cellStyle name="20% - Accent1 6 2 2" xfId="23773"/>
    <cellStyle name="40% - Accent1 6 2 2" xfId="23774"/>
    <cellStyle name="20% - Accent2 6 2 2" xfId="23775"/>
    <cellStyle name="40% - Accent2 6 2 2" xfId="23776"/>
    <cellStyle name="20% - Accent3 6 2 2" xfId="23777"/>
    <cellStyle name="40% - Accent3 6 2 2" xfId="23778"/>
    <cellStyle name="20% - Accent4 6 2 2" xfId="23779"/>
    <cellStyle name="40% - Accent4 6 2 2" xfId="23780"/>
    <cellStyle name="20% - Accent5 6 2 2" xfId="23781"/>
    <cellStyle name="40% - Accent5 6 2 2" xfId="23782"/>
    <cellStyle name="20% - Accent6 6 2 2" xfId="23783"/>
    <cellStyle name="40% - Accent6 6 2 2" xfId="23784"/>
    <cellStyle name="Normal 5 20 2 2" xfId="23785"/>
    <cellStyle name="Note 2 6 2 2" xfId="23786"/>
    <cellStyle name="Comma 5 19 2 2" xfId="23787"/>
    <cellStyle name="Percent 5 19 2 2" xfId="23788"/>
    <cellStyle name="20% - Accent1 7 2 2" xfId="23789"/>
    <cellStyle name="40% - Accent1 7 2 2" xfId="23790"/>
    <cellStyle name="20% - Accent2 7 2 2" xfId="23791"/>
    <cellStyle name="40% - Accent2 7 2 2" xfId="23792"/>
    <cellStyle name="20% - Accent3 7 2 2" xfId="23793"/>
    <cellStyle name="40% - Accent3 7 2 2" xfId="23794"/>
    <cellStyle name="20% - Accent4 7 2 2" xfId="23795"/>
    <cellStyle name="40% - Accent4 7 2 2" xfId="23796"/>
    <cellStyle name="20% - Accent5 7 2 2" xfId="23797"/>
    <cellStyle name="40% - Accent5 7 2 2" xfId="23798"/>
    <cellStyle name="20% - Accent6 7 2 2" xfId="23799"/>
    <cellStyle name="40% - Accent6 7 2 2" xfId="23800"/>
    <cellStyle name="Normal 5 21 2 2" xfId="23801"/>
    <cellStyle name="Note 2 7 2 2" xfId="23802"/>
    <cellStyle name="Comma 5 20 2 2" xfId="23803"/>
    <cellStyle name="Percent 5 20 2 2" xfId="23804"/>
    <cellStyle name="20% - Accent1 8 2 2" xfId="23805"/>
    <cellStyle name="40% - Accent1 8 2 2" xfId="23806"/>
    <cellStyle name="20% - Accent2 8 2 2" xfId="23807"/>
    <cellStyle name="40% - Accent2 8 2 2" xfId="23808"/>
    <cellStyle name="20% - Accent3 8 2 2" xfId="23809"/>
    <cellStyle name="40% - Accent3 8 2 2" xfId="23810"/>
    <cellStyle name="20% - Accent4 8 2 2" xfId="23811"/>
    <cellStyle name="40% - Accent4 8 2 2" xfId="23812"/>
    <cellStyle name="20% - Accent5 8 2 2" xfId="23813"/>
    <cellStyle name="40% - Accent5 8 2 2" xfId="23814"/>
    <cellStyle name="20% - Accent6 8 2 2" xfId="23815"/>
    <cellStyle name="40% - Accent6 8 2 2" xfId="23816"/>
    <cellStyle name="Normal 5 22 2 2" xfId="23817"/>
    <cellStyle name="Note 2 8 2 2" xfId="23818"/>
    <cellStyle name="Comma 5 21 2 2" xfId="23819"/>
    <cellStyle name="Percent 5 21 2 2" xfId="23820"/>
    <cellStyle name="20% - Accent1 9 2 2" xfId="23821"/>
    <cellStyle name="40% - Accent1 9 2 2" xfId="23822"/>
    <cellStyle name="20% - Accent2 9 2 2" xfId="23823"/>
    <cellStyle name="40% - Accent2 9 2 2" xfId="23824"/>
    <cellStyle name="20% - Accent3 9 2 2" xfId="23825"/>
    <cellStyle name="40% - Accent3 9 2 2" xfId="23826"/>
    <cellStyle name="20% - Accent4 9 2 2" xfId="23827"/>
    <cellStyle name="40% - Accent4 9 2 2" xfId="23828"/>
    <cellStyle name="20% - Accent5 9 2 2" xfId="23829"/>
    <cellStyle name="40% - Accent5 9 2 2" xfId="23830"/>
    <cellStyle name="20% - Accent6 9 2 2" xfId="23831"/>
    <cellStyle name="40% - Accent6 9 2 2" xfId="23832"/>
    <cellStyle name="Normal 5 23 2 2" xfId="23833"/>
    <cellStyle name="Note 2 9 2 2" xfId="23834"/>
    <cellStyle name="Comma 5 22 2 2" xfId="23835"/>
    <cellStyle name="Percent 5 22 2 2" xfId="23836"/>
    <cellStyle name="20% - Accent1 10 2 2" xfId="23837"/>
    <cellStyle name="40% - Accent1 10 2 2" xfId="23838"/>
    <cellStyle name="20% - Accent2 10 2 2" xfId="23839"/>
    <cellStyle name="40% - Accent2 10 2 2" xfId="23840"/>
    <cellStyle name="20% - Accent3 10 2 2" xfId="23841"/>
    <cellStyle name="40% - Accent3 10 2 2" xfId="23842"/>
    <cellStyle name="20% - Accent4 10 2 2" xfId="23843"/>
    <cellStyle name="40% - Accent4 10 2 2" xfId="23844"/>
    <cellStyle name="20% - Accent5 10 2 2" xfId="23845"/>
    <cellStyle name="40% - Accent5 10 2 2" xfId="23846"/>
    <cellStyle name="20% - Accent6 10 2 2" xfId="23847"/>
    <cellStyle name="40% - Accent6 10 2 2" xfId="23848"/>
    <cellStyle name="Normal 5 24 2 7" xfId="23849"/>
    <cellStyle name="Note 2 10 2 2" xfId="23850"/>
    <cellStyle name="Comma 5 23 2 2" xfId="23851"/>
    <cellStyle name="Percent 5 23 2 2" xfId="23852"/>
    <cellStyle name="20% - Accent1 11 2 2" xfId="23853"/>
    <cellStyle name="40% - Accent1 11 2 2" xfId="23854"/>
    <cellStyle name="20% - Accent2 11 2 2" xfId="23855"/>
    <cellStyle name="40% - Accent2 11 2 2" xfId="23856"/>
    <cellStyle name="20% - Accent3 11 2 2" xfId="23857"/>
    <cellStyle name="40% - Accent3 11 2 2" xfId="23858"/>
    <cellStyle name="20% - Accent4 11 2 2" xfId="23859"/>
    <cellStyle name="40% - Accent4 11 2 2" xfId="23860"/>
    <cellStyle name="20% - Accent5 11 2 2" xfId="23861"/>
    <cellStyle name="40% - Accent5 11 2 2" xfId="23862"/>
    <cellStyle name="20% - Accent6 11 2 2" xfId="23863"/>
    <cellStyle name="40% - Accent6 11 2 2" xfId="23864"/>
    <cellStyle name="Normal 5 25 2 3" xfId="23865"/>
    <cellStyle name="Note 2 11 2 2" xfId="23866"/>
    <cellStyle name="Comma 5 24 2 2" xfId="23867"/>
    <cellStyle name="Percent 5 24 2 2" xfId="23868"/>
    <cellStyle name="20% - Accent1 12 2 2" xfId="23869"/>
    <cellStyle name="40% - Accent1 12 2 2" xfId="23870"/>
    <cellStyle name="20% - Accent2 12 2 2" xfId="23871"/>
    <cellStyle name="40% - Accent2 12 2 2" xfId="23872"/>
    <cellStyle name="20% - Accent3 12 2 2" xfId="23873"/>
    <cellStyle name="40% - Accent3 12 2 2" xfId="23874"/>
    <cellStyle name="20% - Accent4 12 2 2" xfId="23875"/>
    <cellStyle name="40% - Accent4 12 2 2" xfId="23876"/>
    <cellStyle name="20% - Accent5 12 2 2" xfId="23877"/>
    <cellStyle name="40% - Accent5 12 2 2" xfId="23878"/>
    <cellStyle name="20% - Accent6 12 2 2" xfId="23879"/>
    <cellStyle name="40% - Accent6 12 2 2" xfId="23880"/>
    <cellStyle name="Normal 5 26 2 3" xfId="23881"/>
    <cellStyle name="Note 2 12 2 2" xfId="23882"/>
    <cellStyle name="Comma 5 25 2 2" xfId="23883"/>
    <cellStyle name="Percent 5 25 2 2" xfId="23884"/>
    <cellStyle name="20% - Accent1 13 2 2" xfId="23885"/>
    <cellStyle name="40% - Accent1 13 2 2" xfId="23886"/>
    <cellStyle name="20% - Accent2 13 2 2" xfId="23887"/>
    <cellStyle name="40% - Accent2 13 2 2" xfId="23888"/>
    <cellStyle name="20% - Accent3 13 2 2" xfId="23889"/>
    <cellStyle name="40% - Accent3 13 2 2" xfId="23890"/>
    <cellStyle name="20% - Accent4 13 2 2" xfId="23891"/>
    <cellStyle name="40% - Accent4 13 2 2" xfId="23892"/>
    <cellStyle name="20% - Accent5 13 2 2" xfId="23893"/>
    <cellStyle name="40% - Accent5 13 2 2" xfId="23894"/>
    <cellStyle name="20% - Accent6 13 2 2" xfId="23895"/>
    <cellStyle name="40% - Accent6 13 2 2" xfId="23896"/>
    <cellStyle name="Normal 5 27 2 2" xfId="23897"/>
    <cellStyle name="Note 2 13 2 2" xfId="23898"/>
    <cellStyle name="Comma 5 26 2 2" xfId="23899"/>
    <cellStyle name="Percent 5 26 2 2" xfId="23900"/>
    <cellStyle name="20% - Accent1 14 2 2" xfId="23901"/>
    <cellStyle name="40% - Accent1 14 2 2" xfId="23902"/>
    <cellStyle name="20% - Accent2 14 2 2" xfId="23903"/>
    <cellStyle name="40% - Accent2 14 2 2" xfId="23904"/>
    <cellStyle name="20% - Accent3 14 2 2" xfId="23905"/>
    <cellStyle name="40% - Accent3 14 2 2" xfId="23906"/>
    <cellStyle name="20% - Accent4 14 2 2" xfId="23907"/>
    <cellStyle name="40% - Accent4 14 2 2" xfId="23908"/>
    <cellStyle name="20% - Accent5 14 2 2" xfId="23909"/>
    <cellStyle name="40% - Accent5 14 2 2" xfId="23910"/>
    <cellStyle name="20% - Accent6 14 2 2" xfId="23911"/>
    <cellStyle name="40% - Accent6 14 2 2" xfId="23912"/>
    <cellStyle name="Normal 5 28 2 7" xfId="23913"/>
    <cellStyle name="Note 2 14 2 2" xfId="23914"/>
    <cellStyle name="Comma 5 27 2 2" xfId="23915"/>
    <cellStyle name="Percent 5 27 2 2" xfId="23916"/>
    <cellStyle name="20% - Accent1 15 2 2" xfId="23917"/>
    <cellStyle name="40% - Accent1 15 2 2" xfId="23918"/>
    <cellStyle name="20% - Accent2 15 2 2" xfId="23919"/>
    <cellStyle name="40% - Accent2 15 2 2" xfId="23920"/>
    <cellStyle name="20% - Accent3 15 2 2" xfId="23921"/>
    <cellStyle name="40% - Accent3 15 2 2" xfId="23922"/>
    <cellStyle name="20% - Accent4 15 2 2" xfId="23923"/>
    <cellStyle name="40% - Accent4 15 2 2" xfId="23924"/>
    <cellStyle name="20% - Accent5 15 2 2" xfId="23925"/>
    <cellStyle name="40% - Accent5 15 2 2" xfId="23926"/>
    <cellStyle name="20% - Accent6 15 2 2" xfId="23927"/>
    <cellStyle name="40% - Accent6 15 2 2" xfId="23928"/>
    <cellStyle name="Normal 5 29 2 2" xfId="23929"/>
    <cellStyle name="Note 2 15 2 2" xfId="23930"/>
    <cellStyle name="Comma 5 28 2 2" xfId="23931"/>
    <cellStyle name="Percent 5 28 2 2" xfId="23932"/>
    <cellStyle name="Normal 59 2" xfId="23933"/>
    <cellStyle name="Comma 216 2" xfId="23934"/>
    <cellStyle name="Percent 190 2" xfId="23935"/>
    <cellStyle name="Normal 2 2 30 2" xfId="23936"/>
    <cellStyle name="40% - Accent5 8 3 2" xfId="23937"/>
    <cellStyle name="Percent 191 2" xfId="23938"/>
    <cellStyle name="Comma 217 2" xfId="23939"/>
    <cellStyle name="40% - Accent2 11 3 2" xfId="23940"/>
    <cellStyle name="Currency 5 11 2" xfId="23941"/>
    <cellStyle name="Normal 8 31 2" xfId="23942"/>
    <cellStyle name="Comma 5 14 3 2" xfId="23943"/>
    <cellStyle name="Percent 5 12 3 2" xfId="23944"/>
    <cellStyle name="Comma 6 13 2" xfId="23945"/>
    <cellStyle name="Normal 11 10 2" xfId="23946"/>
    <cellStyle name="Currency 5 2 11" xfId="23947"/>
    <cellStyle name="Normal 8 2 12" xfId="23948"/>
    <cellStyle name="Comma 5 2 11 2" xfId="23949"/>
    <cellStyle name="Percent 5 2 12 2" xfId="23950"/>
    <cellStyle name="Comma 6 2 11 2" xfId="23951"/>
    <cellStyle name="Currency 5 3 9" xfId="23952"/>
    <cellStyle name="Normal 8 3 12" xfId="23953"/>
    <cellStyle name="Comma 5 3 9 2" xfId="23954"/>
    <cellStyle name="Percent 5 3 10 2" xfId="23955"/>
    <cellStyle name="Comma 6 3 11" xfId="23956"/>
    <cellStyle name="Normal 11 2 9" xfId="23957"/>
    <cellStyle name="Currency 5 2 2 9" xfId="23958"/>
    <cellStyle name="Normal 8 2 2 8" xfId="23959"/>
    <cellStyle name="Comma 5 2 2 9 2" xfId="23960"/>
    <cellStyle name="Percent 5 2 2 10 2" xfId="23961"/>
    <cellStyle name="Comma 6 2 2 8" xfId="23962"/>
    <cellStyle name="Normal 50 7" xfId="23963"/>
    <cellStyle name="Comma 186 7" xfId="23964"/>
    <cellStyle name="Percent 162 7" xfId="23965"/>
    <cellStyle name="Normal 2 24 7" xfId="23966"/>
    <cellStyle name="20% - Accent1 2 7 2" xfId="23967"/>
    <cellStyle name="20% - Accent1 3 7 2" xfId="23968"/>
    <cellStyle name="20% - Accent1 4 7 2" xfId="23969"/>
    <cellStyle name="20% - Accent1 5 7 2" xfId="23970"/>
    <cellStyle name="20% - Accent2 2 7 2" xfId="23971"/>
    <cellStyle name="20% - Accent2 3 7 2" xfId="23972"/>
    <cellStyle name="20% - Accent2 4 7 2" xfId="23973"/>
    <cellStyle name="20% - Accent2 5 7 2" xfId="23974"/>
    <cellStyle name="20% - Accent3 2 7 2" xfId="23975"/>
    <cellStyle name="20% - Accent3 3 7 2" xfId="23976"/>
    <cellStyle name="20% - Accent3 4 7 2" xfId="23977"/>
    <cellStyle name="20% - Accent3 5 7 2" xfId="23978"/>
    <cellStyle name="20% - Accent4 2 7 2" xfId="23979"/>
    <cellStyle name="20% - Accent4 3 7 2" xfId="23980"/>
    <cellStyle name="20% - Accent4 4 7 2" xfId="23981"/>
    <cellStyle name="20% - Accent4 5 7 2" xfId="23982"/>
    <cellStyle name="20% - Accent5 2 7 2" xfId="23983"/>
    <cellStyle name="20% - Accent5 3 7 2" xfId="23984"/>
    <cellStyle name="20% - Accent5 4 7 2" xfId="23985"/>
    <cellStyle name="20% - Accent6 2 7 2" xfId="23986"/>
    <cellStyle name="20% - Accent6 3 7 2" xfId="23987"/>
    <cellStyle name="20% - Accent6 4 7 2" xfId="23988"/>
    <cellStyle name="40% - Accent1 2 7 2" xfId="23989"/>
    <cellStyle name="40% - Accent1 3 7 2" xfId="23990"/>
    <cellStyle name="40% - Accent1 4 7 2" xfId="23991"/>
    <cellStyle name="40% - Accent1 5 7 2" xfId="23992"/>
    <cellStyle name="40% - Accent2 2 7 2" xfId="23993"/>
    <cellStyle name="40% - Accent2 3 7 2" xfId="23994"/>
    <cellStyle name="40% - Accent2 4 7 2" xfId="23995"/>
    <cellStyle name="40% - Accent3 2 7 2" xfId="23996"/>
    <cellStyle name="40% - Accent3 3 7 2" xfId="23997"/>
    <cellStyle name="40% - Accent3 4 7 2" xfId="23998"/>
    <cellStyle name="40% - Accent3 5 7 2" xfId="23999"/>
    <cellStyle name="40% - Accent4 2 7 2" xfId="24000"/>
    <cellStyle name="40% - Accent4 3 7 2" xfId="24001"/>
    <cellStyle name="40% - Accent4 4 7 2" xfId="24002"/>
    <cellStyle name="40% - Accent4 5 7 2" xfId="24003"/>
    <cellStyle name="40% - Accent5 2 7 2" xfId="24004"/>
    <cellStyle name="40% - Accent5 3 7 2" xfId="24005"/>
    <cellStyle name="40% - Accent5 4 7 2" xfId="24006"/>
    <cellStyle name="40% - Accent6 2 7 2" xfId="24007"/>
    <cellStyle name="40% - Accent6 3 7 2" xfId="24008"/>
    <cellStyle name="40% - Accent6 4 7 2" xfId="24009"/>
    <cellStyle name="40% - Accent6 5 7 2" xfId="24010"/>
    <cellStyle name="Comma 143 7" xfId="24011"/>
    <cellStyle name="Comma 144 7" xfId="24012"/>
    <cellStyle name="Comma 145 7" xfId="24013"/>
    <cellStyle name="Comma 146 7" xfId="24014"/>
    <cellStyle name="Comma 147 7" xfId="24015"/>
    <cellStyle name="Comma 148 7" xfId="24016"/>
    <cellStyle name="Comma 149 7" xfId="24017"/>
    <cellStyle name="Comma 150 7" xfId="24018"/>
    <cellStyle name="Comma 151 7" xfId="24019"/>
    <cellStyle name="Comma 152 7" xfId="24020"/>
    <cellStyle name="Comma 153 7" xfId="24021"/>
    <cellStyle name="Comma 182 7" xfId="24022"/>
    <cellStyle name="Comma 2 23 7 2" xfId="24023"/>
    <cellStyle name="Comma 2 2 10 7" xfId="24024"/>
    <cellStyle name="Comma 2 2 11 7" xfId="24025"/>
    <cellStyle name="Comma 2 2 12 7" xfId="24026"/>
    <cellStyle name="Comma 2 2 13 7" xfId="24027"/>
    <cellStyle name="Comma 2 2 14 7" xfId="24028"/>
    <cellStyle name="Comma 2 2 15 7" xfId="24029"/>
    <cellStyle name="Comma 2 2 16 7" xfId="24030"/>
    <cellStyle name="Comma 2 2 17 7" xfId="24031"/>
    <cellStyle name="Comma 2 2 2 2 11" xfId="24032"/>
    <cellStyle name="Comma 2 2 2 2 2 7" xfId="24033"/>
    <cellStyle name="Comma 2 2 2 2 3 7" xfId="24034"/>
    <cellStyle name="Comma 2 2 2 2 4 7" xfId="24035"/>
    <cellStyle name="Comma 2 2 2 2 5 7" xfId="24036"/>
    <cellStyle name="Comma 2 2 2 3 7" xfId="24037"/>
    <cellStyle name="Comma 2 2 2 4 7" xfId="24038"/>
    <cellStyle name="Comma 2 2 2 5 7" xfId="24039"/>
    <cellStyle name="Comma 2 2 2 6 7" xfId="24040"/>
    <cellStyle name="Comma 2 2 3 11" xfId="24041"/>
    <cellStyle name="Comma 2 2 3 2 2 7" xfId="24042"/>
    <cellStyle name="Comma 2 2 3 2 3 7" xfId="24043"/>
    <cellStyle name="Comma 2 2 3 2 4 7" xfId="24044"/>
    <cellStyle name="Comma 2 2 3 2 5 7" xfId="24045"/>
    <cellStyle name="Comma 2 2 3 3 7" xfId="24046"/>
    <cellStyle name="Comma 2 2 4 2 7" xfId="24047"/>
    <cellStyle name="Comma 2 2 5 7" xfId="24048"/>
    <cellStyle name="Comma 2 2 6 7" xfId="24049"/>
    <cellStyle name="Comma 2 2 7 7" xfId="24050"/>
    <cellStyle name="Comma 2 2 8 7" xfId="24051"/>
    <cellStyle name="Comma 2 2 9 7" xfId="24052"/>
    <cellStyle name="Comma 3 10 7 2" xfId="24053"/>
    <cellStyle name="Comma 3 11 7 2" xfId="24054"/>
    <cellStyle name="Comma 3 12 7 2" xfId="24055"/>
    <cellStyle name="Comma 3 13 7 2" xfId="24056"/>
    <cellStyle name="Comma 3 14 7 2" xfId="24057"/>
    <cellStyle name="Comma 3 15 7 2" xfId="24058"/>
    <cellStyle name="Comma 3 16 7 2" xfId="24059"/>
    <cellStyle name="Comma 3 17 7 2" xfId="24060"/>
    <cellStyle name="Comma 3 18 7 2" xfId="24061"/>
    <cellStyle name="Comma 3 19 7 2" xfId="24062"/>
    <cellStyle name="Comma 3 2 2 7 2" xfId="24063"/>
    <cellStyle name="Comma 3 2 3 7" xfId="24064"/>
    <cellStyle name="Comma 3 2 4 7" xfId="24065"/>
    <cellStyle name="Comma 3 2 5 7" xfId="24066"/>
    <cellStyle name="Comma 3 20 7 2" xfId="24067"/>
    <cellStyle name="Comma 3 21 7 2" xfId="24068"/>
    <cellStyle name="Comma 3 3 11 2" xfId="24069"/>
    <cellStyle name="Comma 3 3 2 7 2" xfId="24070"/>
    <cellStyle name="Comma 3 3 3 7" xfId="24071"/>
    <cellStyle name="Comma 3 3 4 7" xfId="24072"/>
    <cellStyle name="Comma 3 3 5 7" xfId="24073"/>
    <cellStyle name="Comma 3 4 8 2" xfId="24074"/>
    <cellStyle name="Comma 3 4 2 7" xfId="24075"/>
    <cellStyle name="Comma 3 5 8 2" xfId="24076"/>
    <cellStyle name="Comma 3 5 2 7" xfId="24077"/>
    <cellStyle name="Comma 3 6 8 2" xfId="24078"/>
    <cellStyle name="Comma 3 6 2 7" xfId="24079"/>
    <cellStyle name="Comma 3 7 7 2" xfId="24080"/>
    <cellStyle name="Comma 3 8 7 2" xfId="24081"/>
    <cellStyle name="Comma 3 9 7 2" xfId="24082"/>
    <cellStyle name="Currency 120 7" xfId="24083"/>
    <cellStyle name="Currency 121 7" xfId="24084"/>
    <cellStyle name="Currency 122 7" xfId="24085"/>
    <cellStyle name="Currency 123 7" xfId="24086"/>
    <cellStyle name="Currency 124 7" xfId="24087"/>
    <cellStyle name="Currency 125 7" xfId="24088"/>
    <cellStyle name="Currency 126 7" xfId="24089"/>
    <cellStyle name="Currency 127 7" xfId="24090"/>
    <cellStyle name="Currency 128 7" xfId="24091"/>
    <cellStyle name="Currency 129 7" xfId="24092"/>
    <cellStyle name="Currency 130 7" xfId="24093"/>
    <cellStyle name="Currency 159 7" xfId="24094"/>
    <cellStyle name="Currency 2 27 7 2" xfId="24095"/>
    <cellStyle name="Currency 2 2 20 7" xfId="24096"/>
    <cellStyle name="Currency 2 2 10 7" xfId="24097"/>
    <cellStyle name="Currency 2 2 11 7" xfId="24098"/>
    <cellStyle name="Currency 2 2 12 7" xfId="24099"/>
    <cellStyle name="Currency 2 2 13 7" xfId="24100"/>
    <cellStyle name="Currency 2 2 14 7" xfId="24101"/>
    <cellStyle name="Currency 2 2 15 7" xfId="24102"/>
    <cellStyle name="Currency 2 2 16 7" xfId="24103"/>
    <cellStyle name="Currency 2 2 17 7" xfId="24104"/>
    <cellStyle name="Currency 2 2 18 7" xfId="24105"/>
    <cellStyle name="Currency 2 2 2 2 7" xfId="24106"/>
    <cellStyle name="Currency 2 2 2 3 7" xfId="24107"/>
    <cellStyle name="Currency 2 2 2 4 7" xfId="24108"/>
    <cellStyle name="Currency 2 2 2 5 7" xfId="24109"/>
    <cellStyle name="Currency 2 2 3 11" xfId="24110"/>
    <cellStyle name="Currency 2 2 3 2 7" xfId="24111"/>
    <cellStyle name="Currency 2 2 3 3 7" xfId="24112"/>
    <cellStyle name="Currency 2 2 3 4 7" xfId="24113"/>
    <cellStyle name="Currency 2 2 3 5 7" xfId="24114"/>
    <cellStyle name="Currency 2 2 4 7" xfId="24115"/>
    <cellStyle name="Currency 2 2 5 7" xfId="24116"/>
    <cellStyle name="Currency 2 2 6 7" xfId="24117"/>
    <cellStyle name="Currency 2 2 7 7" xfId="24118"/>
    <cellStyle name="Currency 2 2 8 7" xfId="24119"/>
    <cellStyle name="Currency 2 2 9 7" xfId="24120"/>
    <cellStyle name="Currency 3 10 7 2" xfId="24121"/>
    <cellStyle name="Currency 3 11 7 2" xfId="24122"/>
    <cellStyle name="Currency 3 12 7 2" xfId="24123"/>
    <cellStyle name="Currency 3 13 7 2" xfId="24124"/>
    <cellStyle name="Currency 3 14 7 2" xfId="24125"/>
    <cellStyle name="Currency 3 15 7 2" xfId="24126"/>
    <cellStyle name="Currency 3 16 7 2" xfId="24127"/>
    <cellStyle name="Currency 3 17 7 2" xfId="24128"/>
    <cellStyle name="Currency 3 18 7 2" xfId="24129"/>
    <cellStyle name="Currency 3 19 7 2" xfId="24130"/>
    <cellStyle name="Currency 3 2 2 7 2" xfId="24131"/>
    <cellStyle name="Currency 3 2 3 7" xfId="24132"/>
    <cellStyle name="Currency 3 2 4 7" xfId="24133"/>
    <cellStyle name="Currency 3 2 5 7" xfId="24134"/>
    <cellStyle name="Currency 3 20 7 2" xfId="24135"/>
    <cellStyle name="Currency 3 21 7 2" xfId="24136"/>
    <cellStyle name="Currency 3 3 14 2" xfId="24137"/>
    <cellStyle name="Currency 3 3 2 7 2" xfId="24138"/>
    <cellStyle name="Currency 3 3 3 7" xfId="24139"/>
    <cellStyle name="Currency 3 3 4 7" xfId="24140"/>
    <cellStyle name="Currency 3 3 5 7" xfId="24141"/>
    <cellStyle name="Currency 3 3 6 7" xfId="24142"/>
    <cellStyle name="Currency 3 4 8 2" xfId="24143"/>
    <cellStyle name="Currency 3 4 2 7" xfId="24144"/>
    <cellStyle name="Currency 3 5 8 2" xfId="24145"/>
    <cellStyle name="Currency 3 5 2 7" xfId="24146"/>
    <cellStyle name="Currency 3 6 8 2" xfId="24147"/>
    <cellStyle name="Currency 3 6 2 7" xfId="24148"/>
    <cellStyle name="Currency 3 7 7 2" xfId="24149"/>
    <cellStyle name="Currency 3 8 7 2" xfId="24150"/>
    <cellStyle name="Currency 3 9 7 2" xfId="24151"/>
    <cellStyle name="Normal 10 3 11" xfId="24152"/>
    <cellStyle name="Normal 10 3 2 10" xfId="24153"/>
    <cellStyle name="Normal 10 3 2 2 8" xfId="24154"/>
    <cellStyle name="Normal 10 3 2 2 2 7" xfId="24155"/>
    <cellStyle name="Normal 10 3 2 3 8" xfId="24156"/>
    <cellStyle name="Normal 10 3 2 3 2 7" xfId="24157"/>
    <cellStyle name="Normal 10 3 2 4 7" xfId="24158"/>
    <cellStyle name="Normal 10 3 3 8" xfId="24159"/>
    <cellStyle name="Normal 10 3 3 2 7" xfId="24160"/>
    <cellStyle name="Normal 10 3 4 8" xfId="24161"/>
    <cellStyle name="Normal 10 3 4 2 7" xfId="24162"/>
    <cellStyle name="Normal 10 3 5 7" xfId="24163"/>
    <cellStyle name="Normal 10 4 10" xfId="24164"/>
    <cellStyle name="Normal 10 4 2 8" xfId="24165"/>
    <cellStyle name="Normal 10 4 2 2 7" xfId="24166"/>
    <cellStyle name="Normal 10 4 3 8" xfId="24167"/>
    <cellStyle name="Normal 10 4 3 2 7" xfId="24168"/>
    <cellStyle name="Normal 10 4 4 7" xfId="24169"/>
    <cellStyle name="Normal 10 5 10" xfId="24170"/>
    <cellStyle name="Normal 10 5 2 8" xfId="24171"/>
    <cellStyle name="Normal 10 5 2 2 7" xfId="24172"/>
    <cellStyle name="Normal 10 5 3 8" xfId="24173"/>
    <cellStyle name="Normal 10 5 3 2 7" xfId="24174"/>
    <cellStyle name="Normal 10 5 4 7" xfId="24175"/>
    <cellStyle name="Normal 10 6 8" xfId="24176"/>
    <cellStyle name="Normal 10 6 2 7" xfId="24177"/>
    <cellStyle name="Normal 10 7 8" xfId="24178"/>
    <cellStyle name="Normal 10 7 2 7" xfId="24179"/>
    <cellStyle name="Normal 10 8 2 7" xfId="24180"/>
    <cellStyle name="Normal 10 9 7" xfId="24181"/>
    <cellStyle name="Normal 11 4 7" xfId="24182"/>
    <cellStyle name="Normal 11 3 7" xfId="24183"/>
    <cellStyle name="Normal 12 14 2" xfId="24184"/>
    <cellStyle name="Normal 12 2 2 10" xfId="24185"/>
    <cellStyle name="Normal 12 2 2 2 8" xfId="24186"/>
    <cellStyle name="Normal 12 2 2 2 2 7" xfId="24187"/>
    <cellStyle name="Normal 12 2 2 3 8" xfId="24188"/>
    <cellStyle name="Normal 12 2 2 3 2 7" xfId="24189"/>
    <cellStyle name="Normal 12 2 2 4 7" xfId="24190"/>
    <cellStyle name="Normal 12 2 3 8" xfId="24191"/>
    <cellStyle name="Normal 12 2 3 2 7" xfId="24192"/>
    <cellStyle name="Normal 12 2 4 8" xfId="24193"/>
    <cellStyle name="Normal 12 2 4 2 7" xfId="24194"/>
    <cellStyle name="Normal 12 2 5 2 7" xfId="24195"/>
    <cellStyle name="Normal 12 2 6 7" xfId="24196"/>
    <cellStyle name="Normal 12 3 10" xfId="24197"/>
    <cellStyle name="Normal 12 3 2 8" xfId="24198"/>
    <cellStyle name="Normal 12 3 2 2 7" xfId="24199"/>
    <cellStyle name="Normal 12 3 3 8" xfId="24200"/>
    <cellStyle name="Normal 12 3 3 2 7" xfId="24201"/>
    <cellStyle name="Normal 12 3 4 7" xfId="24202"/>
    <cellStyle name="Normal 12 4 10" xfId="24203"/>
    <cellStyle name="Normal 12 4 2 8" xfId="24204"/>
    <cellStyle name="Normal 12 4 2 2 7" xfId="24205"/>
    <cellStyle name="Normal 12 4 3 8" xfId="24206"/>
    <cellStyle name="Normal 12 4 3 2 7" xfId="24207"/>
    <cellStyle name="Normal 12 4 4 7" xfId="24208"/>
    <cellStyle name="Normal 12 5 8" xfId="24209"/>
    <cellStyle name="Normal 12 5 2 7" xfId="24210"/>
    <cellStyle name="Normal 12 6 8" xfId="24211"/>
    <cellStyle name="Normal 12 6 2 7" xfId="24212"/>
    <cellStyle name="Normal 12 7 7" xfId="24213"/>
    <cellStyle name="Normal 15 11 2" xfId="24214"/>
    <cellStyle name="Normal 15 3 7" xfId="24215"/>
    <cellStyle name="Normal 16 2 10" xfId="24216"/>
    <cellStyle name="Normal 16 2 2 8" xfId="24217"/>
    <cellStyle name="Normal 16 2 2 2 7" xfId="24218"/>
    <cellStyle name="Normal 16 2 3 8" xfId="24219"/>
    <cellStyle name="Normal 16 2 3 2 7" xfId="24220"/>
    <cellStyle name="Normal 16 2 4 7" xfId="24221"/>
    <cellStyle name="Normal 16 3 8" xfId="24222"/>
    <cellStyle name="Normal 16 3 2 7" xfId="24223"/>
    <cellStyle name="Normal 16 4 8" xfId="24224"/>
    <cellStyle name="Normal 16 4 2 7" xfId="24225"/>
    <cellStyle name="Normal 16 5 2 7" xfId="24226"/>
    <cellStyle name="Normal 16 6 7" xfId="24227"/>
    <cellStyle name="Normal 17 2 10" xfId="24228"/>
    <cellStyle name="Normal 17 2 2 8" xfId="24229"/>
    <cellStyle name="Normal 17 2 2 2 7" xfId="24230"/>
    <cellStyle name="Normal 17 2 3 8" xfId="24231"/>
    <cellStyle name="Normal 17 2 3 2 7" xfId="24232"/>
    <cellStyle name="Normal 17 2 4 7" xfId="24233"/>
    <cellStyle name="Normal 17 3 8" xfId="24234"/>
    <cellStyle name="Normal 17 3 2 7" xfId="24235"/>
    <cellStyle name="Normal 17 4 8" xfId="24236"/>
    <cellStyle name="Normal 17 4 2 7" xfId="24237"/>
    <cellStyle name="Normal 17 5 2 7" xfId="24238"/>
    <cellStyle name="Normal 17 6 7" xfId="24239"/>
    <cellStyle name="Normal 2 10 3 7" xfId="24240"/>
    <cellStyle name="Normal 2 11 3 7" xfId="24241"/>
    <cellStyle name="Normal 2 12 3 7" xfId="24242"/>
    <cellStyle name="Normal 2 13 3 7" xfId="24243"/>
    <cellStyle name="Normal 2 14 3 7" xfId="24244"/>
    <cellStyle name="Normal 2 15 3 7" xfId="24245"/>
    <cellStyle name="Normal 2 16 3 7" xfId="24246"/>
    <cellStyle name="Normal 2 17 3 7" xfId="24247"/>
    <cellStyle name="Normal 2 18 3 7" xfId="24248"/>
    <cellStyle name="Normal 2 19 3 7" xfId="24249"/>
    <cellStyle name="Normal 2 2 10 7 2" xfId="24250"/>
    <cellStyle name="Normal 2 2 11 7 2" xfId="24251"/>
    <cellStyle name="Normal 2 2 12 7 2" xfId="24252"/>
    <cellStyle name="Normal 2 2 13 7 2" xfId="24253"/>
    <cellStyle name="Normal 2 2 14 7 2" xfId="24254"/>
    <cellStyle name="Normal 2 2 15 7 2" xfId="24255"/>
    <cellStyle name="Normal 2 2 16 7 2" xfId="24256"/>
    <cellStyle name="Normal 2 2 17 7 2" xfId="24257"/>
    <cellStyle name="Normal 2 2 18 7 2" xfId="24258"/>
    <cellStyle name="Normal 2 2 19 7 2" xfId="24259"/>
    <cellStyle name="Normal 2 2 2 2 11 2" xfId="24260"/>
    <cellStyle name="Normal 2 2 2 2 2 8" xfId="24261"/>
    <cellStyle name="Normal 2 2 2 2 2 2 7" xfId="24262"/>
    <cellStyle name="Normal 2 2 2 2 3 7" xfId="24263"/>
    <cellStyle name="Normal 2 2 2 2 4 7" xfId="24264"/>
    <cellStyle name="Normal 2 2 2 2 5 7" xfId="24265"/>
    <cellStyle name="Normal 2 2 20 7 2" xfId="24266"/>
    <cellStyle name="Normal 2 2 21 7 2" xfId="24267"/>
    <cellStyle name="Normal 2 2 22 7 2" xfId="24268"/>
    <cellStyle name="Normal 2 2 3 14 2" xfId="24269"/>
    <cellStyle name="Normal 2 2 3 2 7" xfId="24270"/>
    <cellStyle name="Normal 2 2 3 3 7" xfId="24271"/>
    <cellStyle name="Normal 2 2 3 4 7" xfId="24272"/>
    <cellStyle name="Normal 2 2 3 5 7" xfId="24273"/>
    <cellStyle name="Normal 2 2 3 6 7" xfId="24274"/>
    <cellStyle name="Normal 2 2 4 10 2" xfId="24275"/>
    <cellStyle name="Normal 2 2 4 2 7" xfId="24276"/>
    <cellStyle name="Normal 2 2 5 9 2" xfId="24277"/>
    <cellStyle name="Normal 2 2 5 2 7" xfId="24278"/>
    <cellStyle name="Normal 2 2 6 7 2" xfId="24279"/>
    <cellStyle name="Normal 2 2 7 7 2" xfId="24280"/>
    <cellStyle name="Normal 2 2 8 7 2" xfId="24281"/>
    <cellStyle name="Normal 2 2 9 7 2" xfId="24282"/>
    <cellStyle name="Normal 2 20 7" xfId="24283"/>
    <cellStyle name="Normal 2 3 2 8" xfId="24284"/>
    <cellStyle name="Normal 2 3 3 7" xfId="24285"/>
    <cellStyle name="Normal 2 3 4 7" xfId="24286"/>
    <cellStyle name="Normal 2 3 5 7" xfId="24287"/>
    <cellStyle name="Normal 2 3 6 7" xfId="24288"/>
    <cellStyle name="Normal 2 4 5 7" xfId="24289"/>
    <cellStyle name="Normal 2 4 2 7" xfId="24290"/>
    <cellStyle name="Normal 2 5 3 7" xfId="24291"/>
    <cellStyle name="Normal 2 6 3 7" xfId="24292"/>
    <cellStyle name="Normal 2 7 3 7" xfId="24293"/>
    <cellStyle name="Normal 2 8 3 7" xfId="24294"/>
    <cellStyle name="Normal 2 9 3 7" xfId="24295"/>
    <cellStyle name="Normal 21 14 2" xfId="24296"/>
    <cellStyle name="Normal 21 2 12" xfId="24297"/>
    <cellStyle name="Normal 21 2 2 7" xfId="24298"/>
    <cellStyle name="Normal 21 2 3 7" xfId="24299"/>
    <cellStyle name="Normal 21 2 4 7" xfId="24300"/>
    <cellStyle name="Normal 21 2 5 7" xfId="24301"/>
    <cellStyle name="Normal 21 2 6 7" xfId="24302"/>
    <cellStyle name="Normal 21 3 8" xfId="24303"/>
    <cellStyle name="Normal 21 3 2 7" xfId="24304"/>
    <cellStyle name="Normal 21 4 7" xfId="24305"/>
    <cellStyle name="Normal 21 5 7" xfId="24306"/>
    <cellStyle name="Normal 21 6 7" xfId="24307"/>
    <cellStyle name="Normal 21 8 7" xfId="24308"/>
    <cellStyle name="Normal 22 13 2" xfId="24309"/>
    <cellStyle name="Normal 22 2 12" xfId="24310"/>
    <cellStyle name="Normal 22 2 2 7" xfId="24311"/>
    <cellStyle name="Normal 22 2 3 7" xfId="24312"/>
    <cellStyle name="Normal 22 2 4 7" xfId="24313"/>
    <cellStyle name="Normal 22 2 5 7" xfId="24314"/>
    <cellStyle name="Normal 22 3 7" xfId="24315"/>
    <cellStyle name="Normal 22 4 7" xfId="24316"/>
    <cellStyle name="Normal 22 5 7" xfId="24317"/>
    <cellStyle name="Normal 22 6 7" xfId="24318"/>
    <cellStyle name="Normal 23 13 2" xfId="24319"/>
    <cellStyle name="Normal 23 2 11" xfId="24320"/>
    <cellStyle name="Normal 23 2 2 7" xfId="24321"/>
    <cellStyle name="Normal 23 2 3 7" xfId="24322"/>
    <cellStyle name="Normal 23 2 4 7" xfId="24323"/>
    <cellStyle name="Normal 23 2 5 7" xfId="24324"/>
    <cellStyle name="Normal 23 3 7" xfId="24325"/>
    <cellStyle name="Normal 23 4 7" xfId="24326"/>
    <cellStyle name="Normal 23 5 7" xfId="24327"/>
    <cellStyle name="Normal 23 6 7" xfId="24328"/>
    <cellStyle name="Normal 24 13" xfId="24329"/>
    <cellStyle name="Normal 24 2 11" xfId="24330"/>
    <cellStyle name="Normal 24 2 2 7" xfId="24331"/>
    <cellStyle name="Normal 24 2 3 7" xfId="24332"/>
    <cellStyle name="Normal 24 2 4 7" xfId="24333"/>
    <cellStyle name="Normal 24 2 5 7" xfId="24334"/>
    <cellStyle name="Normal 24 3 7" xfId="24335"/>
    <cellStyle name="Normal 24 4 7" xfId="24336"/>
    <cellStyle name="Normal 24 5 7" xfId="24337"/>
    <cellStyle name="Normal 24 6 7" xfId="24338"/>
    <cellStyle name="Normal 26 13 2" xfId="24339"/>
    <cellStyle name="Normal 26 2 11" xfId="24340"/>
    <cellStyle name="Normal 26 2 2 7" xfId="24341"/>
    <cellStyle name="Normal 26 2 3 7" xfId="24342"/>
    <cellStyle name="Normal 26 2 4 7" xfId="24343"/>
    <cellStyle name="Normal 26 2 5 7" xfId="24344"/>
    <cellStyle name="Normal 26 3 7" xfId="24345"/>
    <cellStyle name="Normal 26 4 7" xfId="24346"/>
    <cellStyle name="Normal 26 5 7" xfId="24347"/>
    <cellStyle name="Normal 26 6 7" xfId="24348"/>
    <cellStyle name="Normal 3 10 7 2" xfId="24349"/>
    <cellStyle name="Normal 3 11 7 2" xfId="24350"/>
    <cellStyle name="Normal 3 12 7 2" xfId="24351"/>
    <cellStyle name="Normal 3 13 7 2" xfId="24352"/>
    <cellStyle name="Normal 3 14 7 2" xfId="24353"/>
    <cellStyle name="Normal 3 15 7 2" xfId="24354"/>
    <cellStyle name="Normal 3 16 7 2" xfId="24355"/>
    <cellStyle name="Normal 3 17 7 2" xfId="24356"/>
    <cellStyle name="Normal 3 18 7 2" xfId="24357"/>
    <cellStyle name="Normal 3 19 7 2" xfId="24358"/>
    <cellStyle name="Normal 3 2 2 7" xfId="24359"/>
    <cellStyle name="Normal 3 2 3 7" xfId="24360"/>
    <cellStyle name="Normal 3 2 4 7" xfId="24361"/>
    <cellStyle name="Normal 3 2 5 7" xfId="24362"/>
    <cellStyle name="Normal 3 2 6 7" xfId="24363"/>
    <cellStyle name="Normal 3 20 7 2" xfId="24364"/>
    <cellStyle name="Normal 3 21 7 2" xfId="24365"/>
    <cellStyle name="Normal 3 22 7 2" xfId="24366"/>
    <cellStyle name="Normal 3 23 7 2" xfId="24367"/>
    <cellStyle name="Normal 3 24 7 2" xfId="24368"/>
    <cellStyle name="Normal 3 3 10 2" xfId="24369"/>
    <cellStyle name="Normal 3 3 2 7 2" xfId="24370"/>
    <cellStyle name="Normal 3 3 3 7" xfId="24371"/>
    <cellStyle name="Normal 3 4 8 2" xfId="24372"/>
    <cellStyle name="Normal 3 4 2 7" xfId="24373"/>
    <cellStyle name="Normal 3 5 8 2" xfId="24374"/>
    <cellStyle name="Normal 3 5 2 7" xfId="24375"/>
    <cellStyle name="Normal 3 6 7 2" xfId="24376"/>
    <cellStyle name="Normal 3 7 7 2" xfId="24377"/>
    <cellStyle name="Normal 3 8 7 2" xfId="24378"/>
    <cellStyle name="Normal 3 9 7 2" xfId="24379"/>
    <cellStyle name="Normal 4 2 10 7" xfId="24380"/>
    <cellStyle name="Normal 4 2 11 7" xfId="24381"/>
    <cellStyle name="Normal 4 2 12 7" xfId="24382"/>
    <cellStyle name="Normal 4 2 13 7" xfId="24383"/>
    <cellStyle name="Normal 4 2 14 7" xfId="24384"/>
    <cellStyle name="Normal 4 2 15 7" xfId="24385"/>
    <cellStyle name="Normal 4 2 16 7" xfId="24386"/>
    <cellStyle name="Normal 4 2 17 7" xfId="24387"/>
    <cellStyle name="Normal 4 2 18 7" xfId="24388"/>
    <cellStyle name="Normal 4 2 19 7" xfId="24389"/>
    <cellStyle name="Normal 4 2 2 11" xfId="24390"/>
    <cellStyle name="Normal 4 2 2 2 7" xfId="24391"/>
    <cellStyle name="Normal 4 2 2 3 7" xfId="24392"/>
    <cellStyle name="Normal 4 2 2 4 7" xfId="24393"/>
    <cellStyle name="Normal 4 2 2 5 7" xfId="24394"/>
    <cellStyle name="Normal 4 2 20 7" xfId="24395"/>
    <cellStyle name="Normal 4 2 21 7" xfId="24396"/>
    <cellStyle name="Normal 4 2 22 7" xfId="24397"/>
    <cellStyle name="Normal 4 2 23 7" xfId="24398"/>
    <cellStyle name="Normal 4 2 24 7" xfId="24399"/>
    <cellStyle name="Normal 4 2 3 8" xfId="24400"/>
    <cellStyle name="Normal 4 2 3 2 7" xfId="24401"/>
    <cellStyle name="Normal 4 2 4 8" xfId="24402"/>
    <cellStyle name="Normal 4 2 4 2 7" xfId="24403"/>
    <cellStyle name="Normal 4 2 5 8" xfId="24404"/>
    <cellStyle name="Normal 4 2 5 2 7" xfId="24405"/>
    <cellStyle name="Normal 4 2 6 7" xfId="24406"/>
    <cellStyle name="Normal 4 2 7 7" xfId="24407"/>
    <cellStyle name="Normal 4 2 8 7" xfId="24408"/>
    <cellStyle name="Normal 4 2 9 7" xfId="24409"/>
    <cellStyle name="Normal 4 3 12 2" xfId="24410"/>
    <cellStyle name="Normal 4 3 2 11" xfId="24411"/>
    <cellStyle name="Normal 4 3 2 2 10" xfId="24412"/>
    <cellStyle name="Normal 4 3 2 2 2 8" xfId="24413"/>
    <cellStyle name="Normal 4 3 2 2 2 2 7" xfId="24414"/>
    <cellStyle name="Normal 4 3 2 2 3 8" xfId="24415"/>
    <cellStyle name="Normal 4 3 2 2 3 2 7" xfId="24416"/>
    <cellStyle name="Normal 4 3 2 2 4 7" xfId="24417"/>
    <cellStyle name="Normal 4 3 2 3 8" xfId="24418"/>
    <cellStyle name="Normal 4 3 2 3 2 7" xfId="24419"/>
    <cellStyle name="Normal 4 3 2 4 8" xfId="24420"/>
    <cellStyle name="Normal 4 3 2 4 2 7" xfId="24421"/>
    <cellStyle name="Normal 4 3 2 5 7" xfId="24422"/>
    <cellStyle name="Normal 4 3 3 10" xfId="24423"/>
    <cellStyle name="Normal 4 3 3 2 8" xfId="24424"/>
    <cellStyle name="Normal 4 3 3 2 2 7" xfId="24425"/>
    <cellStyle name="Normal 4 3 3 3 8" xfId="24426"/>
    <cellStyle name="Normal 4 3 3 3 2 7" xfId="24427"/>
    <cellStyle name="Normal 4 3 3 4 7" xfId="24428"/>
    <cellStyle name="Normal 4 3 4 8" xfId="24429"/>
    <cellStyle name="Normal 4 3 4 2 7" xfId="24430"/>
    <cellStyle name="Normal 4 3 5 8" xfId="24431"/>
    <cellStyle name="Normal 4 3 5 2 7" xfId="24432"/>
    <cellStyle name="Normal 4 3 6 7" xfId="24433"/>
    <cellStyle name="Normal 4 4 9 2" xfId="24434"/>
    <cellStyle name="Normal 4 4 2 7" xfId="24435"/>
    <cellStyle name="Normal 4 5 7 2" xfId="24436"/>
    <cellStyle name="Normal 4 6 7 2" xfId="24437"/>
    <cellStyle name="Normal 4 7 7 2" xfId="24438"/>
    <cellStyle name="Normal 4 8 7 2" xfId="24439"/>
    <cellStyle name="Normal 41 2 7" xfId="24440"/>
    <cellStyle name="Normal 46 7" xfId="24441"/>
    <cellStyle name="Normal 5 28 7 2" xfId="24442"/>
    <cellStyle name="Normal 5 2 12 2" xfId="24443"/>
    <cellStyle name="Normal 5 2 2 2 2 7" xfId="24444"/>
    <cellStyle name="Normal 5 2 2 3 7" xfId="24445"/>
    <cellStyle name="Normal 5 2 3 2 2 7" xfId="24446"/>
    <cellStyle name="Normal 5 2 3 3 7" xfId="24447"/>
    <cellStyle name="Normal 5 2 4 2 7" xfId="24448"/>
    <cellStyle name="Normal 5 2 6 7" xfId="24449"/>
    <cellStyle name="Normal 5 24 7 2" xfId="24450"/>
    <cellStyle name="Normal 5 3 8 2" xfId="24451"/>
    <cellStyle name="Normal 5 4 8 2" xfId="24452"/>
    <cellStyle name="Normal 5 5 8 2" xfId="24453"/>
    <cellStyle name="Normal 5 6 8 2" xfId="24454"/>
    <cellStyle name="Normal 5 7 8 2" xfId="24455"/>
    <cellStyle name="Normal 7 25 7" xfId="24456"/>
    <cellStyle name="Normal 7 10 7" xfId="24457"/>
    <cellStyle name="Normal 7 11 7" xfId="24458"/>
    <cellStyle name="Normal 7 12 7" xfId="24459"/>
    <cellStyle name="Normal 7 13 7" xfId="24460"/>
    <cellStyle name="Normal 7 14 7" xfId="24461"/>
    <cellStyle name="Normal 7 15 7" xfId="24462"/>
    <cellStyle name="Normal 7 16 7" xfId="24463"/>
    <cellStyle name="Normal 7 17 7" xfId="24464"/>
    <cellStyle name="Normal 7 18 7" xfId="24465"/>
    <cellStyle name="Normal 7 19 7" xfId="24466"/>
    <cellStyle name="Normal 7 2 12" xfId="24467"/>
    <cellStyle name="Normal 7 2 2 7" xfId="24468"/>
    <cellStyle name="Normal 7 2 3 7" xfId="24469"/>
    <cellStyle name="Normal 7 2 4 7" xfId="24470"/>
    <cellStyle name="Normal 7 2 5 7" xfId="24471"/>
    <cellStyle name="Normal 7 20 7" xfId="24472"/>
    <cellStyle name="Normal 7 22 7" xfId="24473"/>
    <cellStyle name="Normal 7 3 11" xfId="24474"/>
    <cellStyle name="Normal 7 3 2 7" xfId="24475"/>
    <cellStyle name="Normal 7 3 3 7" xfId="24476"/>
    <cellStyle name="Normal 7 3 4 7" xfId="24477"/>
    <cellStyle name="Normal 7 3 5 7" xfId="24478"/>
    <cellStyle name="Normal 7 4 7" xfId="24479"/>
    <cellStyle name="Normal 7 5 7" xfId="24480"/>
    <cellStyle name="Normal 7 6 7" xfId="24481"/>
    <cellStyle name="Normal 7 7 7" xfId="24482"/>
    <cellStyle name="Normal 7 8 7" xfId="24483"/>
    <cellStyle name="Normal 7 9 7" xfId="24484"/>
    <cellStyle name="Normal 8 25 7" xfId="24485"/>
    <cellStyle name="Normal 8 10 7" xfId="24486"/>
    <cellStyle name="Normal 8 11 7" xfId="24487"/>
    <cellStyle name="Normal 8 12 7" xfId="24488"/>
    <cellStyle name="Normal 8 13 7" xfId="24489"/>
    <cellStyle name="Normal 8 14 7" xfId="24490"/>
    <cellStyle name="Normal 8 15 7" xfId="24491"/>
    <cellStyle name="Normal 8 16 7" xfId="24492"/>
    <cellStyle name="Normal 8 17 7" xfId="24493"/>
    <cellStyle name="Normal 8 18 7" xfId="24494"/>
    <cellStyle name="Normal 8 19 7" xfId="24495"/>
    <cellStyle name="Normal 8 2 6 7" xfId="24496"/>
    <cellStyle name="Normal 8 2 2 2 7" xfId="24497"/>
    <cellStyle name="Normal 8 2 3 7" xfId="24498"/>
    <cellStyle name="Normal 8 2 4 7" xfId="24499"/>
    <cellStyle name="Normal 8 2 5 7" xfId="24500"/>
    <cellStyle name="Normal 8 20 7" xfId="24501"/>
    <cellStyle name="Normal 8 22 7" xfId="24502"/>
    <cellStyle name="Normal 8 3 6 7" xfId="24503"/>
    <cellStyle name="Normal 8 3 2 7" xfId="24504"/>
    <cellStyle name="Normal 8 3 3 7" xfId="24505"/>
    <cellStyle name="Normal 8 3 4 7" xfId="24506"/>
    <cellStyle name="Normal 8 3 5 7" xfId="24507"/>
    <cellStyle name="Normal 8 4 7" xfId="24508"/>
    <cellStyle name="Normal 8 5 7" xfId="24509"/>
    <cellStyle name="Normal 8 6 7" xfId="24510"/>
    <cellStyle name="Normal 8 7 7" xfId="24511"/>
    <cellStyle name="Normal 8 8 7" xfId="24512"/>
    <cellStyle name="Normal 8 9 7" xfId="24513"/>
    <cellStyle name="Normal 9 25 7" xfId="24514"/>
    <cellStyle name="Normal 9 10 7" xfId="24515"/>
    <cellStyle name="Normal 9 11 7" xfId="24516"/>
    <cellStyle name="Normal 9 12 7" xfId="24517"/>
    <cellStyle name="Normal 9 13 7" xfId="24518"/>
    <cellStyle name="Normal 9 14 7" xfId="24519"/>
    <cellStyle name="Normal 9 15 7" xfId="24520"/>
    <cellStyle name="Normal 9 16 7" xfId="24521"/>
    <cellStyle name="Normal 9 17 7" xfId="24522"/>
    <cellStyle name="Normal 9 18 7" xfId="24523"/>
    <cellStyle name="Normal 9 19 7" xfId="24524"/>
    <cellStyle name="Normal 9 2 12" xfId="24525"/>
    <cellStyle name="Normal 9 2 2 7" xfId="24526"/>
    <cellStyle name="Normal 9 2 3 7" xfId="24527"/>
    <cellStyle name="Normal 9 2 4 7" xfId="24528"/>
    <cellStyle name="Normal 9 2 5 7" xfId="24529"/>
    <cellStyle name="Normal 9 20 7" xfId="24530"/>
    <cellStyle name="Normal 9 22 7" xfId="24531"/>
    <cellStyle name="Normal 9 3 11" xfId="24532"/>
    <cellStyle name="Normal 9 3 2 7" xfId="24533"/>
    <cellStyle name="Normal 9 3 3 7" xfId="24534"/>
    <cellStyle name="Normal 9 3 4 7" xfId="24535"/>
    <cellStyle name="Normal 9 3 5 7" xfId="24536"/>
    <cellStyle name="Normal 9 4 7" xfId="24537"/>
    <cellStyle name="Normal 9 5 7" xfId="24538"/>
    <cellStyle name="Normal 9 6 7" xfId="24539"/>
    <cellStyle name="Normal 9 7 7" xfId="24540"/>
    <cellStyle name="Normal 9 8 7" xfId="24541"/>
    <cellStyle name="Normal 9 9 7" xfId="24542"/>
    <cellStyle name="Note 2 17 2" xfId="24543"/>
    <cellStyle name="Note 3 7" xfId="24544"/>
    <cellStyle name="Note 4 7" xfId="24545"/>
    <cellStyle name="Note 7 7" xfId="24546"/>
    <cellStyle name="Percent 120 7" xfId="24547"/>
    <cellStyle name="Percent 121 7" xfId="24548"/>
    <cellStyle name="Percent 122 7" xfId="24549"/>
    <cellStyle name="Percent 123 7" xfId="24550"/>
    <cellStyle name="Percent 124 7" xfId="24551"/>
    <cellStyle name="Percent 125 7" xfId="24552"/>
    <cellStyle name="Percent 126 7" xfId="24553"/>
    <cellStyle name="Percent 127 7" xfId="24554"/>
    <cellStyle name="Percent 128 7" xfId="24555"/>
    <cellStyle name="Percent 129 7" xfId="24556"/>
    <cellStyle name="Percent 130 7" xfId="24557"/>
    <cellStyle name="Percent 159 7" xfId="24558"/>
    <cellStyle name="Percent 2 22 7 2" xfId="24559"/>
    <cellStyle name="Percent 25 2 8" xfId="24560"/>
    <cellStyle name="Percent 25 2 2 7" xfId="24561"/>
    <cellStyle name="Percent 25 3 8" xfId="24562"/>
    <cellStyle name="Percent 25 3 2 7" xfId="24563"/>
    <cellStyle name="Percent 25 4 2 7" xfId="24564"/>
    <cellStyle name="Percent 25 5 7" xfId="24565"/>
    <cellStyle name="Percent 26 2 8" xfId="24566"/>
    <cellStyle name="Percent 26 2 2 7" xfId="24567"/>
    <cellStyle name="Percent 26 3 8" xfId="24568"/>
    <cellStyle name="Percent 26 3 2 7" xfId="24569"/>
    <cellStyle name="Percent 26 4 2 7" xfId="24570"/>
    <cellStyle name="Percent 26 5 7" xfId="24571"/>
    <cellStyle name="Percent 27 2 8" xfId="24572"/>
    <cellStyle name="Percent 27 2 2 7" xfId="24573"/>
    <cellStyle name="Percent 27 3 8" xfId="24574"/>
    <cellStyle name="Percent 27 3 2 7" xfId="24575"/>
    <cellStyle name="Percent 27 4 2 7" xfId="24576"/>
    <cellStyle name="Percent 27 5 7" xfId="24577"/>
    <cellStyle name="Percent 28 2 8" xfId="24578"/>
    <cellStyle name="Percent 28 2 2 7" xfId="24579"/>
    <cellStyle name="Percent 28 3 8" xfId="24580"/>
    <cellStyle name="Percent 28 3 2 7" xfId="24581"/>
    <cellStyle name="Percent 28 4 2 7" xfId="24582"/>
    <cellStyle name="Percent 28 5 7" xfId="24583"/>
    <cellStyle name="Percent 29 2 8" xfId="24584"/>
    <cellStyle name="Percent 29 2 2 7" xfId="24585"/>
    <cellStyle name="Percent 29 3 8" xfId="24586"/>
    <cellStyle name="Percent 29 3 2 7" xfId="24587"/>
    <cellStyle name="Percent 29 4 2 7" xfId="24588"/>
    <cellStyle name="Percent 29 5 7" xfId="24589"/>
    <cellStyle name="Percent 3 10 7 2" xfId="24590"/>
    <cellStyle name="Percent 3 11 7 2" xfId="24591"/>
    <cellStyle name="Percent 3 12 7 2" xfId="24592"/>
    <cellStyle name="Percent 3 13 7 2" xfId="24593"/>
    <cellStyle name="Percent 3 14 7 2" xfId="24594"/>
    <cellStyle name="Percent 3 15 7 2" xfId="24595"/>
    <cellStyle name="Percent 3 16 7 2" xfId="24596"/>
    <cellStyle name="Percent 3 17 7 2" xfId="24597"/>
    <cellStyle name="Percent 3 18 7 2" xfId="24598"/>
    <cellStyle name="Percent 3 19 7 2" xfId="24599"/>
    <cellStyle name="Percent 3 2 28 2" xfId="24600"/>
    <cellStyle name="Percent 3 2 10 7" xfId="24601"/>
    <cellStyle name="Percent 3 2 11 7" xfId="24602"/>
    <cellStyle name="Percent 3 2 12 7" xfId="24603"/>
    <cellStyle name="Percent 3 2 13 7" xfId="24604"/>
    <cellStyle name="Percent 3 2 14 7" xfId="24605"/>
    <cellStyle name="Percent 3 2 15 7" xfId="24606"/>
    <cellStyle name="Percent 3 2 16 7" xfId="24607"/>
    <cellStyle name="Percent 3 2 17 7" xfId="24608"/>
    <cellStyle name="Percent 3 2 18 7" xfId="24609"/>
    <cellStyle name="Percent 3 2 19 7" xfId="24610"/>
    <cellStyle name="Percent 3 2 2 2 7" xfId="24611"/>
    <cellStyle name="Percent 3 2 2 3 7" xfId="24612"/>
    <cellStyle name="Percent 3 2 2 4 7" xfId="24613"/>
    <cellStyle name="Percent 3 2 2 5 7" xfId="24614"/>
    <cellStyle name="Percent 3 2 20 7" xfId="24615"/>
    <cellStyle name="Percent 3 2 21 2 7" xfId="24616"/>
    <cellStyle name="Percent 3 2 3 11" xfId="24617"/>
    <cellStyle name="Percent 3 2 3 2 7" xfId="24618"/>
    <cellStyle name="Percent 3 2 3 3 7" xfId="24619"/>
    <cellStyle name="Percent 3 2 3 4 7" xfId="24620"/>
    <cellStyle name="Percent 3 2 3 5 7" xfId="24621"/>
    <cellStyle name="Percent 3 2 4 8" xfId="24622"/>
    <cellStyle name="Percent 3 2 4 2 7" xfId="24623"/>
    <cellStyle name="Percent 3 2 5 8" xfId="24624"/>
    <cellStyle name="Percent 3 2 5 2 7" xfId="24625"/>
    <cellStyle name="Percent 3 2 6 8" xfId="24626"/>
    <cellStyle name="Percent 3 2 6 2 7" xfId="24627"/>
    <cellStyle name="Percent 3 2 7 7" xfId="24628"/>
    <cellStyle name="Percent 3 2 8 7" xfId="24629"/>
    <cellStyle name="Percent 3 2 9 7" xfId="24630"/>
    <cellStyle name="Percent 3 20 7 2" xfId="24631"/>
    <cellStyle name="Percent 3 21 7 2" xfId="24632"/>
    <cellStyle name="Percent 3 3 2 7 2" xfId="24633"/>
    <cellStyle name="Percent 3 3 3 7" xfId="24634"/>
    <cellStyle name="Percent 3 3 4 7" xfId="24635"/>
    <cellStyle name="Percent 3 3 5 7" xfId="24636"/>
    <cellStyle name="Percent 3 4 11 2" xfId="24637"/>
    <cellStyle name="Percent 3 4 2 7 2" xfId="24638"/>
    <cellStyle name="Percent 3 4 3 7" xfId="24639"/>
    <cellStyle name="Percent 3 4 4 7" xfId="24640"/>
    <cellStyle name="Percent 3 4 5 7" xfId="24641"/>
    <cellStyle name="Percent 3 5 8 2" xfId="24642"/>
    <cellStyle name="Percent 3 5 2 7" xfId="24643"/>
    <cellStyle name="Percent 3 6 8 2" xfId="24644"/>
    <cellStyle name="Percent 3 6 2 7" xfId="24645"/>
    <cellStyle name="Percent 3 7 8 2" xfId="24646"/>
    <cellStyle name="Percent 3 7 2 7" xfId="24647"/>
    <cellStyle name="Percent 3 8 7 2" xfId="24648"/>
    <cellStyle name="Percent 3 9 7 2" xfId="24649"/>
    <cellStyle name="Percent 30 2 8" xfId="24650"/>
    <cellStyle name="Percent 30 2 2 7" xfId="24651"/>
    <cellStyle name="Percent 30 3 8" xfId="24652"/>
    <cellStyle name="Percent 30 3 2 7" xfId="24653"/>
    <cellStyle name="Percent 30 4 2 7" xfId="24654"/>
    <cellStyle name="Percent 30 5 7" xfId="24655"/>
    <cellStyle name="Percent 31 2 8" xfId="24656"/>
    <cellStyle name="Percent 31 2 2 7" xfId="24657"/>
    <cellStyle name="Percent 31 3 8" xfId="24658"/>
    <cellStyle name="Percent 31 3 2 7" xfId="24659"/>
    <cellStyle name="Percent 31 4 2 7" xfId="24660"/>
    <cellStyle name="Percent 31 5 7" xfId="24661"/>
    <cellStyle name="Percent 32 2 8" xfId="24662"/>
    <cellStyle name="Percent 32 2 2 7" xfId="24663"/>
    <cellStyle name="Percent 32 3 8" xfId="24664"/>
    <cellStyle name="Percent 32 3 2 7" xfId="24665"/>
    <cellStyle name="Percent 32 4 2 7" xfId="24666"/>
    <cellStyle name="Percent 32 5 7" xfId="24667"/>
    <cellStyle name="Percent 33 2 8" xfId="24668"/>
    <cellStyle name="Percent 33 2 2 7" xfId="24669"/>
    <cellStyle name="Percent 33 3 8" xfId="24670"/>
    <cellStyle name="Percent 33 3 2 7" xfId="24671"/>
    <cellStyle name="Percent 33 4 2 7" xfId="24672"/>
    <cellStyle name="Percent 33 5 7" xfId="24673"/>
    <cellStyle name="Percent 34 2 8" xfId="24674"/>
    <cellStyle name="Percent 34 2 2 7" xfId="24675"/>
    <cellStyle name="Percent 34 3 8" xfId="24676"/>
    <cellStyle name="Percent 34 3 2 7" xfId="24677"/>
    <cellStyle name="Percent 34 4 2 7" xfId="24678"/>
    <cellStyle name="Percent 34 5 7" xfId="24679"/>
    <cellStyle name="Percent 35 2 8" xfId="24680"/>
    <cellStyle name="Percent 35 2 2 7" xfId="24681"/>
    <cellStyle name="Percent 35 3 8" xfId="24682"/>
    <cellStyle name="Percent 35 3 2 7" xfId="24683"/>
    <cellStyle name="Percent 35 4 2 7" xfId="24684"/>
    <cellStyle name="Percent 35 5 7" xfId="24685"/>
    <cellStyle name="Currency 5 4 7" xfId="24686"/>
    <cellStyle name="Comma 5 7 7 2" xfId="24687"/>
    <cellStyle name="Percent 5 4 7 2" xfId="24688"/>
    <cellStyle name="Comma 6 5 7" xfId="24689"/>
    <cellStyle name="Currency 5 2 4 7" xfId="24690"/>
    <cellStyle name="Comma 5 2 4 7" xfId="24691"/>
    <cellStyle name="Percent 5 2 4 7" xfId="24692"/>
    <cellStyle name="Comma 6 2 3 7" xfId="24693"/>
    <cellStyle name="Currency 5 3 2 7" xfId="24694"/>
    <cellStyle name="Comma 5 3 2 7 2" xfId="24695"/>
    <cellStyle name="Percent 5 3 2 7 2" xfId="24696"/>
    <cellStyle name="Comma 6 3 4 7" xfId="24697"/>
    <cellStyle name="Normal 11 2 2 7" xfId="24698"/>
    <cellStyle name="Currency 5 2 2 2 7" xfId="24699"/>
    <cellStyle name="Comma 5 2 2 2 7" xfId="24700"/>
    <cellStyle name="Percent 5 2 2 2 8" xfId="24701"/>
    <cellStyle name="Comma 6 2 2 2 7" xfId="24702"/>
    <cellStyle name="Normal 51 7" xfId="24703"/>
    <cellStyle name="Comma 187 7" xfId="24704"/>
    <cellStyle name="Percent 163 7" xfId="24705"/>
    <cellStyle name="Currency 162 7" xfId="24706"/>
    <cellStyle name="Currency 5 6 6" xfId="24707"/>
    <cellStyle name="Currency 179 6" xfId="24708"/>
    <cellStyle name="Percent 180 6" xfId="24709"/>
    <cellStyle name="Comma 204 6" xfId="24710"/>
    <cellStyle name="Normal 8 26 6" xfId="24711"/>
    <cellStyle name="Comma 5 9 6 2" xfId="24712"/>
    <cellStyle name="Percent 5 6 6 2" xfId="24713"/>
    <cellStyle name="Comma 6 7 6" xfId="24714"/>
    <cellStyle name="Normal 11 5 6" xfId="24715"/>
    <cellStyle name="Currency 5 2 6 6" xfId="24716"/>
    <cellStyle name="Normal 8 2 7 6" xfId="24717"/>
    <cellStyle name="Comma 5 2 6 6" xfId="24718"/>
    <cellStyle name="Percent 5 2 6 6" xfId="24719"/>
    <cellStyle name="Comma 6 2 5 6" xfId="24720"/>
    <cellStyle name="Currency 5 3 4 6" xfId="24721"/>
    <cellStyle name="Normal 8 3 7 6" xfId="24722"/>
    <cellStyle name="Comma 5 3 4 6" xfId="24723"/>
    <cellStyle name="Percent 5 3 4 6" xfId="24724"/>
    <cellStyle name="Comma 6 3 6 6" xfId="24725"/>
    <cellStyle name="Normal 11 2 4 6" xfId="24726"/>
    <cellStyle name="Currency 5 2 2 4 6" xfId="24727"/>
    <cellStyle name="Normal 8 2 2 3 6" xfId="24728"/>
    <cellStyle name="Comma 5 2 2 4 6" xfId="24729"/>
    <cellStyle name="Percent 5 2 2 4 6" xfId="24730"/>
    <cellStyle name="Comma 6 2 2 3 6" xfId="24731"/>
    <cellStyle name="Normal 50 2 6" xfId="24732"/>
    <cellStyle name="Comma 186 2 6" xfId="24733"/>
    <cellStyle name="Percent 162 2 6" xfId="24734"/>
    <cellStyle name="Normal 2 24 2 6" xfId="24735"/>
    <cellStyle name="20% - Accent1 2 2 6 2" xfId="24736"/>
    <cellStyle name="20% - Accent1 3 2 6 2" xfId="24737"/>
    <cellStyle name="20% - Accent1 4 2 6 2" xfId="24738"/>
    <cellStyle name="20% - Accent1 5 2 6 2" xfId="24739"/>
    <cellStyle name="20% - Accent2 2 2 6 2" xfId="24740"/>
    <cellStyle name="20% - Accent2 3 2 6 2" xfId="24741"/>
    <cellStyle name="20% - Accent2 4 2 6 2" xfId="24742"/>
    <cellStyle name="20% - Accent2 5 2 6 2" xfId="24743"/>
    <cellStyle name="20% - Accent3 2 2 6 2" xfId="24744"/>
    <cellStyle name="20% - Accent3 3 2 6 2" xfId="24745"/>
    <cellStyle name="20% - Accent3 4 2 6 2" xfId="24746"/>
    <cellStyle name="20% - Accent3 5 2 6 2" xfId="24747"/>
    <cellStyle name="20% - Accent4 2 2 6 2" xfId="24748"/>
    <cellStyle name="20% - Accent4 3 2 6 2" xfId="24749"/>
    <cellStyle name="20% - Accent4 4 2 6 2" xfId="24750"/>
    <cellStyle name="20% - Accent4 5 2 6 2" xfId="24751"/>
    <cellStyle name="20% - Accent5 2 2 6 2" xfId="24752"/>
    <cellStyle name="20% - Accent5 3 2 6 2" xfId="24753"/>
    <cellStyle name="20% - Accent5 4 2 6 2" xfId="24754"/>
    <cellStyle name="20% - Accent6 2 2 6 2" xfId="24755"/>
    <cellStyle name="20% - Accent6 3 2 6 2" xfId="24756"/>
    <cellStyle name="20% - Accent6 4 2 6 2" xfId="24757"/>
    <cellStyle name="40% - Accent1 2 2 6 2" xfId="24758"/>
    <cellStyle name="40% - Accent1 3 2 6 2" xfId="24759"/>
    <cellStyle name="40% - Accent1 4 2 6 2" xfId="24760"/>
    <cellStyle name="40% - Accent1 5 2 6 2" xfId="24761"/>
    <cellStyle name="40% - Accent2 2 2 6 2" xfId="24762"/>
    <cellStyle name="40% - Accent2 3 2 6 2" xfId="24763"/>
    <cellStyle name="40% - Accent2 4 2 6 2" xfId="24764"/>
    <cellStyle name="40% - Accent3 2 2 6 2" xfId="24765"/>
    <cellStyle name="40% - Accent3 3 2 6 2" xfId="24766"/>
    <cellStyle name="40% - Accent3 4 2 6 2" xfId="24767"/>
    <cellStyle name="40% - Accent3 5 2 6 2" xfId="24768"/>
    <cellStyle name="40% - Accent4 2 2 6 2" xfId="24769"/>
    <cellStyle name="40% - Accent4 3 2 6 2" xfId="24770"/>
    <cellStyle name="40% - Accent4 4 2 6 2" xfId="24771"/>
    <cellStyle name="40% - Accent4 5 2 6 2" xfId="24772"/>
    <cellStyle name="40% - Accent5 2 2 6 2" xfId="24773"/>
    <cellStyle name="40% - Accent5 3 2 6 2" xfId="24774"/>
    <cellStyle name="40% - Accent5 4 2 6 2" xfId="24775"/>
    <cellStyle name="40% - Accent6 2 2 6 2" xfId="24776"/>
    <cellStyle name="40% - Accent6 3 2 6 2" xfId="24777"/>
    <cellStyle name="40% - Accent6 4 2 6 2" xfId="24778"/>
    <cellStyle name="40% - Accent6 5 2 6 2" xfId="24779"/>
    <cellStyle name="Comma 143 2 6" xfId="24780"/>
    <cellStyle name="Comma 144 2 6" xfId="24781"/>
    <cellStyle name="Comma 145 2 6" xfId="24782"/>
    <cellStyle name="Comma 146 2 6" xfId="24783"/>
    <cellStyle name="Comma 147 2 6" xfId="24784"/>
    <cellStyle name="Comma 148 2 6" xfId="24785"/>
    <cellStyle name="Comma 149 2 6" xfId="24786"/>
    <cellStyle name="Comma 150 2 6" xfId="24787"/>
    <cellStyle name="Comma 151 2 6" xfId="24788"/>
    <cellStyle name="Comma 152 2 6" xfId="24789"/>
    <cellStyle name="Comma 153 2 6" xfId="24790"/>
    <cellStyle name="Comma 182 2 6" xfId="24791"/>
    <cellStyle name="Comma 2 23 2 6" xfId="24792"/>
    <cellStyle name="Comma 2 2 10 2 6" xfId="24793"/>
    <cellStyle name="Comma 2 2 11 2 6" xfId="24794"/>
    <cellStyle name="Comma 2 2 12 2 6" xfId="24795"/>
    <cellStyle name="Comma 2 2 13 2 6" xfId="24796"/>
    <cellStyle name="Comma 2 2 14 2 6" xfId="24797"/>
    <cellStyle name="Comma 2 2 15 2 6" xfId="24798"/>
    <cellStyle name="Comma 2 2 16 2 6" xfId="24799"/>
    <cellStyle name="Comma 2 2 17 2 6" xfId="24800"/>
    <cellStyle name="Comma 2 2 2 2 6 6" xfId="24801"/>
    <cellStyle name="Comma 2 2 2 2 2 2 6" xfId="24802"/>
    <cellStyle name="Comma 2 2 2 2 3 2 6" xfId="24803"/>
    <cellStyle name="Comma 2 2 2 2 4 2 6" xfId="24804"/>
    <cellStyle name="Comma 2 2 2 2 5 2 6" xfId="24805"/>
    <cellStyle name="Comma 2 2 2 3 2 6" xfId="24806"/>
    <cellStyle name="Comma 2 2 2 4 2 6" xfId="24807"/>
    <cellStyle name="Comma 2 2 2 5 2 6" xfId="24808"/>
    <cellStyle name="Comma 2 2 2 6 2 6" xfId="24809"/>
    <cellStyle name="Comma 2 2 3 6 6" xfId="24810"/>
    <cellStyle name="Comma 2 2 3 2 2 2 6" xfId="24811"/>
    <cellStyle name="Comma 2 2 3 2 3 2 6" xfId="24812"/>
    <cellStyle name="Comma 2 2 3 2 4 2 6" xfId="24813"/>
    <cellStyle name="Comma 2 2 3 2 5 2 6" xfId="24814"/>
    <cellStyle name="Comma 2 2 3 3 2 6" xfId="24815"/>
    <cellStyle name="Comma 2 2 4 2 2 6" xfId="24816"/>
    <cellStyle name="Comma 2 2 5 2 6" xfId="24817"/>
    <cellStyle name="Comma 2 2 6 2 6" xfId="24818"/>
    <cellStyle name="Comma 2 2 7 2 6" xfId="24819"/>
    <cellStyle name="Comma 2 2 8 2 6" xfId="24820"/>
    <cellStyle name="Comma 2 2 9 2 6" xfId="24821"/>
    <cellStyle name="Comma 3 10 2 6" xfId="24822"/>
    <cellStyle name="Comma 3 11 2 6" xfId="24823"/>
    <cellStyle name="Comma 3 12 2 6" xfId="24824"/>
    <cellStyle name="Comma 3 13 2 6" xfId="24825"/>
    <cellStyle name="Comma 3 14 2 6" xfId="24826"/>
    <cellStyle name="Comma 3 15 2 6" xfId="24827"/>
    <cellStyle name="Comma 3 16 2 6" xfId="24828"/>
    <cellStyle name="Comma 3 17 2 6" xfId="24829"/>
    <cellStyle name="Comma 3 18 2 6" xfId="24830"/>
    <cellStyle name="Comma 3 19 2 6" xfId="24831"/>
    <cellStyle name="Comma 3 2 2 2 6" xfId="24832"/>
    <cellStyle name="Comma 3 2 3 2 6" xfId="24833"/>
    <cellStyle name="Comma 3 2 4 2 6" xfId="24834"/>
    <cellStyle name="Comma 3 2 5 2 6" xfId="24835"/>
    <cellStyle name="Comma 3 20 2 6" xfId="24836"/>
    <cellStyle name="Comma 3 21 2 6" xfId="24837"/>
    <cellStyle name="Comma 3 3 6 6" xfId="24838"/>
    <cellStyle name="Comma 3 3 2 2 6" xfId="24839"/>
    <cellStyle name="Comma 3 3 3 2 6" xfId="24840"/>
    <cellStyle name="Comma 3 3 4 2 6" xfId="24841"/>
    <cellStyle name="Comma 3 3 5 2 6" xfId="24842"/>
    <cellStyle name="Comma 3 4 3 6" xfId="24843"/>
    <cellStyle name="Comma 3 4 2 2 6" xfId="24844"/>
    <cellStyle name="Comma 3 5 3 6" xfId="24845"/>
    <cellStyle name="Comma 3 5 2 2 6" xfId="24846"/>
    <cellStyle name="Comma 3 6 3 6" xfId="24847"/>
    <cellStyle name="Comma 3 6 2 2 6" xfId="24848"/>
    <cellStyle name="Comma 3 7 2 6" xfId="24849"/>
    <cellStyle name="Comma 3 8 2 6" xfId="24850"/>
    <cellStyle name="Comma 3 9 2 6" xfId="24851"/>
    <cellStyle name="Currency 120 2 6" xfId="24852"/>
    <cellStyle name="Currency 121 2 6" xfId="24853"/>
    <cellStyle name="Currency 122 2 6" xfId="24854"/>
    <cellStyle name="Currency 123 2 6" xfId="24855"/>
    <cellStyle name="Currency 124 2 6" xfId="24856"/>
    <cellStyle name="Currency 125 2 6" xfId="24857"/>
    <cellStyle name="Currency 126 2 6" xfId="24858"/>
    <cellStyle name="Currency 127 2 6" xfId="24859"/>
    <cellStyle name="Currency 128 2 6" xfId="24860"/>
    <cellStyle name="Currency 129 2 6" xfId="24861"/>
    <cellStyle name="Currency 130 2 6" xfId="24862"/>
    <cellStyle name="Currency 159 2 6" xfId="24863"/>
    <cellStyle name="Currency 2 27 2 6" xfId="24864"/>
    <cellStyle name="Currency 2 2 20 2 6" xfId="24865"/>
    <cellStyle name="Currency 2 2 10 2 6" xfId="24866"/>
    <cellStyle name="Currency 2 2 11 2 6" xfId="24867"/>
    <cellStyle name="Currency 2 2 12 2 6" xfId="24868"/>
    <cellStyle name="Currency 2 2 13 2 6" xfId="24869"/>
    <cellStyle name="Currency 2 2 14 2 6" xfId="24870"/>
    <cellStyle name="Currency 2 2 15 2 6" xfId="24871"/>
    <cellStyle name="Currency 2 2 16 2 6" xfId="24872"/>
    <cellStyle name="Currency 2 2 17 2 6" xfId="24873"/>
    <cellStyle name="Currency 2 2 18 2 6" xfId="24874"/>
    <cellStyle name="Currency 2 2 2 2 2 6" xfId="24875"/>
    <cellStyle name="Currency 2 2 2 3 2 6" xfId="24876"/>
    <cellStyle name="Currency 2 2 2 4 2 6" xfId="24877"/>
    <cellStyle name="Currency 2 2 2 5 2 6" xfId="24878"/>
    <cellStyle name="Currency 2 2 3 6 6" xfId="24879"/>
    <cellStyle name="Currency 2 2 3 2 2 6" xfId="24880"/>
    <cellStyle name="Currency 2 2 3 3 2 6" xfId="24881"/>
    <cellStyle name="Currency 2 2 3 4 2 6" xfId="24882"/>
    <cellStyle name="Currency 2 2 3 5 2 6" xfId="24883"/>
    <cellStyle name="Currency 2 2 4 2 6" xfId="24884"/>
    <cellStyle name="Currency 2 2 5 2 6" xfId="24885"/>
    <cellStyle name="Currency 2 2 6 2 6" xfId="24886"/>
    <cellStyle name="Currency 2 2 7 2 6" xfId="24887"/>
    <cellStyle name="Currency 2 2 8 2 6" xfId="24888"/>
    <cellStyle name="Currency 2 2 9 2 6" xfId="24889"/>
    <cellStyle name="Currency 3 10 2 6" xfId="24890"/>
    <cellStyle name="Currency 3 11 2 6" xfId="24891"/>
    <cellStyle name="Currency 3 12 2 6" xfId="24892"/>
    <cellStyle name="Currency 3 13 2 6" xfId="24893"/>
    <cellStyle name="Currency 3 14 2 6" xfId="24894"/>
    <cellStyle name="Currency 3 15 2 6" xfId="24895"/>
    <cellStyle name="Currency 3 16 2 6" xfId="24896"/>
    <cellStyle name="Currency 3 17 2 6" xfId="24897"/>
    <cellStyle name="Currency 3 18 2 6" xfId="24898"/>
    <cellStyle name="Currency 3 19 2 6" xfId="24899"/>
    <cellStyle name="Currency 3 2 2 2 6" xfId="24900"/>
    <cellStyle name="Currency 3 2 3 2 6" xfId="24901"/>
    <cellStyle name="Currency 3 2 4 2 6" xfId="24902"/>
    <cellStyle name="Currency 3 2 5 2 6" xfId="24903"/>
    <cellStyle name="Currency 3 20 2 6" xfId="24904"/>
    <cellStyle name="Currency 3 21 2 6" xfId="24905"/>
    <cellStyle name="Currency 3 3 8 6" xfId="24906"/>
    <cellStyle name="Currency 3 3 2 2 6" xfId="24907"/>
    <cellStyle name="Currency 3 3 3 2 6" xfId="24908"/>
    <cellStyle name="Currency 3 3 4 2 6" xfId="24909"/>
    <cellStyle name="Currency 3 3 5 2 6" xfId="24910"/>
    <cellStyle name="Currency 3 3 6 2 6" xfId="24911"/>
    <cellStyle name="Currency 3 4 3 6" xfId="24912"/>
    <cellStyle name="Currency 3 4 2 2 6" xfId="24913"/>
    <cellStyle name="Currency 3 5 3 6" xfId="24914"/>
    <cellStyle name="Currency 3 5 2 2 6" xfId="24915"/>
    <cellStyle name="Currency 3 6 3 6" xfId="24916"/>
    <cellStyle name="Currency 3 6 2 2 6" xfId="24917"/>
    <cellStyle name="Currency 3 7 2 6" xfId="24918"/>
    <cellStyle name="Currency 3 8 2 6" xfId="24919"/>
    <cellStyle name="Currency 3 9 2 6" xfId="24920"/>
    <cellStyle name="Normal 10 3 6 6" xfId="24921"/>
    <cellStyle name="Normal 10 3 2 5 6" xfId="24922"/>
    <cellStyle name="Normal 10 3 2 2 3 6" xfId="24923"/>
    <cellStyle name="Normal 10 3 2 2 2 2 6" xfId="24924"/>
    <cellStyle name="Normal 10 3 2 3 3 6" xfId="24925"/>
    <cellStyle name="Normal 10 3 2 3 2 2 6" xfId="24926"/>
    <cellStyle name="Normal 10 3 2 4 2 6" xfId="24927"/>
    <cellStyle name="Normal 10 3 3 3 6" xfId="24928"/>
    <cellStyle name="Normal 10 3 3 2 2 6" xfId="24929"/>
    <cellStyle name="Normal 10 3 4 3 6" xfId="24930"/>
    <cellStyle name="Normal 10 3 4 2 2 6" xfId="24931"/>
    <cellStyle name="Normal 10 3 5 2 6" xfId="24932"/>
    <cellStyle name="Normal 10 4 5 6" xfId="24933"/>
    <cellStyle name="Normal 10 4 2 3 6" xfId="24934"/>
    <cellStyle name="Normal 10 4 2 2 2 6" xfId="24935"/>
    <cellStyle name="Normal 10 4 3 3 6" xfId="24936"/>
    <cellStyle name="Normal 10 4 3 2 2 6" xfId="24937"/>
    <cellStyle name="Normal 10 4 4 2 6" xfId="24938"/>
    <cellStyle name="Normal 10 5 5 6" xfId="24939"/>
    <cellStyle name="Normal 10 5 2 3 6" xfId="24940"/>
    <cellStyle name="Normal 10 5 2 2 2 6" xfId="24941"/>
    <cellStyle name="Normal 10 5 3 3 6" xfId="24942"/>
    <cellStyle name="Normal 10 5 3 2 2 6" xfId="24943"/>
    <cellStyle name="Normal 10 5 4 2 6" xfId="24944"/>
    <cellStyle name="Normal 10 6 3 6" xfId="24945"/>
    <cellStyle name="Normal 10 6 2 2 6" xfId="24946"/>
    <cellStyle name="Normal 10 7 3 6" xfId="24947"/>
    <cellStyle name="Normal 10 7 2 2 6" xfId="24948"/>
    <cellStyle name="Normal 10 8 2 2 6" xfId="24949"/>
    <cellStyle name="Normal 10 9 2 6" xfId="24950"/>
    <cellStyle name="Normal 11 4 2 6" xfId="24951"/>
    <cellStyle name="Normal 11 3 2 6" xfId="24952"/>
    <cellStyle name="Normal 12 8 6" xfId="24953"/>
    <cellStyle name="Normal 12 2 2 5 6" xfId="24954"/>
    <cellStyle name="Normal 12 2 2 2 3 6" xfId="24955"/>
    <cellStyle name="Normal 12 2 2 2 2 2 6" xfId="24956"/>
    <cellStyle name="Normal 12 2 2 3 3 6" xfId="24957"/>
    <cellStyle name="Normal 12 2 2 3 2 2 6" xfId="24958"/>
    <cellStyle name="Normal 12 2 2 4 2 6" xfId="24959"/>
    <cellStyle name="Normal 12 2 3 3 6" xfId="24960"/>
    <cellStyle name="Normal 12 2 3 2 2 6" xfId="24961"/>
    <cellStyle name="Normal 12 2 4 3 6" xfId="24962"/>
    <cellStyle name="Normal 12 2 4 2 2 6" xfId="24963"/>
    <cellStyle name="Normal 12 2 5 2 2 6" xfId="24964"/>
    <cellStyle name="Normal 12 2 6 2 6" xfId="24965"/>
    <cellStyle name="Normal 12 3 5 6" xfId="24966"/>
    <cellStyle name="Normal 12 3 2 3 6" xfId="24967"/>
    <cellStyle name="Normal 12 3 2 2 2 6" xfId="24968"/>
    <cellStyle name="Normal 12 3 3 3 6" xfId="24969"/>
    <cellStyle name="Normal 12 3 3 2 2 6" xfId="24970"/>
    <cellStyle name="Normal 12 3 4 2 6" xfId="24971"/>
    <cellStyle name="Normal 12 4 5 6" xfId="24972"/>
    <cellStyle name="Normal 12 4 2 3 6" xfId="24973"/>
    <cellStyle name="Normal 12 4 2 2 2 6" xfId="24974"/>
    <cellStyle name="Normal 12 4 3 3 6" xfId="24975"/>
    <cellStyle name="Normal 12 4 3 2 2 6" xfId="24976"/>
    <cellStyle name="Normal 12 4 4 2 6" xfId="24977"/>
    <cellStyle name="Normal 12 5 3 6" xfId="24978"/>
    <cellStyle name="Normal 12 5 2 2 6" xfId="24979"/>
    <cellStyle name="Normal 12 6 3 6" xfId="24980"/>
    <cellStyle name="Normal 12 6 2 2 6" xfId="24981"/>
    <cellStyle name="Normal 12 7 2 6" xfId="24982"/>
    <cellStyle name="Normal 15 6 6" xfId="24983"/>
    <cellStyle name="Normal 15 3 2 6" xfId="24984"/>
    <cellStyle name="Normal 16 2 5 6" xfId="24985"/>
    <cellStyle name="Normal 16 2 2 3 6" xfId="24986"/>
    <cellStyle name="Normal 16 2 2 2 2 6" xfId="24987"/>
    <cellStyle name="Normal 16 2 3 3 6" xfId="24988"/>
    <cellStyle name="Normal 16 2 3 2 2 6" xfId="24989"/>
    <cellStyle name="Normal 16 2 4 2 6" xfId="24990"/>
    <cellStyle name="Normal 16 3 3 6" xfId="24991"/>
    <cellStyle name="Normal 16 3 2 2 6" xfId="24992"/>
    <cellStyle name="Normal 16 4 3 6" xfId="24993"/>
    <cellStyle name="Normal 16 4 2 2 6" xfId="24994"/>
    <cellStyle name="Normal 16 5 2 2 6" xfId="24995"/>
    <cellStyle name="Normal 16 6 2 6" xfId="24996"/>
    <cellStyle name="Normal 17 2 5 6" xfId="24997"/>
    <cellStyle name="Normal 17 2 2 3 6" xfId="24998"/>
    <cellStyle name="Normal 17 2 2 2 2 6" xfId="24999"/>
    <cellStyle name="Normal 17 2 3 3 6" xfId="25000"/>
    <cellStyle name="Normal 17 2 3 2 2 6" xfId="25001"/>
    <cellStyle name="Normal 17 2 4 2 6" xfId="25002"/>
    <cellStyle name="Normal 17 3 3 6" xfId="25003"/>
    <cellStyle name="Normal 17 3 2 2 6" xfId="25004"/>
    <cellStyle name="Normal 17 4 3 6" xfId="25005"/>
    <cellStyle name="Normal 17 4 2 2 6" xfId="25006"/>
    <cellStyle name="Normal 17 5 2 2 6" xfId="25007"/>
    <cellStyle name="Normal 17 6 2 6" xfId="25008"/>
    <cellStyle name="Normal 2 10 3 2 6" xfId="25009"/>
    <cellStyle name="Normal 2 11 3 2 6" xfId="25010"/>
    <cellStyle name="Normal 2 12 3 2 6" xfId="25011"/>
    <cellStyle name="Normal 2 13 3 2 6" xfId="25012"/>
    <cellStyle name="Normal 2 14 3 2 6" xfId="25013"/>
    <cellStyle name="Normal 2 15 3 2 6" xfId="25014"/>
    <cellStyle name="Normal 2 16 3 2 6" xfId="25015"/>
    <cellStyle name="Normal 2 17 3 2 6" xfId="25016"/>
    <cellStyle name="Normal 2 18 3 2 6" xfId="25017"/>
    <cellStyle name="Normal 2 19 3 2 6" xfId="25018"/>
    <cellStyle name="Normal 2 2 10 2 6" xfId="25019"/>
    <cellStyle name="Normal 2 2 11 2 6" xfId="25020"/>
    <cellStyle name="Normal 2 2 12 2 6" xfId="25021"/>
    <cellStyle name="Normal 2 2 13 2 6" xfId="25022"/>
    <cellStyle name="Normal 2 2 14 2 6" xfId="25023"/>
    <cellStyle name="Normal 2 2 15 2 6" xfId="25024"/>
    <cellStyle name="Normal 2 2 16 2 6" xfId="25025"/>
    <cellStyle name="Normal 2 2 17 2 6" xfId="25026"/>
    <cellStyle name="Normal 2 2 18 2 6" xfId="25027"/>
    <cellStyle name="Normal 2 2 19 2 6" xfId="25028"/>
    <cellStyle name="Normal 2 2 2 2 6 6" xfId="25029"/>
    <cellStyle name="Normal 2 2 2 2 2 3 6" xfId="25030"/>
    <cellStyle name="Normal 2 2 2 2 2 2 2 6" xfId="25031"/>
    <cellStyle name="Normal 2 2 2 2 3 2 6" xfId="25032"/>
    <cellStyle name="Normal 2 2 2 2 4 2 6" xfId="25033"/>
    <cellStyle name="Normal 2 2 2 2 5 2 6" xfId="25034"/>
    <cellStyle name="Normal 2 2 20 2 6" xfId="25035"/>
    <cellStyle name="Normal 2 2 21 2 6" xfId="25036"/>
    <cellStyle name="Normal 2 2 22 2 6" xfId="25037"/>
    <cellStyle name="Normal 2 2 3 9 6" xfId="25038"/>
    <cellStyle name="Normal 2 2 3 2 2 6" xfId="25039"/>
    <cellStyle name="Normal 2 2 3 3 2 6" xfId="25040"/>
    <cellStyle name="Normal 2 2 3 4 2 6" xfId="25041"/>
    <cellStyle name="Normal 2 2 3 5 2 6" xfId="25042"/>
    <cellStyle name="Normal 2 2 3 6 2 6" xfId="25043"/>
    <cellStyle name="Normal 2 2 4 5 6" xfId="25044"/>
    <cellStyle name="Normal 2 2 4 2 2 6" xfId="25045"/>
    <cellStyle name="Normal 2 2 5 4 6" xfId="25046"/>
    <cellStyle name="Normal 2 2 5 2 2 6" xfId="25047"/>
    <cellStyle name="Normal 2 2 6 2 6" xfId="25048"/>
    <cellStyle name="Normal 2 2 7 2 6" xfId="25049"/>
    <cellStyle name="Normal 2 2 8 2 6" xfId="25050"/>
    <cellStyle name="Normal 2 2 9 2 6" xfId="25051"/>
    <cellStyle name="Normal 2 20 2 6" xfId="25052"/>
    <cellStyle name="Normal 2 3 2 3 6" xfId="25053"/>
    <cellStyle name="Normal 2 3 3 2 6" xfId="25054"/>
    <cellStyle name="Normal 2 3 4 2 6" xfId="25055"/>
    <cellStyle name="Normal 2 3 5 2 6" xfId="25056"/>
    <cellStyle name="Normal 2 3 6 2 6" xfId="25057"/>
    <cellStyle name="Normal 2 4 5 2 6" xfId="25058"/>
    <cellStyle name="Normal 2 4 2 2 6" xfId="25059"/>
    <cellStyle name="Normal 2 5 3 2 6" xfId="25060"/>
    <cellStyle name="Normal 2 6 3 2 6" xfId="25061"/>
    <cellStyle name="Normal 2 7 3 2 6" xfId="25062"/>
    <cellStyle name="Normal 2 8 3 2 6" xfId="25063"/>
    <cellStyle name="Normal 2 9 3 2 6" xfId="25064"/>
    <cellStyle name="Normal 21 9 6" xfId="25065"/>
    <cellStyle name="Normal 21 2 7 6" xfId="25066"/>
    <cellStyle name="Normal 21 2 2 2 6" xfId="25067"/>
    <cellStyle name="Normal 21 2 3 2 6" xfId="25068"/>
    <cellStyle name="Normal 21 2 4 2 6" xfId="25069"/>
    <cellStyle name="Normal 21 2 5 2 6" xfId="25070"/>
    <cellStyle name="Normal 21 2 6 2 6" xfId="25071"/>
    <cellStyle name="Normal 21 3 3 6" xfId="25072"/>
    <cellStyle name="Normal 21 3 2 2 6" xfId="25073"/>
    <cellStyle name="Normal 21 4 2 6" xfId="25074"/>
    <cellStyle name="Normal 21 5 2 6" xfId="25075"/>
    <cellStyle name="Normal 21 6 2 6" xfId="25076"/>
    <cellStyle name="Normal 21 8 2 6" xfId="25077"/>
    <cellStyle name="Normal 22 8 6" xfId="25078"/>
    <cellStyle name="Normal 22 2 7 6" xfId="25079"/>
    <cellStyle name="Normal 22 2 2 2 6" xfId="25080"/>
    <cellStyle name="Normal 22 2 3 2 6" xfId="25081"/>
    <cellStyle name="Normal 22 2 4 2 6" xfId="25082"/>
    <cellStyle name="Normal 22 2 5 2 6" xfId="25083"/>
    <cellStyle name="Normal 22 3 2 6" xfId="25084"/>
    <cellStyle name="Normal 22 4 2 6" xfId="25085"/>
    <cellStyle name="Normal 22 5 2 6" xfId="25086"/>
    <cellStyle name="Normal 22 6 2 6" xfId="25087"/>
    <cellStyle name="Normal 23 8 6" xfId="25088"/>
    <cellStyle name="Normal 23 2 6 6" xfId="25089"/>
    <cellStyle name="Normal 23 2 2 2 6" xfId="25090"/>
    <cellStyle name="Normal 23 2 3 2 6" xfId="25091"/>
    <cellStyle name="Normal 23 2 4 2 6" xfId="25092"/>
    <cellStyle name="Normal 23 2 5 2 6" xfId="25093"/>
    <cellStyle name="Normal 23 3 2 6" xfId="25094"/>
    <cellStyle name="Normal 23 4 2 6" xfId="25095"/>
    <cellStyle name="Normal 23 5 2 6" xfId="25096"/>
    <cellStyle name="Normal 23 6 2 6" xfId="25097"/>
    <cellStyle name="Normal 24 8 6" xfId="25098"/>
    <cellStyle name="Normal 24 2 6 6" xfId="25099"/>
    <cellStyle name="Normal 24 2 2 2 6" xfId="25100"/>
    <cellStyle name="Normal 24 2 3 2 6" xfId="25101"/>
    <cellStyle name="Normal 24 2 4 2 6" xfId="25102"/>
    <cellStyle name="Normal 24 2 5 2 6" xfId="25103"/>
    <cellStyle name="Normal 24 3 2 6" xfId="25104"/>
    <cellStyle name="Normal 24 4 2 6" xfId="25105"/>
    <cellStyle name="Normal 24 5 2 6" xfId="25106"/>
    <cellStyle name="Normal 24 6 2 6" xfId="25107"/>
    <cellStyle name="Normal 26 8 6" xfId="25108"/>
    <cellStyle name="Normal 26 2 6 6" xfId="25109"/>
    <cellStyle name="Normal 26 2 2 2 6" xfId="25110"/>
    <cellStyle name="Normal 26 2 3 2 6" xfId="25111"/>
    <cellStyle name="Normal 26 2 4 2 6" xfId="25112"/>
    <cellStyle name="Normal 26 2 5 2 6" xfId="25113"/>
    <cellStyle name="Normal 26 3 2 6" xfId="25114"/>
    <cellStyle name="Normal 26 4 2 6" xfId="25115"/>
    <cellStyle name="Normal 26 5 2 6" xfId="25116"/>
    <cellStyle name="Normal 26 6 2 6" xfId="25117"/>
    <cellStyle name="Normal 3 10 2 6" xfId="25118"/>
    <cellStyle name="Normal 3 11 2 6" xfId="25119"/>
    <cellStyle name="Normal 3 12 2 6" xfId="25120"/>
    <cellStyle name="Normal 3 13 2 6" xfId="25121"/>
    <cellStyle name="Normal 3 14 2 6" xfId="25122"/>
    <cellStyle name="Normal 3 15 2 6" xfId="25123"/>
    <cellStyle name="Normal 3 16 2 6" xfId="25124"/>
    <cellStyle name="Normal 3 17 2 6" xfId="25125"/>
    <cellStyle name="Normal 3 18 2 6" xfId="25126"/>
    <cellStyle name="Normal 3 19 2 6" xfId="25127"/>
    <cellStyle name="Normal 3 2 2 2 6" xfId="25128"/>
    <cellStyle name="Normal 3 2 3 2 6" xfId="25129"/>
    <cellStyle name="Normal 3 2 4 2 6" xfId="25130"/>
    <cellStyle name="Normal 3 2 5 2 6" xfId="25131"/>
    <cellStyle name="Normal 3 2 6 2 6" xfId="25132"/>
    <cellStyle name="Normal 3 20 2 6" xfId="25133"/>
    <cellStyle name="Normal 3 21 2 6" xfId="25134"/>
    <cellStyle name="Normal 3 22 2 6" xfId="25135"/>
    <cellStyle name="Normal 3 23 2 6" xfId="25136"/>
    <cellStyle name="Normal 3 24 2 6" xfId="25137"/>
    <cellStyle name="Normal 3 3 5 6" xfId="25138"/>
    <cellStyle name="Normal 3 3 2 2 6" xfId="25139"/>
    <cellStyle name="Normal 3 3 3 2 6" xfId="25140"/>
    <cellStyle name="Normal 3 4 3 6" xfId="25141"/>
    <cellStyle name="Normal 3 4 2 2 6" xfId="25142"/>
    <cellStyle name="Normal 3 5 3 6" xfId="25143"/>
    <cellStyle name="Normal 3 5 2 2 6" xfId="25144"/>
    <cellStyle name="Normal 3 6 2 6" xfId="25145"/>
    <cellStyle name="Normal 3 7 2 6" xfId="25146"/>
    <cellStyle name="Normal 3 8 2 6" xfId="25147"/>
    <cellStyle name="Normal 3 9 2 6" xfId="25148"/>
    <cellStyle name="Normal 4 2 10 2 6" xfId="25149"/>
    <cellStyle name="Normal 4 2 11 2 6" xfId="25150"/>
    <cellStyle name="Normal 4 2 12 2 6" xfId="25151"/>
    <cellStyle name="Normal 4 2 13 2 6" xfId="25152"/>
    <cellStyle name="Normal 4 2 14 2 6" xfId="25153"/>
    <cellStyle name="Normal 4 2 15 2 6" xfId="25154"/>
    <cellStyle name="Normal 4 2 16 2 6" xfId="25155"/>
    <cellStyle name="Normal 4 2 17 2 6" xfId="25156"/>
    <cellStyle name="Normal 4 2 18 2 6" xfId="25157"/>
    <cellStyle name="Normal 4 2 19 2 6" xfId="25158"/>
    <cellStyle name="Normal 4 2 2 6 6" xfId="25159"/>
    <cellStyle name="Normal 4 2 2 2 2 6" xfId="25160"/>
    <cellStyle name="Normal 4 2 2 3 2 6" xfId="25161"/>
    <cellStyle name="Normal 4 2 2 4 2 6" xfId="25162"/>
    <cellStyle name="Normal 4 2 2 5 2 6" xfId="25163"/>
    <cellStyle name="Normal 4 2 20 2 6" xfId="25164"/>
    <cellStyle name="Normal 4 2 21 2 6" xfId="25165"/>
    <cellStyle name="Normal 4 2 22 2 6" xfId="25166"/>
    <cellStyle name="Normal 4 2 23 2 6" xfId="25167"/>
    <cellStyle name="Normal 4 2 24 2 6" xfId="25168"/>
    <cellStyle name="Normal 4 2 3 3 6" xfId="25169"/>
    <cellStyle name="Normal 4 2 3 2 2 6" xfId="25170"/>
    <cellStyle name="Normal 4 2 4 3 6" xfId="25171"/>
    <cellStyle name="Normal 4 2 4 2 2 6" xfId="25172"/>
    <cellStyle name="Normal 4 2 5 3 6" xfId="25173"/>
    <cellStyle name="Normal 4 2 5 2 2 6" xfId="25174"/>
    <cellStyle name="Normal 4 2 6 2 6" xfId="25175"/>
    <cellStyle name="Normal 4 2 7 2 6" xfId="25176"/>
    <cellStyle name="Normal 4 2 8 2 6" xfId="25177"/>
    <cellStyle name="Normal 4 2 9 2 6" xfId="25178"/>
    <cellStyle name="Normal 4 3 7 6" xfId="25179"/>
    <cellStyle name="Normal 4 3 2 6 6" xfId="25180"/>
    <cellStyle name="Normal 4 3 2 2 5 6" xfId="25181"/>
    <cellStyle name="Normal 4 3 2 2 2 3 6" xfId="25182"/>
    <cellStyle name="Normal 4 3 2 2 2 2 2 6" xfId="25183"/>
    <cellStyle name="Normal 4 3 2 2 3 3 6" xfId="25184"/>
    <cellStyle name="Normal 4 3 2 2 3 2 2 6" xfId="25185"/>
    <cellStyle name="Normal 4 3 2 2 4 2 6" xfId="25186"/>
    <cellStyle name="Normal 4 3 2 3 3 6" xfId="25187"/>
    <cellStyle name="Normal 4 3 2 3 2 2 6" xfId="25188"/>
    <cellStyle name="Normal 4 3 2 4 3 6" xfId="25189"/>
    <cellStyle name="Normal 4 3 2 4 2 2 6" xfId="25190"/>
    <cellStyle name="Normal 4 3 2 5 2 6" xfId="25191"/>
    <cellStyle name="Normal 4 3 3 5 6" xfId="25192"/>
    <cellStyle name="Normal 4 3 3 2 3 6" xfId="25193"/>
    <cellStyle name="Normal 4 3 3 2 2 2 6" xfId="25194"/>
    <cellStyle name="Normal 4 3 3 3 3 6" xfId="25195"/>
    <cellStyle name="Normal 4 3 3 3 2 2 6" xfId="25196"/>
    <cellStyle name="Normal 4 3 3 4 2 6" xfId="25197"/>
    <cellStyle name="Normal 4 3 4 3 6" xfId="25198"/>
    <cellStyle name="Normal 4 3 4 2 2 6" xfId="25199"/>
    <cellStyle name="Normal 4 3 5 3 6" xfId="25200"/>
    <cellStyle name="Normal 4 3 5 2 2 6" xfId="25201"/>
    <cellStyle name="Normal 4 3 6 2 6" xfId="25202"/>
    <cellStyle name="Normal 4 4 4 6" xfId="25203"/>
    <cellStyle name="Normal 4 4 2 2 6" xfId="25204"/>
    <cellStyle name="Normal 4 5 2 6" xfId="25205"/>
    <cellStyle name="Normal 4 6 2 6" xfId="25206"/>
    <cellStyle name="Normal 4 7 2 6" xfId="25207"/>
    <cellStyle name="Normal 4 8 2 6" xfId="25208"/>
    <cellStyle name="Normal 41 2 2 6" xfId="25209"/>
    <cellStyle name="Normal 46 2 6" xfId="25210"/>
    <cellStyle name="Normal 5 28 2 6 2" xfId="25211"/>
    <cellStyle name="Normal 5 2 7 6" xfId="25212"/>
    <cellStyle name="Normal 5 2 2 2 2 2 6" xfId="25213"/>
    <cellStyle name="Normal 5 2 2 3 2 6" xfId="25214"/>
    <cellStyle name="Normal 5 2 3 2 2 2 6" xfId="25215"/>
    <cellStyle name="Normal 5 2 3 3 2 6" xfId="25216"/>
    <cellStyle name="Normal 5 2 4 2 2 6" xfId="25217"/>
    <cellStyle name="Normal 5 2 6 2 6" xfId="25218"/>
    <cellStyle name="Normal 5 24 2 6 2" xfId="25219"/>
    <cellStyle name="Normal 5 3 3 6" xfId="25220"/>
    <cellStyle name="Normal 5 4 3 6" xfId="25221"/>
    <cellStyle name="Normal 5 5 3 6" xfId="25222"/>
    <cellStyle name="Normal 5 6 3 6" xfId="25223"/>
    <cellStyle name="Normal 5 7 3 6" xfId="25224"/>
    <cellStyle name="Normal 7 25 2 6" xfId="25225"/>
    <cellStyle name="Normal 7 10 2 6" xfId="25226"/>
    <cellStyle name="Normal 7 11 2 6" xfId="25227"/>
    <cellStyle name="Normal 7 12 2 6" xfId="25228"/>
    <cellStyle name="Normal 7 13 2 6" xfId="25229"/>
    <cellStyle name="Normal 7 14 2 6" xfId="25230"/>
    <cellStyle name="Normal 7 15 2 6" xfId="25231"/>
    <cellStyle name="Normal 7 16 2 6" xfId="25232"/>
    <cellStyle name="Normal 7 17 2 6" xfId="25233"/>
    <cellStyle name="Normal 7 18 2 6" xfId="25234"/>
    <cellStyle name="Normal 7 19 2 6" xfId="25235"/>
    <cellStyle name="Normal 7 2 6 6" xfId="25236"/>
    <cellStyle name="Normal 7 2 2 2 6" xfId="25237"/>
    <cellStyle name="Normal 7 2 3 2 6" xfId="25238"/>
    <cellStyle name="Normal 7 2 4 2 6" xfId="25239"/>
    <cellStyle name="Normal 7 2 5 2 6" xfId="25240"/>
    <cellStyle name="Normal 7 20 2 6" xfId="25241"/>
    <cellStyle name="Normal 7 22 2 6" xfId="25242"/>
    <cellStyle name="Normal 7 3 6 6" xfId="25243"/>
    <cellStyle name="Normal 7 3 2 2 6" xfId="25244"/>
    <cellStyle name="Normal 7 3 3 2 6" xfId="25245"/>
    <cellStyle name="Normal 7 3 4 2 6" xfId="25246"/>
    <cellStyle name="Normal 7 3 5 2 6" xfId="25247"/>
    <cellStyle name="Normal 7 4 2 6" xfId="25248"/>
    <cellStyle name="Normal 7 5 2 6" xfId="25249"/>
    <cellStyle name="Normal 7 6 2 6" xfId="25250"/>
    <cellStyle name="Normal 7 7 2 6" xfId="25251"/>
    <cellStyle name="Normal 7 8 2 6" xfId="25252"/>
    <cellStyle name="Normal 7 9 2 6" xfId="25253"/>
    <cellStyle name="Normal 8 25 2 6" xfId="25254"/>
    <cellStyle name="Normal 8 10 2 6" xfId="25255"/>
    <cellStyle name="Normal 8 11 2 6" xfId="25256"/>
    <cellStyle name="Normal 8 12 2 6" xfId="25257"/>
    <cellStyle name="Normal 8 13 2 6" xfId="25258"/>
    <cellStyle name="Normal 8 14 2 6" xfId="25259"/>
    <cellStyle name="Normal 8 15 2 6" xfId="25260"/>
    <cellStyle name="Normal 8 16 2 6" xfId="25261"/>
    <cellStyle name="Normal 8 17 2 6" xfId="25262"/>
    <cellStyle name="Normal 8 18 2 6" xfId="25263"/>
    <cellStyle name="Normal 8 19 2 6" xfId="25264"/>
    <cellStyle name="Normal 8 2 6 2 6" xfId="25265"/>
    <cellStyle name="Normal 8 2 2 2 2 6" xfId="25266"/>
    <cellStyle name="Normal 8 2 3 2 6" xfId="25267"/>
    <cellStyle name="Normal 8 2 4 2 6" xfId="25268"/>
    <cellStyle name="Normal 8 2 5 2 6" xfId="25269"/>
    <cellStyle name="Normal 8 20 2 6" xfId="25270"/>
    <cellStyle name="Normal 8 22 2 6" xfId="25271"/>
    <cellStyle name="Normal 8 3 6 2 6" xfId="25272"/>
    <cellStyle name="Normal 8 3 2 2 6" xfId="25273"/>
    <cellStyle name="Normal 8 3 3 2 6" xfId="25274"/>
    <cellStyle name="Normal 8 3 4 2 6" xfId="25275"/>
    <cellStyle name="Normal 8 3 5 2 6" xfId="25276"/>
    <cellStyle name="Normal 8 4 2 6" xfId="25277"/>
    <cellStyle name="Normal 8 5 2 6" xfId="25278"/>
    <cellStyle name="Normal 8 6 2 6" xfId="25279"/>
    <cellStyle name="Normal 8 7 2 6" xfId="25280"/>
    <cellStyle name="Normal 8 8 2 6" xfId="25281"/>
    <cellStyle name="Normal 8 9 2 6" xfId="25282"/>
    <cellStyle name="Normal 9 25 2 6" xfId="25283"/>
    <cellStyle name="Normal 9 10 2 6" xfId="25284"/>
    <cellStyle name="Normal 9 11 2 6" xfId="25285"/>
    <cellStyle name="Normal 9 12 2 6" xfId="25286"/>
    <cellStyle name="Normal 9 13 2 6" xfId="25287"/>
    <cellStyle name="Normal 9 14 2 6" xfId="25288"/>
    <cellStyle name="Normal 9 15 2 6" xfId="25289"/>
    <cellStyle name="Normal 9 16 2 6" xfId="25290"/>
    <cellStyle name="Normal 9 17 2 6" xfId="25291"/>
    <cellStyle name="Normal 9 18 2 6" xfId="25292"/>
    <cellStyle name="Normal 9 19 2 6" xfId="25293"/>
    <cellStyle name="Normal 9 2 6 6" xfId="25294"/>
    <cellStyle name="Normal 9 2 2 2 6" xfId="25295"/>
    <cellStyle name="Normal 9 2 3 2 6" xfId="25296"/>
    <cellStyle name="Normal 9 2 4 2 6" xfId="25297"/>
    <cellStyle name="Normal 9 2 5 2 6" xfId="25298"/>
    <cellStyle name="Normal 9 20 2 6" xfId="25299"/>
    <cellStyle name="Normal 9 22 2 6" xfId="25300"/>
    <cellStyle name="Normal 9 3 6 6" xfId="25301"/>
    <cellStyle name="Normal 9 3 2 2 6" xfId="25302"/>
    <cellStyle name="Normal 9 3 3 2 6" xfId="25303"/>
    <cellStyle name="Normal 9 3 4 2 6" xfId="25304"/>
    <cellStyle name="Normal 9 3 5 2 6" xfId="25305"/>
    <cellStyle name="Normal 9 4 2 6" xfId="25306"/>
    <cellStyle name="Normal 9 5 2 6" xfId="25307"/>
    <cellStyle name="Normal 9 6 2 6" xfId="25308"/>
    <cellStyle name="Normal 9 7 2 6" xfId="25309"/>
    <cellStyle name="Normal 9 8 2 6" xfId="25310"/>
    <cellStyle name="Normal 9 9 2 6" xfId="25311"/>
    <cellStyle name="Note 2 2 6 2" xfId="25312"/>
    <cellStyle name="Note 3 2 6" xfId="25313"/>
    <cellStyle name="Note 4 2 6" xfId="25314"/>
    <cellStyle name="Note 7 2 6" xfId="25315"/>
    <cellStyle name="Percent 120 2 6" xfId="25316"/>
    <cellStyle name="Percent 121 2 6" xfId="25317"/>
    <cellStyle name="Percent 122 2 6" xfId="25318"/>
    <cellStyle name="Percent 123 2 6" xfId="25319"/>
    <cellStyle name="Percent 124 2 6" xfId="25320"/>
    <cellStyle name="Percent 125 2 6" xfId="25321"/>
    <cellStyle name="Percent 126 2 6" xfId="25322"/>
    <cellStyle name="Percent 127 2 6" xfId="25323"/>
    <cellStyle name="Percent 128 2 6" xfId="25324"/>
    <cellStyle name="Percent 129 2 6" xfId="25325"/>
    <cellStyle name="Percent 130 2 6" xfId="25326"/>
    <cellStyle name="Percent 159 2 6" xfId="25327"/>
    <cellStyle name="Percent 2 22 2 6" xfId="25328"/>
    <cellStyle name="Percent 25 2 3 6" xfId="25329"/>
    <cellStyle name="Percent 25 2 2 2 6" xfId="25330"/>
    <cellStyle name="Percent 25 3 3 6" xfId="25331"/>
    <cellStyle name="Percent 25 3 2 2 6" xfId="25332"/>
    <cellStyle name="Percent 25 4 2 2 6" xfId="25333"/>
    <cellStyle name="Percent 25 5 2 6" xfId="25334"/>
    <cellStyle name="Percent 26 2 3 6" xfId="25335"/>
    <cellStyle name="Percent 26 2 2 2 6" xfId="25336"/>
    <cellStyle name="Percent 26 3 3 6" xfId="25337"/>
    <cellStyle name="Percent 26 3 2 2 6" xfId="25338"/>
    <cellStyle name="Percent 26 4 2 2 6" xfId="25339"/>
    <cellStyle name="Percent 26 5 2 6" xfId="25340"/>
    <cellStyle name="Percent 27 2 3 6" xfId="25341"/>
    <cellStyle name="Percent 27 2 2 2 6" xfId="25342"/>
    <cellStyle name="Percent 27 3 3 6" xfId="25343"/>
    <cellStyle name="Percent 27 3 2 2 6" xfId="25344"/>
    <cellStyle name="Percent 27 4 2 2 6" xfId="25345"/>
    <cellStyle name="Percent 27 5 2 6" xfId="25346"/>
    <cellStyle name="Percent 28 2 3 6" xfId="25347"/>
    <cellStyle name="Percent 28 2 2 2 6" xfId="25348"/>
    <cellStyle name="Percent 28 3 3 6" xfId="25349"/>
    <cellStyle name="Percent 28 3 2 2 6" xfId="25350"/>
    <cellStyle name="Percent 28 4 2 2 6" xfId="25351"/>
    <cellStyle name="Percent 28 5 2 6" xfId="25352"/>
    <cellStyle name="Percent 29 2 3 6" xfId="25353"/>
    <cellStyle name="Percent 29 2 2 2 6" xfId="25354"/>
    <cellStyle name="Percent 29 3 3 6" xfId="25355"/>
    <cellStyle name="Percent 29 3 2 2 6" xfId="25356"/>
    <cellStyle name="Percent 29 4 2 2 6" xfId="25357"/>
    <cellStyle name="Percent 29 5 2 6" xfId="25358"/>
    <cellStyle name="Percent 3 10 2 6" xfId="25359"/>
    <cellStyle name="Percent 3 11 2 6" xfId="25360"/>
    <cellStyle name="Percent 3 12 2 6" xfId="25361"/>
    <cellStyle name="Percent 3 13 2 6" xfId="25362"/>
    <cellStyle name="Percent 3 14 2 6" xfId="25363"/>
    <cellStyle name="Percent 3 15 2 6" xfId="25364"/>
    <cellStyle name="Percent 3 16 2 6" xfId="25365"/>
    <cellStyle name="Percent 3 17 2 6" xfId="25366"/>
    <cellStyle name="Percent 3 18 2 6" xfId="25367"/>
    <cellStyle name="Percent 3 19 2 6" xfId="25368"/>
    <cellStyle name="Percent 3 2 23 6" xfId="25369"/>
    <cellStyle name="Percent 3 2 10 2 6" xfId="25370"/>
    <cellStyle name="Percent 3 2 11 2 6" xfId="25371"/>
    <cellStyle name="Percent 3 2 12 2 6" xfId="25372"/>
    <cellStyle name="Percent 3 2 13 2 6" xfId="25373"/>
    <cellStyle name="Percent 3 2 14 2 6" xfId="25374"/>
    <cellStyle name="Percent 3 2 15 2 6" xfId="25375"/>
    <cellStyle name="Percent 3 2 16 2 6" xfId="25376"/>
    <cellStyle name="Percent 3 2 17 2 6" xfId="25377"/>
    <cellStyle name="Percent 3 2 18 2 6" xfId="25378"/>
    <cellStyle name="Percent 3 2 19 2 6" xfId="25379"/>
    <cellStyle name="Percent 3 2 2 2 2 6" xfId="25380"/>
    <cellStyle name="Percent 3 2 2 3 2 6" xfId="25381"/>
    <cellStyle name="Percent 3 2 2 4 2 6" xfId="25382"/>
    <cellStyle name="Percent 3 2 2 5 2 6" xfId="25383"/>
    <cellStyle name="Percent 3 2 20 2 6" xfId="25384"/>
    <cellStyle name="Percent 3 2 21 2 2 6" xfId="25385"/>
    <cellStyle name="Percent 3 2 3 6 6" xfId="25386"/>
    <cellStyle name="Percent 3 2 3 2 2 6" xfId="25387"/>
    <cellStyle name="Percent 3 2 3 3 2 6" xfId="25388"/>
    <cellStyle name="Percent 3 2 3 4 2 6" xfId="25389"/>
    <cellStyle name="Percent 3 2 3 5 2 6" xfId="25390"/>
    <cellStyle name="Percent 3 2 4 3 6" xfId="25391"/>
    <cellStyle name="Percent 3 2 4 2 2 6" xfId="25392"/>
    <cellStyle name="Percent 3 2 5 3 6" xfId="25393"/>
    <cellStyle name="Percent 3 2 5 2 2 6" xfId="25394"/>
    <cellStyle name="Percent 3 2 6 3 6" xfId="25395"/>
    <cellStyle name="Percent 3 2 6 2 2 6" xfId="25396"/>
    <cellStyle name="Percent 3 2 7 2 6" xfId="25397"/>
    <cellStyle name="Percent 3 2 8 2 6" xfId="25398"/>
    <cellStyle name="Percent 3 2 9 2 6" xfId="25399"/>
    <cellStyle name="Percent 3 20 2 6" xfId="25400"/>
    <cellStyle name="Percent 3 21 2 6" xfId="25401"/>
    <cellStyle name="Percent 3 3 2 2 6" xfId="25402"/>
    <cellStyle name="Percent 3 3 3 2 6" xfId="25403"/>
    <cellStyle name="Percent 3 3 4 2 6" xfId="25404"/>
    <cellStyle name="Percent 3 3 5 2 6" xfId="25405"/>
    <cellStyle name="Percent 3 4 6 6" xfId="25406"/>
    <cellStyle name="Percent 3 4 2 2 6" xfId="25407"/>
    <cellStyle name="Percent 3 4 3 2 6" xfId="25408"/>
    <cellStyle name="Percent 3 4 4 2 6" xfId="25409"/>
    <cellStyle name="Percent 3 4 5 2 6" xfId="25410"/>
    <cellStyle name="Percent 3 5 3 6" xfId="25411"/>
    <cellStyle name="Percent 3 5 2 2 6" xfId="25412"/>
    <cellStyle name="Percent 3 6 3 6" xfId="25413"/>
    <cellStyle name="Percent 3 6 2 2 6" xfId="25414"/>
    <cellStyle name="Percent 3 7 3 6" xfId="25415"/>
    <cellStyle name="Percent 3 7 2 2 6" xfId="25416"/>
    <cellStyle name="Percent 3 8 2 6" xfId="25417"/>
    <cellStyle name="Percent 3 9 2 6" xfId="25418"/>
    <cellStyle name="Percent 30 2 3 6" xfId="25419"/>
    <cellStyle name="Percent 30 2 2 2 6" xfId="25420"/>
    <cellStyle name="Percent 30 3 3 6" xfId="25421"/>
    <cellStyle name="Percent 30 3 2 2 6" xfId="25422"/>
    <cellStyle name="Percent 30 4 2 2 6" xfId="25423"/>
    <cellStyle name="Percent 30 5 2 6" xfId="25424"/>
    <cellStyle name="Percent 31 2 3 6" xfId="25425"/>
    <cellStyle name="Percent 31 2 2 2 6" xfId="25426"/>
    <cellStyle name="Percent 31 3 3 6" xfId="25427"/>
    <cellStyle name="Percent 31 3 2 2 6" xfId="25428"/>
    <cellStyle name="Percent 31 4 2 2 6" xfId="25429"/>
    <cellStyle name="Percent 31 5 2 6" xfId="25430"/>
    <cellStyle name="Percent 32 2 3 6" xfId="25431"/>
    <cellStyle name="Percent 32 2 2 2 6" xfId="25432"/>
    <cellStyle name="Percent 32 3 3 6" xfId="25433"/>
    <cellStyle name="Percent 32 3 2 2 6" xfId="25434"/>
    <cellStyle name="Percent 32 4 2 2 6" xfId="25435"/>
    <cellStyle name="Percent 32 5 2 6" xfId="25436"/>
    <cellStyle name="Percent 33 2 3 6" xfId="25437"/>
    <cellStyle name="Percent 33 2 2 2 6" xfId="25438"/>
    <cellStyle name="Percent 33 3 3 6" xfId="25439"/>
    <cellStyle name="Percent 33 3 2 2 6" xfId="25440"/>
    <cellStyle name="Percent 33 4 2 2 6" xfId="25441"/>
    <cellStyle name="Percent 33 5 2 6" xfId="25442"/>
    <cellStyle name="Percent 34 2 3 6" xfId="25443"/>
    <cellStyle name="Percent 34 2 2 2 6" xfId="25444"/>
    <cellStyle name="Percent 34 3 3 6" xfId="25445"/>
    <cellStyle name="Percent 34 3 2 2 6" xfId="25446"/>
    <cellStyle name="Percent 34 4 2 2 6" xfId="25447"/>
    <cellStyle name="Percent 34 5 2 6" xfId="25448"/>
    <cellStyle name="Percent 35 2 3 6" xfId="25449"/>
    <cellStyle name="Percent 35 2 2 2 6" xfId="25450"/>
    <cellStyle name="Percent 35 3 3 6" xfId="25451"/>
    <cellStyle name="Percent 35 3 2 2 6" xfId="25452"/>
    <cellStyle name="Percent 35 4 2 2 6" xfId="25453"/>
    <cellStyle name="Percent 35 5 2 6" xfId="25454"/>
    <cellStyle name="Currency 5 4 2 6" xfId="25455"/>
    <cellStyle name="Comma 5 7 2 6 2" xfId="25456"/>
    <cellStyle name="Percent 5 4 2 6 2" xfId="25457"/>
    <cellStyle name="Comma 6 5 2 6" xfId="25458"/>
    <cellStyle name="Currency 5 2 4 2 6" xfId="25459"/>
    <cellStyle name="Comma 5 2 4 2 6" xfId="25460"/>
    <cellStyle name="Percent 5 2 4 2 6" xfId="25461"/>
    <cellStyle name="Comma 6 2 3 2 6" xfId="25462"/>
    <cellStyle name="Currency 5 3 2 2 6" xfId="25463"/>
    <cellStyle name="Comma 5 3 2 2 6" xfId="25464"/>
    <cellStyle name="Percent 5 3 2 2 6" xfId="25465"/>
    <cellStyle name="Comma 6 3 4 2 6" xfId="25466"/>
    <cellStyle name="Normal 11 2 2 2 6" xfId="25467"/>
    <cellStyle name="Currency 5 2 2 2 2 6" xfId="25468"/>
    <cellStyle name="Comma 5 2 2 2 2 6" xfId="25469"/>
    <cellStyle name="Percent 5 2 2 2 2 6" xfId="25470"/>
    <cellStyle name="Comma 6 2 2 2 2 6" xfId="25471"/>
    <cellStyle name="Normal 52 5" xfId="25472"/>
    <cellStyle name="Comma 205 5" xfId="25473"/>
    <cellStyle name="Comma 206 5" xfId="25474"/>
    <cellStyle name="Currency 5 7 5" xfId="25475"/>
    <cellStyle name="Normal 8 27 5" xfId="25476"/>
    <cellStyle name="Comma 5 10 5 2" xfId="25477"/>
    <cellStyle name="Percent 5 7 5 2" xfId="25478"/>
    <cellStyle name="Comma 6 8 5" xfId="25479"/>
    <cellStyle name="Normal 11 6 5" xfId="25480"/>
    <cellStyle name="Currency 5 2 7 5" xfId="25481"/>
    <cellStyle name="Normal 8 2 8 5" xfId="25482"/>
    <cellStyle name="Comma 5 2 7 5" xfId="25483"/>
    <cellStyle name="Percent 5 2 7 5" xfId="25484"/>
    <cellStyle name="Comma 6 2 6 5" xfId="25485"/>
    <cellStyle name="Currency 5 3 5 5" xfId="25486"/>
    <cellStyle name="Normal 8 3 8 5" xfId="25487"/>
    <cellStyle name="Comma 5 3 5 5" xfId="25488"/>
    <cellStyle name="Percent 5 3 5 5" xfId="25489"/>
    <cellStyle name="Comma 6 3 7 5" xfId="25490"/>
    <cellStyle name="Normal 11 2 5 5" xfId="25491"/>
    <cellStyle name="Currency 5 2 2 5 5" xfId="25492"/>
    <cellStyle name="Normal 8 2 2 4 5" xfId="25493"/>
    <cellStyle name="Comma 5 2 2 5 5" xfId="25494"/>
    <cellStyle name="Percent 5 2 2 5 5" xfId="25495"/>
    <cellStyle name="Comma 6 2 2 4 5" xfId="25496"/>
    <cellStyle name="Normal 50 3 5" xfId="25497"/>
    <cellStyle name="Comma 186 3 5" xfId="25498"/>
    <cellStyle name="Percent 162 3 5" xfId="25499"/>
    <cellStyle name="Normal 2 24 3 5" xfId="25500"/>
    <cellStyle name="20% - Accent1 2 3 5" xfId="25501"/>
    <cellStyle name="20% - Accent1 3 3 5" xfId="25502"/>
    <cellStyle name="20% - Accent1 4 3 5" xfId="25503"/>
    <cellStyle name="20% - Accent1 5 3 5" xfId="25504"/>
    <cellStyle name="20% - Accent2 2 3 5" xfId="25505"/>
    <cellStyle name="20% - Accent2 3 3 5" xfId="25506"/>
    <cellStyle name="20% - Accent2 4 3 5" xfId="25507"/>
    <cellStyle name="20% - Accent2 5 3 5" xfId="25508"/>
    <cellStyle name="20% - Accent3 2 3 5" xfId="25509"/>
    <cellStyle name="20% - Accent3 3 3 5" xfId="25510"/>
    <cellStyle name="20% - Accent3 4 3 5" xfId="25511"/>
    <cellStyle name="20% - Accent3 5 3 5" xfId="25512"/>
    <cellStyle name="20% - Accent4 2 3 5" xfId="25513"/>
    <cellStyle name="20% - Accent4 3 3 5" xfId="25514"/>
    <cellStyle name="20% - Accent4 4 3 5" xfId="25515"/>
    <cellStyle name="20% - Accent4 5 3 5" xfId="25516"/>
    <cellStyle name="20% - Accent5 2 3 5" xfId="25517"/>
    <cellStyle name="20% - Accent5 3 3 5" xfId="25518"/>
    <cellStyle name="20% - Accent5 4 3 5" xfId="25519"/>
    <cellStyle name="20% - Accent6 2 3 5" xfId="25520"/>
    <cellStyle name="20% - Accent6 3 3 5" xfId="25521"/>
    <cellStyle name="20% - Accent6 4 3 5" xfId="25522"/>
    <cellStyle name="40% - Accent1 2 3 5" xfId="25523"/>
    <cellStyle name="40% - Accent1 3 3 5" xfId="25524"/>
    <cellStyle name="40% - Accent1 4 3 5" xfId="25525"/>
    <cellStyle name="40% - Accent1 5 3 5" xfId="25526"/>
    <cellStyle name="40% - Accent2 2 3 5" xfId="25527"/>
    <cellStyle name="40% - Accent2 3 3 5" xfId="25528"/>
    <cellStyle name="40% - Accent2 4 3 5" xfId="25529"/>
    <cellStyle name="40% - Accent3 2 3 5" xfId="25530"/>
    <cellStyle name="40% - Accent3 3 3 5" xfId="25531"/>
    <cellStyle name="40% - Accent3 4 3 5" xfId="25532"/>
    <cellStyle name="40% - Accent3 5 3 5" xfId="25533"/>
    <cellStyle name="40% - Accent4 2 3 5" xfId="25534"/>
    <cellStyle name="40% - Accent4 3 3 5" xfId="25535"/>
    <cellStyle name="40% - Accent4 4 3 5" xfId="25536"/>
    <cellStyle name="40% - Accent4 5 3 5" xfId="25537"/>
    <cellStyle name="40% - Accent5 2 3 5" xfId="25538"/>
    <cellStyle name="40% - Accent5 3 3 5" xfId="25539"/>
    <cellStyle name="40% - Accent5 4 3 5" xfId="25540"/>
    <cellStyle name="40% - Accent6 2 3 5" xfId="25541"/>
    <cellStyle name="40% - Accent6 3 3 5" xfId="25542"/>
    <cellStyle name="40% - Accent6 4 3 5" xfId="25543"/>
    <cellStyle name="40% - Accent6 5 3 5" xfId="25544"/>
    <cellStyle name="Comma 143 3 5" xfId="25545"/>
    <cellStyle name="Comma 144 3 5" xfId="25546"/>
    <cellStyle name="Comma 145 3 5" xfId="25547"/>
    <cellStyle name="Comma 146 3 5" xfId="25548"/>
    <cellStyle name="Comma 147 3 5" xfId="25549"/>
    <cellStyle name="Comma 148 3 5" xfId="25550"/>
    <cellStyle name="Comma 149 3 5" xfId="25551"/>
    <cellStyle name="Comma 150 3 5" xfId="25552"/>
    <cellStyle name="Comma 151 3 5" xfId="25553"/>
    <cellStyle name="Comma 152 3 5" xfId="25554"/>
    <cellStyle name="Comma 153 3 5" xfId="25555"/>
    <cellStyle name="Comma 182 3 5" xfId="25556"/>
    <cellStyle name="Comma 2 23 3 5" xfId="25557"/>
    <cellStyle name="Comma 2 2 10 3 5" xfId="25558"/>
    <cellStyle name="Comma 2 2 11 3 5" xfId="25559"/>
    <cellStyle name="Comma 2 2 12 3 5" xfId="25560"/>
    <cellStyle name="Comma 2 2 13 3 5" xfId="25561"/>
    <cellStyle name="Comma 2 2 14 3 5" xfId="25562"/>
    <cellStyle name="Comma 2 2 15 3 5" xfId="25563"/>
    <cellStyle name="Comma 2 2 16 3 5" xfId="25564"/>
    <cellStyle name="Comma 2 2 17 3 5" xfId="25565"/>
    <cellStyle name="Comma 2 2 2 2 7 5" xfId="25566"/>
    <cellStyle name="Comma 2 2 2 2 2 3 5" xfId="25567"/>
    <cellStyle name="Comma 2 2 2 2 3 3 5" xfId="25568"/>
    <cellStyle name="Comma 2 2 2 2 4 3 5" xfId="25569"/>
    <cellStyle name="Comma 2 2 2 2 5 3 5" xfId="25570"/>
    <cellStyle name="Comma 2 2 2 3 3 5" xfId="25571"/>
    <cellStyle name="Comma 2 2 2 4 3 5" xfId="25572"/>
    <cellStyle name="Comma 2 2 2 5 3 5" xfId="25573"/>
    <cellStyle name="Comma 2 2 2 6 3 5" xfId="25574"/>
    <cellStyle name="Comma 2 2 3 7 5" xfId="25575"/>
    <cellStyle name="Comma 2 2 3 2 2 3 5" xfId="25576"/>
    <cellStyle name="Comma 2 2 3 2 3 3 5" xfId="25577"/>
    <cellStyle name="Comma 2 2 3 2 4 3 5" xfId="25578"/>
    <cellStyle name="Comma 2 2 3 2 5 3 5" xfId="25579"/>
    <cellStyle name="Comma 2 2 3 3 3 5" xfId="25580"/>
    <cellStyle name="Comma 2 2 4 2 3 5" xfId="25581"/>
    <cellStyle name="Comma 2 2 5 3 5" xfId="25582"/>
    <cellStyle name="Comma 2 2 6 3 5" xfId="25583"/>
    <cellStyle name="Comma 2 2 7 3 5" xfId="25584"/>
    <cellStyle name="Comma 2 2 8 3 5" xfId="25585"/>
    <cellStyle name="Comma 2 2 9 3 5" xfId="25586"/>
    <cellStyle name="Comma 3 10 3 5" xfId="25587"/>
    <cellStyle name="Comma 3 11 3 5" xfId="25588"/>
    <cellStyle name="Comma 3 12 3 5" xfId="25589"/>
    <cellStyle name="Comma 3 13 3 5" xfId="25590"/>
    <cellStyle name="Comma 3 14 3 5" xfId="25591"/>
    <cellStyle name="Comma 3 15 3 5" xfId="25592"/>
    <cellStyle name="Comma 3 16 3 5" xfId="25593"/>
    <cellStyle name="Comma 3 17 3 5" xfId="25594"/>
    <cellStyle name="Comma 3 18 3 5" xfId="25595"/>
    <cellStyle name="Comma 3 19 3 5" xfId="25596"/>
    <cellStyle name="Comma 3 2 2 3 5" xfId="25597"/>
    <cellStyle name="Comma 3 2 3 3 5" xfId="25598"/>
    <cellStyle name="Comma 3 2 4 3 5" xfId="25599"/>
    <cellStyle name="Comma 3 2 5 3 5" xfId="25600"/>
    <cellStyle name="Comma 3 20 3 5" xfId="25601"/>
    <cellStyle name="Comma 3 21 3 5" xfId="25602"/>
    <cellStyle name="Comma 3 3 7 5" xfId="25603"/>
    <cellStyle name="Comma 3 3 2 3 5" xfId="25604"/>
    <cellStyle name="Comma 3 3 3 3 5" xfId="25605"/>
    <cellStyle name="Comma 3 3 4 3 5" xfId="25606"/>
    <cellStyle name="Comma 3 3 5 3 5" xfId="25607"/>
    <cellStyle name="Comma 3 4 4 5" xfId="25608"/>
    <cellStyle name="Comma 3 4 2 3 5" xfId="25609"/>
    <cellStyle name="Comma 3 5 4 5" xfId="25610"/>
    <cellStyle name="Comma 3 5 2 3 5" xfId="25611"/>
    <cellStyle name="Comma 3 6 4 5" xfId="25612"/>
    <cellStyle name="Comma 3 6 2 3 5" xfId="25613"/>
    <cellStyle name="Comma 3 7 3 5" xfId="25614"/>
    <cellStyle name="Comma 3 8 3 5" xfId="25615"/>
    <cellStyle name="Comma 3 9 3 5" xfId="25616"/>
    <cellStyle name="Currency 120 3 5" xfId="25617"/>
    <cellStyle name="Currency 121 3 5" xfId="25618"/>
    <cellStyle name="Currency 122 3 5" xfId="25619"/>
    <cellStyle name="Currency 123 3 5" xfId="25620"/>
    <cellStyle name="Currency 124 3 5" xfId="25621"/>
    <cellStyle name="Currency 125 3 5" xfId="25622"/>
    <cellStyle name="Currency 126 3 5" xfId="25623"/>
    <cellStyle name="Currency 127 3 5" xfId="25624"/>
    <cellStyle name="Currency 128 3 5" xfId="25625"/>
    <cellStyle name="Currency 129 3 5" xfId="25626"/>
    <cellStyle name="Currency 130 3 5" xfId="25627"/>
    <cellStyle name="Currency 159 3 5" xfId="25628"/>
    <cellStyle name="Currency 2 27 3 5" xfId="25629"/>
    <cellStyle name="Currency 2 2 20 3 5" xfId="25630"/>
    <cellStyle name="Currency 2 2 10 3 5" xfId="25631"/>
    <cellStyle name="Currency 2 2 11 3 5" xfId="25632"/>
    <cellStyle name="Currency 2 2 12 3 5" xfId="25633"/>
    <cellStyle name="Currency 2 2 13 3 5" xfId="25634"/>
    <cellStyle name="Currency 2 2 14 3 5" xfId="25635"/>
    <cellStyle name="Currency 2 2 15 3 5" xfId="25636"/>
    <cellStyle name="Currency 2 2 16 3 5" xfId="25637"/>
    <cellStyle name="Currency 2 2 17 3 5" xfId="25638"/>
    <cellStyle name="Currency 2 2 18 3 5" xfId="25639"/>
    <cellStyle name="Currency 2 2 2 2 3 5" xfId="25640"/>
    <cellStyle name="Currency 2 2 2 3 3 5" xfId="25641"/>
    <cellStyle name="Currency 2 2 2 4 3 5" xfId="25642"/>
    <cellStyle name="Currency 2 2 2 5 3 5" xfId="25643"/>
    <cellStyle name="Currency 2 2 3 7 5" xfId="25644"/>
    <cellStyle name="Currency 2 2 3 2 3 5" xfId="25645"/>
    <cellStyle name="Currency 2 2 3 3 3 5" xfId="25646"/>
    <cellStyle name="Currency 2 2 3 4 3 5" xfId="25647"/>
    <cellStyle name="Currency 2 2 3 5 3 5" xfId="25648"/>
    <cellStyle name="Currency 2 2 4 3 5" xfId="25649"/>
    <cellStyle name="Currency 2 2 5 3 5" xfId="25650"/>
    <cellStyle name="Currency 2 2 6 3 5" xfId="25651"/>
    <cellStyle name="Currency 2 2 7 3 5" xfId="25652"/>
    <cellStyle name="Currency 2 2 8 3 5" xfId="25653"/>
    <cellStyle name="Currency 2 2 9 3 5" xfId="25654"/>
    <cellStyle name="Currency 3 10 3 5" xfId="25655"/>
    <cellStyle name="Currency 3 11 3 5" xfId="25656"/>
    <cellStyle name="Currency 3 12 3 5" xfId="25657"/>
    <cellStyle name="Currency 3 13 3 5" xfId="25658"/>
    <cellStyle name="Currency 3 14 3 5" xfId="25659"/>
    <cellStyle name="Currency 3 15 3 5" xfId="25660"/>
    <cellStyle name="Currency 3 16 3 5" xfId="25661"/>
    <cellStyle name="Currency 3 17 3 5" xfId="25662"/>
    <cellStyle name="Currency 3 18 3 5" xfId="25663"/>
    <cellStyle name="Currency 3 19 3 5" xfId="25664"/>
    <cellStyle name="Currency 3 2 2 3 5" xfId="25665"/>
    <cellStyle name="Currency 3 2 3 3 5" xfId="25666"/>
    <cellStyle name="Currency 3 2 4 3 5" xfId="25667"/>
    <cellStyle name="Currency 3 2 5 3 5" xfId="25668"/>
    <cellStyle name="Currency 3 20 3 5" xfId="25669"/>
    <cellStyle name="Currency 3 21 3 5" xfId="25670"/>
    <cellStyle name="Currency 3 3 9 5" xfId="25671"/>
    <cellStyle name="Currency 3 3 2 3 5" xfId="25672"/>
    <cellStyle name="Currency 3 3 3 3 5" xfId="25673"/>
    <cellStyle name="Currency 3 3 4 3 5" xfId="25674"/>
    <cellStyle name="Currency 3 3 5 3 5" xfId="25675"/>
    <cellStyle name="Currency 3 3 6 3 5" xfId="25676"/>
    <cellStyle name="Currency 3 4 4 5" xfId="25677"/>
    <cellStyle name="Currency 3 4 2 3 5" xfId="25678"/>
    <cellStyle name="Currency 3 5 4 5" xfId="25679"/>
    <cellStyle name="Currency 3 5 2 3 5" xfId="25680"/>
    <cellStyle name="Currency 3 6 4 5" xfId="25681"/>
    <cellStyle name="Currency 3 6 2 3 5" xfId="25682"/>
    <cellStyle name="Currency 3 7 3 5" xfId="25683"/>
    <cellStyle name="Currency 3 8 3 5" xfId="25684"/>
    <cellStyle name="Currency 3 9 3 5" xfId="25685"/>
    <cellStyle name="Normal 10 3 7 5" xfId="25686"/>
    <cellStyle name="Normal 10 3 2 6 5" xfId="25687"/>
    <cellStyle name="Normal 10 3 2 2 4 5" xfId="25688"/>
    <cellStyle name="Normal 10 3 2 2 2 3 5" xfId="25689"/>
    <cellStyle name="Normal 10 3 2 3 4 5" xfId="25690"/>
    <cellStyle name="Normal 10 3 2 3 2 3 5" xfId="25691"/>
    <cellStyle name="Normal 10 3 2 4 3 5" xfId="25692"/>
    <cellStyle name="Normal 10 3 3 4 5" xfId="25693"/>
    <cellStyle name="Normal 10 3 3 2 3 5" xfId="25694"/>
    <cellStyle name="Normal 10 3 4 4 5" xfId="25695"/>
    <cellStyle name="Normal 10 3 4 2 3 5" xfId="25696"/>
    <cellStyle name="Normal 10 3 5 3 5" xfId="25697"/>
    <cellStyle name="Normal 10 4 6 5" xfId="25698"/>
    <cellStyle name="Normal 10 4 2 4 5" xfId="25699"/>
    <cellStyle name="Normal 10 4 2 2 3 5" xfId="25700"/>
    <cellStyle name="Normal 10 4 3 4 5" xfId="25701"/>
    <cellStyle name="Normal 10 4 3 2 3 5" xfId="25702"/>
    <cellStyle name="Normal 10 4 4 3 5" xfId="25703"/>
    <cellStyle name="Normal 10 5 6 5" xfId="25704"/>
    <cellStyle name="Normal 10 5 2 4 5" xfId="25705"/>
    <cellStyle name="Normal 10 5 2 2 3 5" xfId="25706"/>
    <cellStyle name="Normal 10 5 3 4 5" xfId="25707"/>
    <cellStyle name="Normal 10 5 3 2 3 5" xfId="25708"/>
    <cellStyle name="Normal 10 5 4 3 5" xfId="25709"/>
    <cellStyle name="Normal 10 6 4 5" xfId="25710"/>
    <cellStyle name="Normal 10 6 2 3 5" xfId="25711"/>
    <cellStyle name="Normal 10 7 4 5" xfId="25712"/>
    <cellStyle name="Normal 10 7 2 3 5" xfId="25713"/>
    <cellStyle name="Normal 10 8 2 3 5" xfId="25714"/>
    <cellStyle name="Normal 10 9 3 5" xfId="25715"/>
    <cellStyle name="Normal 11 4 3 5" xfId="25716"/>
    <cellStyle name="Normal 11 3 3 5" xfId="25717"/>
    <cellStyle name="Normal 12 9 5" xfId="25718"/>
    <cellStyle name="Normal 12 2 2 6 5" xfId="25719"/>
    <cellStyle name="Normal 12 2 2 2 4 5" xfId="25720"/>
    <cellStyle name="Normal 12 2 2 2 2 3 5" xfId="25721"/>
    <cellStyle name="Normal 12 2 2 3 4 5" xfId="25722"/>
    <cellStyle name="Normal 12 2 2 3 2 3 5" xfId="25723"/>
    <cellStyle name="Normal 12 2 2 4 3 5" xfId="25724"/>
    <cellStyle name="Normal 12 2 3 4 5" xfId="25725"/>
    <cellStyle name="Normal 12 2 3 2 3 5" xfId="25726"/>
    <cellStyle name="Normal 12 2 4 4 5" xfId="25727"/>
    <cellStyle name="Normal 12 2 4 2 3 5" xfId="25728"/>
    <cellStyle name="Normal 12 2 5 2 3 5" xfId="25729"/>
    <cellStyle name="Normal 12 2 6 3 5" xfId="25730"/>
    <cellStyle name="Normal 12 3 6 5" xfId="25731"/>
    <cellStyle name="Normal 12 3 2 4 5" xfId="25732"/>
    <cellStyle name="Normal 12 3 2 2 3 5" xfId="25733"/>
    <cellStyle name="Normal 12 3 3 4 5" xfId="25734"/>
    <cellStyle name="Normal 12 3 3 2 3 5" xfId="25735"/>
    <cellStyle name="Normal 12 3 4 3 5" xfId="25736"/>
    <cellStyle name="Normal 12 4 6 5" xfId="25737"/>
    <cellStyle name="Normal 12 4 2 4 5" xfId="25738"/>
    <cellStyle name="Normal 12 4 2 2 3 5" xfId="25739"/>
    <cellStyle name="Normal 12 4 3 4 5" xfId="25740"/>
    <cellStyle name="Normal 12 4 3 2 3 5" xfId="25741"/>
    <cellStyle name="Normal 12 4 4 3 5" xfId="25742"/>
    <cellStyle name="Normal 12 5 4 5" xfId="25743"/>
    <cellStyle name="Normal 12 5 2 3 5" xfId="25744"/>
    <cellStyle name="Normal 12 6 4 5" xfId="25745"/>
    <cellStyle name="Normal 12 6 2 3 5" xfId="25746"/>
    <cellStyle name="Normal 12 7 3 5" xfId="25747"/>
    <cellStyle name="Normal 15 7 5" xfId="25748"/>
    <cellStyle name="Normal 15 3 3 5" xfId="25749"/>
    <cellStyle name="Normal 16 2 6 5" xfId="25750"/>
    <cellStyle name="Normal 16 2 2 4 5" xfId="25751"/>
    <cellStyle name="Normal 16 2 2 2 3 5" xfId="25752"/>
    <cellStyle name="Normal 16 2 3 4 5" xfId="25753"/>
    <cellStyle name="Normal 16 2 3 2 3 5" xfId="25754"/>
    <cellStyle name="Normal 16 2 4 3 5" xfId="25755"/>
    <cellStyle name="Normal 16 3 4 5" xfId="25756"/>
    <cellStyle name="Normal 16 3 2 3 5" xfId="25757"/>
    <cellStyle name="Normal 16 4 4 5" xfId="25758"/>
    <cellStyle name="Normal 16 4 2 3 5" xfId="25759"/>
    <cellStyle name="Normal 16 5 2 3 5" xfId="25760"/>
    <cellStyle name="Normal 16 6 3 5" xfId="25761"/>
    <cellStyle name="Normal 17 2 6 5" xfId="25762"/>
    <cellStyle name="Normal 17 2 2 4 5" xfId="25763"/>
    <cellStyle name="Normal 17 2 2 2 3 5" xfId="25764"/>
    <cellStyle name="Normal 17 2 3 4 5" xfId="25765"/>
    <cellStyle name="Normal 17 2 3 2 3 5" xfId="25766"/>
    <cellStyle name="Normal 17 2 4 3 5" xfId="25767"/>
    <cellStyle name="Normal 17 3 4 5" xfId="25768"/>
    <cellStyle name="Normal 17 3 2 3 5" xfId="25769"/>
    <cellStyle name="Normal 17 4 4 5" xfId="25770"/>
    <cellStyle name="Normal 17 4 2 3 5" xfId="25771"/>
    <cellStyle name="Normal 17 5 2 3 5" xfId="25772"/>
    <cellStyle name="Normal 17 6 3 5" xfId="25773"/>
    <cellStyle name="Normal 2 10 3 3 5" xfId="25774"/>
    <cellStyle name="Normal 2 11 3 3 5" xfId="25775"/>
    <cellStyle name="Normal 2 12 3 3 5" xfId="25776"/>
    <cellStyle name="Normal 2 13 3 3 5" xfId="25777"/>
    <cellStyle name="Normal 2 14 3 3 5" xfId="25778"/>
    <cellStyle name="Normal 2 15 3 3 5" xfId="25779"/>
    <cellStyle name="Normal 2 16 3 3 5" xfId="25780"/>
    <cellStyle name="Normal 2 17 3 3 5" xfId="25781"/>
    <cellStyle name="Normal 2 18 3 3 5" xfId="25782"/>
    <cellStyle name="Normal 2 19 3 3 5" xfId="25783"/>
    <cellStyle name="Normal 2 2 10 3 5" xfId="25784"/>
    <cellStyle name="Normal 2 2 11 3 5" xfId="25785"/>
    <cellStyle name="Normal 2 2 12 3 5" xfId="25786"/>
    <cellStyle name="Normal 2 2 13 3 5" xfId="25787"/>
    <cellStyle name="Normal 2 2 14 3 5" xfId="25788"/>
    <cellStyle name="Normal 2 2 15 3 5" xfId="25789"/>
    <cellStyle name="Normal 2 2 16 3 5" xfId="25790"/>
    <cellStyle name="Normal 2 2 17 3 5" xfId="25791"/>
    <cellStyle name="Normal 2 2 18 3 5" xfId="25792"/>
    <cellStyle name="Normal 2 2 19 3 5" xfId="25793"/>
    <cellStyle name="Normal 2 2 2 2 7 5" xfId="25794"/>
    <cellStyle name="Normal 2 2 2 2 2 4 5" xfId="25795"/>
    <cellStyle name="Normal 2 2 2 2 2 2 3 5" xfId="25796"/>
    <cellStyle name="Normal 2 2 2 2 3 3 5" xfId="25797"/>
    <cellStyle name="Normal 2 2 2 2 4 3 5" xfId="25798"/>
    <cellStyle name="Normal 2 2 2 2 5 3 5" xfId="25799"/>
    <cellStyle name="Normal 2 2 20 3 5" xfId="25800"/>
    <cellStyle name="Normal 2 2 21 3 5" xfId="25801"/>
    <cellStyle name="Normal 2 2 22 3 5" xfId="25802"/>
    <cellStyle name="Normal 2 2 3 10 5" xfId="25803"/>
    <cellStyle name="Normal 2 2 3 2 3 5" xfId="25804"/>
    <cellStyle name="Normal 2 2 3 3 3 5" xfId="25805"/>
    <cellStyle name="Normal 2 2 3 4 3 5" xfId="25806"/>
    <cellStyle name="Normal 2 2 3 5 3 5" xfId="25807"/>
    <cellStyle name="Normal 2 2 3 6 3 5" xfId="25808"/>
    <cellStyle name="Normal 2 2 4 6 5" xfId="25809"/>
    <cellStyle name="Normal 2 2 4 2 3 5" xfId="25810"/>
    <cellStyle name="Normal 2 2 5 5 5" xfId="25811"/>
    <cellStyle name="Normal 2 2 5 2 3 5" xfId="25812"/>
    <cellStyle name="Normal 2 2 6 3 5" xfId="25813"/>
    <cellStyle name="Normal 2 2 7 3 5" xfId="25814"/>
    <cellStyle name="Normal 2 2 8 3 5" xfId="25815"/>
    <cellStyle name="Normal 2 2 9 3 5" xfId="25816"/>
    <cellStyle name="Normal 2 20 3 5" xfId="25817"/>
    <cellStyle name="Normal 2 3 2 4 5" xfId="25818"/>
    <cellStyle name="Normal 2 3 3 3 5" xfId="25819"/>
    <cellStyle name="Normal 2 3 4 3 5" xfId="25820"/>
    <cellStyle name="Normal 2 3 5 3 5" xfId="25821"/>
    <cellStyle name="Normal 2 3 6 3 5" xfId="25822"/>
    <cellStyle name="Normal 2 4 5 3 5" xfId="25823"/>
    <cellStyle name="Normal 2 4 2 3 5" xfId="25824"/>
    <cellStyle name="Normal 2 5 3 3 5" xfId="25825"/>
    <cellStyle name="Normal 2 6 3 3 5" xfId="25826"/>
    <cellStyle name="Normal 2 7 3 3 5" xfId="25827"/>
    <cellStyle name="Normal 2 8 3 3 5" xfId="25828"/>
    <cellStyle name="Normal 2 9 3 3 5" xfId="25829"/>
    <cellStyle name="Normal 21 10 5" xfId="25830"/>
    <cellStyle name="Normal 21 2 8 5" xfId="25831"/>
    <cellStyle name="Normal 21 2 2 3 5" xfId="25832"/>
    <cellStyle name="Normal 21 2 3 3 5" xfId="25833"/>
    <cellStyle name="Normal 21 2 4 3 5" xfId="25834"/>
    <cellStyle name="Normal 21 2 5 3 5" xfId="25835"/>
    <cellStyle name="Normal 21 2 6 3 5" xfId="25836"/>
    <cellStyle name="Normal 21 3 4 5" xfId="25837"/>
    <cellStyle name="Normal 21 3 2 3 5" xfId="25838"/>
    <cellStyle name="Normal 21 4 3 5" xfId="25839"/>
    <cellStyle name="Normal 21 5 3 5" xfId="25840"/>
    <cellStyle name="Normal 21 6 3 5" xfId="25841"/>
    <cellStyle name="Normal 21 8 3 5" xfId="25842"/>
    <cellStyle name="Normal 22 9 5" xfId="25843"/>
    <cellStyle name="Normal 22 2 8 5" xfId="25844"/>
    <cellStyle name="Normal 22 2 2 3 5" xfId="25845"/>
    <cellStyle name="Normal 22 2 3 3 5" xfId="25846"/>
    <cellStyle name="Normal 22 2 4 3 5" xfId="25847"/>
    <cellStyle name="Normal 22 2 5 3 5" xfId="25848"/>
    <cellStyle name="Normal 22 3 3 5" xfId="25849"/>
    <cellStyle name="Normal 22 4 3 5" xfId="25850"/>
    <cellStyle name="Normal 22 5 3 5" xfId="25851"/>
    <cellStyle name="Normal 22 6 3 5" xfId="25852"/>
    <cellStyle name="Normal 23 9 5" xfId="25853"/>
    <cellStyle name="Normal 23 2 7 5" xfId="25854"/>
    <cellStyle name="Normal 23 2 2 3 5" xfId="25855"/>
    <cellStyle name="Normal 23 2 3 3 5" xfId="25856"/>
    <cellStyle name="Normal 23 2 4 3 5" xfId="25857"/>
    <cellStyle name="Normal 23 2 5 3 5" xfId="25858"/>
    <cellStyle name="Normal 23 3 3 5" xfId="25859"/>
    <cellStyle name="Normal 23 4 3 5" xfId="25860"/>
    <cellStyle name="Normal 23 5 3 5" xfId="25861"/>
    <cellStyle name="Normal 23 6 3 5" xfId="25862"/>
    <cellStyle name="Normal 24 9 5" xfId="25863"/>
    <cellStyle name="Normal 24 2 7 5" xfId="25864"/>
    <cellStyle name="Normal 24 2 2 3 5" xfId="25865"/>
    <cellStyle name="Normal 24 2 3 3 5" xfId="25866"/>
    <cellStyle name="Normal 24 2 4 3 5" xfId="25867"/>
    <cellStyle name="Normal 24 2 5 3 5" xfId="25868"/>
    <cellStyle name="Normal 24 3 3 5" xfId="25869"/>
    <cellStyle name="Normal 24 4 3 5" xfId="25870"/>
    <cellStyle name="Normal 24 5 3 5" xfId="25871"/>
    <cellStyle name="Normal 24 6 3 5" xfId="25872"/>
    <cellStyle name="Normal 26 9 5" xfId="25873"/>
    <cellStyle name="Normal 26 2 7 5" xfId="25874"/>
    <cellStyle name="Normal 26 2 2 3 5" xfId="25875"/>
    <cellStyle name="Normal 26 2 3 3 5" xfId="25876"/>
    <cellStyle name="Normal 26 2 4 3 5" xfId="25877"/>
    <cellStyle name="Normal 26 2 5 3 5" xfId="25878"/>
    <cellStyle name="Normal 26 3 3 5" xfId="25879"/>
    <cellStyle name="Normal 26 4 3 5" xfId="25880"/>
    <cellStyle name="Normal 26 5 3 5" xfId="25881"/>
    <cellStyle name="Normal 26 6 3 5" xfId="25882"/>
    <cellStyle name="Normal 3 10 3 5" xfId="25883"/>
    <cellStyle name="Normal 3 11 3 5" xfId="25884"/>
    <cellStyle name="Normal 3 12 3 5" xfId="25885"/>
    <cellStyle name="Normal 3 13 3 5" xfId="25886"/>
    <cellStyle name="Normal 3 14 3 5" xfId="25887"/>
    <cellStyle name="Normal 3 15 3 5" xfId="25888"/>
    <cellStyle name="Normal 3 16 3 5" xfId="25889"/>
    <cellStyle name="Normal 3 17 3 5" xfId="25890"/>
    <cellStyle name="Normal 3 18 3 5" xfId="25891"/>
    <cellStyle name="Normal 3 19 3 5" xfId="25892"/>
    <cellStyle name="Normal 3 2 2 3 5" xfId="25893"/>
    <cellStyle name="Normal 3 2 3 3 5" xfId="25894"/>
    <cellStyle name="Normal 3 2 4 3 5" xfId="25895"/>
    <cellStyle name="Normal 3 2 5 3 5" xfId="25896"/>
    <cellStyle name="Normal 3 2 6 3 5" xfId="25897"/>
    <cellStyle name="Normal 3 20 3 5" xfId="25898"/>
    <cellStyle name="Normal 3 21 3 5" xfId="25899"/>
    <cellStyle name="Normal 3 22 3 5" xfId="25900"/>
    <cellStyle name="Normal 3 23 3 5" xfId="25901"/>
    <cellStyle name="Normal 3 24 3 5" xfId="25902"/>
    <cellStyle name="Normal 3 3 6 5" xfId="25903"/>
    <cellStyle name="Normal 3 3 2 3 5" xfId="25904"/>
    <cellStyle name="Normal 3 3 3 3 5" xfId="25905"/>
    <cellStyle name="Normal 3 4 4 5" xfId="25906"/>
    <cellStyle name="Normal 3 4 2 3 5" xfId="25907"/>
    <cellStyle name="Normal 3 5 4 5" xfId="25908"/>
    <cellStyle name="Normal 3 5 2 3 5" xfId="25909"/>
    <cellStyle name="Normal 3 6 3 5" xfId="25910"/>
    <cellStyle name="Normal 3 7 3 5" xfId="25911"/>
    <cellStyle name="Normal 3 8 3 5" xfId="25912"/>
    <cellStyle name="Normal 3 9 3 5" xfId="25913"/>
    <cellStyle name="Normal 4 2 10 3 5" xfId="25914"/>
    <cellStyle name="Normal 4 2 11 3 5" xfId="25915"/>
    <cellStyle name="Normal 4 2 12 3 5" xfId="25916"/>
    <cellStyle name="Normal 4 2 13 3 5" xfId="25917"/>
    <cellStyle name="Normal 4 2 14 3 5" xfId="25918"/>
    <cellStyle name="Normal 4 2 15 3 5" xfId="25919"/>
    <cellStyle name="Normal 4 2 16 3 5" xfId="25920"/>
    <cellStyle name="Normal 4 2 17 3 5" xfId="25921"/>
    <cellStyle name="Normal 4 2 18 3 5" xfId="25922"/>
    <cellStyle name="Normal 4 2 19 3 5" xfId="25923"/>
    <cellStyle name="Normal 4 2 2 7 5" xfId="25924"/>
    <cellStyle name="Normal 4 2 2 2 3 5" xfId="25925"/>
    <cellStyle name="Normal 4 2 2 3 3 5" xfId="25926"/>
    <cellStyle name="Normal 4 2 2 4 3 5" xfId="25927"/>
    <cellStyle name="Normal 4 2 2 5 3 5" xfId="25928"/>
    <cellStyle name="Normal 4 2 20 3 5" xfId="25929"/>
    <cellStyle name="Normal 4 2 21 3 5" xfId="25930"/>
    <cellStyle name="Normal 4 2 22 3 5" xfId="25931"/>
    <cellStyle name="Normal 4 2 23 3 5" xfId="25932"/>
    <cellStyle name="Normal 4 2 24 3 5" xfId="25933"/>
    <cellStyle name="Normal 4 2 3 4 5" xfId="25934"/>
    <cellStyle name="Normal 4 2 3 2 3 5" xfId="25935"/>
    <cellStyle name="Normal 4 2 4 4 5" xfId="25936"/>
    <cellStyle name="Normal 4 2 4 2 3 5" xfId="25937"/>
    <cellStyle name="Normal 4 2 5 4 5" xfId="25938"/>
    <cellStyle name="Normal 4 2 5 2 3 5" xfId="25939"/>
    <cellStyle name="Normal 4 2 6 3 5" xfId="25940"/>
    <cellStyle name="Normal 4 2 7 3 5" xfId="25941"/>
    <cellStyle name="Normal 4 2 8 3 5" xfId="25942"/>
    <cellStyle name="Normal 4 2 9 3 5" xfId="25943"/>
    <cellStyle name="Normal 4 3 8 5" xfId="25944"/>
    <cellStyle name="Normal 4 3 2 7 5" xfId="25945"/>
    <cellStyle name="Normal 4 3 2 2 6 5" xfId="25946"/>
    <cellStyle name="Normal 4 3 2 2 2 4 5" xfId="25947"/>
    <cellStyle name="Normal 4 3 2 2 2 2 3 5" xfId="25948"/>
    <cellStyle name="Normal 4 3 2 2 3 4 5" xfId="25949"/>
    <cellStyle name="Normal 4 3 2 2 3 2 3 5" xfId="25950"/>
    <cellStyle name="Normal 4 3 2 2 4 3 5" xfId="25951"/>
    <cellStyle name="Normal 4 3 2 3 4 5" xfId="25952"/>
    <cellStyle name="Normal 4 3 2 3 2 3 5" xfId="25953"/>
    <cellStyle name="Normal 4 3 2 4 4 5" xfId="25954"/>
    <cellStyle name="Normal 4 3 2 4 2 3 5" xfId="25955"/>
    <cellStyle name="Normal 4 3 2 5 3 5" xfId="25956"/>
    <cellStyle name="Normal 4 3 3 6 5" xfId="25957"/>
    <cellStyle name="Normal 4 3 3 2 4 5" xfId="25958"/>
    <cellStyle name="Normal 4 3 3 2 2 3 5" xfId="25959"/>
    <cellStyle name="Normal 4 3 3 3 4 5" xfId="25960"/>
    <cellStyle name="Normal 4 3 3 3 2 3 5" xfId="25961"/>
    <cellStyle name="Normal 4 3 3 4 3 5" xfId="25962"/>
    <cellStyle name="Normal 4 3 4 4 5" xfId="25963"/>
    <cellStyle name="Normal 4 3 4 2 3 5" xfId="25964"/>
    <cellStyle name="Normal 4 3 5 4 5" xfId="25965"/>
    <cellStyle name="Normal 4 3 5 2 3 5" xfId="25966"/>
    <cellStyle name="Normal 4 3 6 3 5" xfId="25967"/>
    <cellStyle name="Normal 4 4 5 5" xfId="25968"/>
    <cellStyle name="Normal 4 4 2 3 5" xfId="25969"/>
    <cellStyle name="Normal 4 5 3 5" xfId="25970"/>
    <cellStyle name="Normal 4 6 3 5" xfId="25971"/>
    <cellStyle name="Normal 4 7 3 5" xfId="25972"/>
    <cellStyle name="Normal 4 8 3 5" xfId="25973"/>
    <cellStyle name="Normal 41 2 3 5" xfId="25974"/>
    <cellStyle name="Normal 46 3 5" xfId="25975"/>
    <cellStyle name="Normal 5 28 3 5" xfId="25976"/>
    <cellStyle name="Normal 5 2 8 5" xfId="25977"/>
    <cellStyle name="Normal 5 2 2 2 2 3 5" xfId="25978"/>
    <cellStyle name="Normal 5 2 2 3 3 5" xfId="25979"/>
    <cellStyle name="Normal 5 2 3 2 2 3 5" xfId="25980"/>
    <cellStyle name="Normal 5 2 3 3 3 5" xfId="25981"/>
    <cellStyle name="Normal 5 2 4 2 3 5" xfId="25982"/>
    <cellStyle name="Normal 5 2 6 3 5" xfId="25983"/>
    <cellStyle name="Normal 5 24 3 5" xfId="25984"/>
    <cellStyle name="Normal 5 3 4 5" xfId="25985"/>
    <cellStyle name="Normal 5 4 4 5" xfId="25986"/>
    <cellStyle name="Normal 5 5 4 5" xfId="25987"/>
    <cellStyle name="Normal 5 6 4 5" xfId="25988"/>
    <cellStyle name="Normal 5 7 4 5" xfId="25989"/>
    <cellStyle name="Normal 7 25 3 5" xfId="25990"/>
    <cellStyle name="Normal 7 10 3 5" xfId="25991"/>
    <cellStyle name="Normal 7 11 3 5" xfId="25992"/>
    <cellStyle name="Normal 7 12 3 5" xfId="25993"/>
    <cellStyle name="Normal 7 13 3 5" xfId="25994"/>
    <cellStyle name="Normal 7 14 3 5" xfId="25995"/>
    <cellStyle name="Normal 7 15 3 5" xfId="25996"/>
    <cellStyle name="Normal 7 16 3 5" xfId="25997"/>
    <cellStyle name="Normal 7 17 3 5" xfId="25998"/>
    <cellStyle name="Normal 7 18 3 5" xfId="25999"/>
    <cellStyle name="Normal 7 19 3 5" xfId="26000"/>
    <cellStyle name="Normal 7 2 7 5" xfId="26001"/>
    <cellStyle name="Normal 7 2 2 3 5" xfId="26002"/>
    <cellStyle name="Normal 7 2 3 3 5" xfId="26003"/>
    <cellStyle name="Normal 7 2 4 3 5" xfId="26004"/>
    <cellStyle name="Normal 7 2 5 3 5" xfId="26005"/>
    <cellStyle name="Normal 7 20 3 5" xfId="26006"/>
    <cellStyle name="Normal 7 22 3 5" xfId="26007"/>
    <cellStyle name="Normal 7 3 7 5" xfId="26008"/>
    <cellStyle name="Normal 7 3 2 3 5" xfId="26009"/>
    <cellStyle name="Normal 7 3 3 3 5" xfId="26010"/>
    <cellStyle name="Normal 7 3 4 3 5" xfId="26011"/>
    <cellStyle name="Normal 7 3 5 3 5" xfId="26012"/>
    <cellStyle name="Normal 7 4 3 5" xfId="26013"/>
    <cellStyle name="Normal 7 5 3 5" xfId="26014"/>
    <cellStyle name="Normal 7 6 3 5" xfId="26015"/>
    <cellStyle name="Normal 7 7 3 5" xfId="26016"/>
    <cellStyle name="Normal 7 8 3 5" xfId="26017"/>
    <cellStyle name="Normal 7 9 3 5" xfId="26018"/>
    <cellStyle name="Normal 8 25 3 5" xfId="26019"/>
    <cellStyle name="Normal 8 10 3 5" xfId="26020"/>
    <cellStyle name="Normal 8 11 3 5" xfId="26021"/>
    <cellStyle name="Normal 8 12 3 5" xfId="26022"/>
    <cellStyle name="Normal 8 13 3 5" xfId="26023"/>
    <cellStyle name="Normal 8 14 3 5" xfId="26024"/>
    <cellStyle name="Normal 8 15 3 5" xfId="26025"/>
    <cellStyle name="Normal 8 16 3 5" xfId="26026"/>
    <cellStyle name="Normal 8 17 3 5" xfId="26027"/>
    <cellStyle name="Normal 8 18 3 5" xfId="26028"/>
    <cellStyle name="Normal 8 19 3 5" xfId="26029"/>
    <cellStyle name="Normal 8 2 6 3 5" xfId="26030"/>
    <cellStyle name="Normal 8 2 2 2 3 5" xfId="26031"/>
    <cellStyle name="Normal 8 2 3 3 5" xfId="26032"/>
    <cellStyle name="Normal 8 2 4 3 5" xfId="26033"/>
    <cellStyle name="Normal 8 2 5 3 5" xfId="26034"/>
    <cellStyle name="Normal 8 20 3 5" xfId="26035"/>
    <cellStyle name="Normal 8 22 3 5" xfId="26036"/>
    <cellStyle name="Normal 8 3 6 3 5" xfId="26037"/>
    <cellStyle name="Normal 8 3 2 3 5" xfId="26038"/>
    <cellStyle name="Normal 8 3 3 3 5" xfId="26039"/>
    <cellStyle name="Normal 8 3 4 3 5" xfId="26040"/>
    <cellStyle name="Normal 8 3 5 3 5" xfId="26041"/>
    <cellStyle name="Normal 8 4 3 5" xfId="26042"/>
    <cellStyle name="Normal 8 5 3 5" xfId="26043"/>
    <cellStyle name="Normal 8 6 3 5" xfId="26044"/>
    <cellStyle name="Normal 8 7 3 5" xfId="26045"/>
    <cellStyle name="Normal 8 8 3 5" xfId="26046"/>
    <cellStyle name="Normal 8 9 3 5" xfId="26047"/>
    <cellStyle name="Normal 9 25 3 5" xfId="26048"/>
    <cellStyle name="Normal 9 10 3 5" xfId="26049"/>
    <cellStyle name="Normal 9 11 3 5" xfId="26050"/>
    <cellStyle name="Normal 9 12 3 5" xfId="26051"/>
    <cellStyle name="Normal 9 13 3 5" xfId="26052"/>
    <cellStyle name="Normal 9 14 3 5" xfId="26053"/>
    <cellStyle name="Normal 9 15 3 5" xfId="26054"/>
    <cellStyle name="Normal 9 16 3 5" xfId="26055"/>
    <cellStyle name="Normal 9 17 3 5" xfId="26056"/>
    <cellStyle name="Normal 9 18 3 5" xfId="26057"/>
    <cellStyle name="Normal 9 19 3 5" xfId="26058"/>
    <cellStyle name="Normal 9 2 7 5" xfId="26059"/>
    <cellStyle name="Normal 9 2 2 3 5" xfId="26060"/>
    <cellStyle name="Normal 9 2 3 3 5" xfId="26061"/>
    <cellStyle name="Normal 9 2 4 3 5" xfId="26062"/>
    <cellStyle name="Normal 9 2 5 3 5" xfId="26063"/>
    <cellStyle name="Normal 9 20 3 5" xfId="26064"/>
    <cellStyle name="Normal 9 22 3 5" xfId="26065"/>
    <cellStyle name="Normal 9 3 7 5" xfId="26066"/>
    <cellStyle name="Normal 9 3 2 3 5" xfId="26067"/>
    <cellStyle name="Normal 9 3 3 3 5" xfId="26068"/>
    <cellStyle name="Normal 9 3 4 3 5" xfId="26069"/>
    <cellStyle name="Normal 9 3 5 3 5" xfId="26070"/>
    <cellStyle name="Normal 9 4 3 5" xfId="26071"/>
    <cellStyle name="Normal 9 5 3 5" xfId="26072"/>
    <cellStyle name="Normal 9 6 3 5" xfId="26073"/>
    <cellStyle name="Normal 9 7 3 5" xfId="26074"/>
    <cellStyle name="Normal 9 8 3 5" xfId="26075"/>
    <cellStyle name="Normal 9 9 3 5" xfId="26076"/>
    <cellStyle name="Note 2 3 5 2" xfId="26077"/>
    <cellStyle name="Note 3 3 5" xfId="26078"/>
    <cellStyle name="Note 4 3 5" xfId="26079"/>
    <cellStyle name="Note 7 3 5" xfId="26080"/>
    <cellStyle name="Percent 120 3 5" xfId="26081"/>
    <cellStyle name="Percent 121 3 5" xfId="26082"/>
    <cellStyle name="Percent 122 3 5" xfId="26083"/>
    <cellStyle name="Percent 123 3 5" xfId="26084"/>
    <cellStyle name="Percent 124 3 5" xfId="26085"/>
    <cellStyle name="Percent 125 3 5" xfId="26086"/>
    <cellStyle name="Percent 126 3 5" xfId="26087"/>
    <cellStyle name="Percent 127 3 5" xfId="26088"/>
    <cellStyle name="Percent 128 3 5" xfId="26089"/>
    <cellStyle name="Percent 129 3 5" xfId="26090"/>
    <cellStyle name="Percent 130 3 5" xfId="26091"/>
    <cellStyle name="Percent 159 3 5" xfId="26092"/>
    <cellStyle name="Percent 2 22 3 5" xfId="26093"/>
    <cellStyle name="Percent 25 2 4 5" xfId="26094"/>
    <cellStyle name="Percent 25 2 2 3 5" xfId="26095"/>
    <cellStyle name="Percent 25 3 4 5" xfId="26096"/>
    <cellStyle name="Percent 25 3 2 3 5" xfId="26097"/>
    <cellStyle name="Percent 25 4 2 3 5" xfId="26098"/>
    <cellStyle name="Percent 25 5 3 5" xfId="26099"/>
    <cellStyle name="Percent 26 2 4 5" xfId="26100"/>
    <cellStyle name="Percent 26 2 2 3 5" xfId="26101"/>
    <cellStyle name="Percent 26 3 4 5" xfId="26102"/>
    <cellStyle name="Percent 26 3 2 3 5" xfId="26103"/>
    <cellStyle name="Percent 26 4 2 3 5" xfId="26104"/>
    <cellStyle name="Percent 26 5 3 5" xfId="26105"/>
    <cellStyle name="Percent 27 2 4 5" xfId="26106"/>
    <cellStyle name="Percent 27 2 2 3 5" xfId="26107"/>
    <cellStyle name="Percent 27 3 4 5" xfId="26108"/>
    <cellStyle name="Percent 27 3 2 3 5" xfId="26109"/>
    <cellStyle name="Percent 27 4 2 3 5" xfId="26110"/>
    <cellStyle name="Percent 27 5 3 5" xfId="26111"/>
    <cellStyle name="Percent 28 2 4 5" xfId="26112"/>
    <cellStyle name="Percent 28 2 2 3 5" xfId="26113"/>
    <cellStyle name="Percent 28 3 4 5" xfId="26114"/>
    <cellStyle name="Percent 28 3 2 3 5" xfId="26115"/>
    <cellStyle name="Percent 28 4 2 3 5" xfId="26116"/>
    <cellStyle name="Percent 28 5 3 5" xfId="26117"/>
    <cellStyle name="Percent 29 2 4 5" xfId="26118"/>
    <cellStyle name="Percent 29 2 2 3 5" xfId="26119"/>
    <cellStyle name="Percent 29 3 4 5" xfId="26120"/>
    <cellStyle name="Percent 29 3 2 3 5" xfId="26121"/>
    <cellStyle name="Percent 29 4 2 3 5" xfId="26122"/>
    <cellStyle name="Percent 29 5 3 5" xfId="26123"/>
    <cellStyle name="Percent 3 10 3 5" xfId="26124"/>
    <cellStyle name="Percent 3 11 3 5" xfId="26125"/>
    <cellStyle name="Percent 3 12 3 5" xfId="26126"/>
    <cellStyle name="Percent 3 13 3 5" xfId="26127"/>
    <cellStyle name="Percent 3 14 3 5" xfId="26128"/>
    <cellStyle name="Percent 3 15 3 5" xfId="26129"/>
    <cellStyle name="Percent 3 16 3 5" xfId="26130"/>
    <cellStyle name="Percent 3 17 3 5" xfId="26131"/>
    <cellStyle name="Percent 3 18 3 5" xfId="26132"/>
    <cellStyle name="Percent 3 19 3 5" xfId="26133"/>
    <cellStyle name="Percent 3 2 24 5" xfId="26134"/>
    <cellStyle name="Percent 3 2 10 3 5" xfId="26135"/>
    <cellStyle name="Percent 3 2 11 3 5" xfId="26136"/>
    <cellStyle name="Percent 3 2 12 3 5" xfId="26137"/>
    <cellStyle name="Percent 3 2 13 3 5" xfId="26138"/>
    <cellStyle name="Percent 3 2 14 3 5" xfId="26139"/>
    <cellStyle name="Percent 3 2 15 3 5" xfId="26140"/>
    <cellStyle name="Percent 3 2 16 3 5" xfId="26141"/>
    <cellStyle name="Percent 3 2 17 3 5" xfId="26142"/>
    <cellStyle name="Percent 3 2 18 3 5" xfId="26143"/>
    <cellStyle name="Percent 3 2 19 3 5" xfId="26144"/>
    <cellStyle name="Percent 3 2 2 2 3 5" xfId="26145"/>
    <cellStyle name="Percent 3 2 2 3 3 5" xfId="26146"/>
    <cellStyle name="Percent 3 2 2 4 3 5" xfId="26147"/>
    <cellStyle name="Percent 3 2 2 5 3 5" xfId="26148"/>
    <cellStyle name="Percent 3 2 20 3 5" xfId="26149"/>
    <cellStyle name="Percent 3 2 21 2 3 5" xfId="26150"/>
    <cellStyle name="Percent 3 2 3 7 5" xfId="26151"/>
    <cellStyle name="Percent 3 2 3 2 3 5" xfId="26152"/>
    <cellStyle name="Percent 3 2 3 3 3 5" xfId="26153"/>
    <cellStyle name="Percent 3 2 3 4 3 5" xfId="26154"/>
    <cellStyle name="Percent 3 2 3 5 3 5" xfId="26155"/>
    <cellStyle name="Percent 3 2 4 4 5" xfId="26156"/>
    <cellStyle name="Percent 3 2 4 2 3 5" xfId="26157"/>
    <cellStyle name="Percent 3 2 5 4 5" xfId="26158"/>
    <cellStyle name="Percent 3 2 5 2 3 5" xfId="26159"/>
    <cellStyle name="Percent 3 2 6 4 5" xfId="26160"/>
    <cellStyle name="Percent 3 2 6 2 3 5" xfId="26161"/>
    <cellStyle name="Percent 3 2 7 3 5" xfId="26162"/>
    <cellStyle name="Percent 3 2 8 3 5" xfId="26163"/>
    <cellStyle name="Percent 3 2 9 3 5" xfId="26164"/>
    <cellStyle name="Percent 3 20 3 5" xfId="26165"/>
    <cellStyle name="Percent 3 21 3 5" xfId="26166"/>
    <cellStyle name="Percent 3 3 2 3 5" xfId="26167"/>
    <cellStyle name="Percent 3 3 3 3 5" xfId="26168"/>
    <cellStyle name="Percent 3 3 4 3 5" xfId="26169"/>
    <cellStyle name="Percent 3 3 5 3 5" xfId="26170"/>
    <cellStyle name="Percent 3 4 7 5" xfId="26171"/>
    <cellStyle name="Percent 3 4 2 3 5" xfId="26172"/>
    <cellStyle name="Percent 3 4 3 3 5" xfId="26173"/>
    <cellStyle name="Percent 3 4 4 3 5" xfId="26174"/>
    <cellStyle name="Percent 3 4 5 3 5" xfId="26175"/>
    <cellStyle name="Percent 3 5 4 5" xfId="26176"/>
    <cellStyle name="Percent 3 5 2 3 5" xfId="26177"/>
    <cellStyle name="Percent 3 6 4 5" xfId="26178"/>
    <cellStyle name="Percent 3 6 2 3 5" xfId="26179"/>
    <cellStyle name="Percent 3 7 4 5" xfId="26180"/>
    <cellStyle name="Percent 3 7 2 3 5" xfId="26181"/>
    <cellStyle name="Percent 3 8 3 5" xfId="26182"/>
    <cellStyle name="Percent 3 9 3 5" xfId="26183"/>
    <cellStyle name="Percent 30 2 4 5" xfId="26184"/>
    <cellStyle name="Percent 30 2 2 3 5" xfId="26185"/>
    <cellStyle name="Percent 30 3 4 5" xfId="26186"/>
    <cellStyle name="Percent 30 3 2 3 5" xfId="26187"/>
    <cellStyle name="Percent 30 4 2 3 5" xfId="26188"/>
    <cellStyle name="Percent 30 5 3 5" xfId="26189"/>
    <cellStyle name="Percent 31 2 4 5" xfId="26190"/>
    <cellStyle name="Percent 31 2 2 3 5" xfId="26191"/>
    <cellStyle name="Percent 31 3 4 5" xfId="26192"/>
    <cellStyle name="Percent 31 3 2 3 5" xfId="26193"/>
    <cellStyle name="Percent 31 4 2 3 5" xfId="26194"/>
    <cellStyle name="Percent 31 5 3 5" xfId="26195"/>
    <cellStyle name="Percent 32 2 4 5" xfId="26196"/>
    <cellStyle name="Percent 32 2 2 3 5" xfId="26197"/>
    <cellStyle name="Percent 32 3 4 5" xfId="26198"/>
    <cellStyle name="Percent 32 3 2 3 5" xfId="26199"/>
    <cellStyle name="Percent 32 4 2 3 5" xfId="26200"/>
    <cellStyle name="Percent 32 5 3 5" xfId="26201"/>
    <cellStyle name="Percent 33 2 4 5" xfId="26202"/>
    <cellStyle name="Percent 33 2 2 3 5" xfId="26203"/>
    <cellStyle name="Percent 33 3 4 5" xfId="26204"/>
    <cellStyle name="Percent 33 3 2 3 5" xfId="26205"/>
    <cellStyle name="Percent 33 4 2 3 5" xfId="26206"/>
    <cellStyle name="Percent 33 5 3 5" xfId="26207"/>
    <cellStyle name="Percent 34 2 4 5" xfId="26208"/>
    <cellStyle name="Percent 34 2 2 3 5" xfId="26209"/>
    <cellStyle name="Percent 34 3 4 5" xfId="26210"/>
    <cellStyle name="Percent 34 3 2 3 5" xfId="26211"/>
    <cellStyle name="Percent 34 4 2 3 5" xfId="26212"/>
    <cellStyle name="Percent 34 5 3 5" xfId="26213"/>
    <cellStyle name="Percent 35 2 4 5" xfId="26214"/>
    <cellStyle name="Percent 35 2 2 3 5" xfId="26215"/>
    <cellStyle name="Percent 35 3 4 5" xfId="26216"/>
    <cellStyle name="Percent 35 3 2 3 5" xfId="26217"/>
    <cellStyle name="Percent 35 4 2 3 5" xfId="26218"/>
    <cellStyle name="Percent 35 5 3 5" xfId="26219"/>
    <cellStyle name="Currency 5 4 3 5" xfId="26220"/>
    <cellStyle name="Comma 5 7 3 5" xfId="26221"/>
    <cellStyle name="Percent 5 4 3 5" xfId="26222"/>
    <cellStyle name="Comma 6 5 3 5" xfId="26223"/>
    <cellStyle name="Currency 5 2 4 3 5" xfId="26224"/>
    <cellStyle name="Comma 5 2 4 3 5" xfId="26225"/>
    <cellStyle name="Percent 5 2 4 3 5" xfId="26226"/>
    <cellStyle name="Comma 6 2 3 3 5" xfId="26227"/>
    <cellStyle name="Currency 5 3 2 3 5" xfId="26228"/>
    <cellStyle name="Comma 5 3 2 3 5" xfId="26229"/>
    <cellStyle name="Percent 5 3 2 3 5" xfId="26230"/>
    <cellStyle name="Comma 6 3 4 3 5" xfId="26231"/>
    <cellStyle name="Normal 11 2 2 3 5" xfId="26232"/>
    <cellStyle name="Currency 5 2 2 2 3 5" xfId="26233"/>
    <cellStyle name="Comma 5 2 2 2 3 5" xfId="26234"/>
    <cellStyle name="Percent 5 2 2 2 3 5" xfId="26235"/>
    <cellStyle name="Comma 6 2 2 2 3 5" xfId="26236"/>
    <cellStyle name="Normal 51 3 5" xfId="26237"/>
    <cellStyle name="Comma 187 3 5" xfId="26238"/>
    <cellStyle name="Percent 163 3 5" xfId="26239"/>
    <cellStyle name="Currency 162 3 5" xfId="26240"/>
    <cellStyle name="Currency 5 6 2 5" xfId="26241"/>
    <cellStyle name="Currency 179 2 5" xfId="26242"/>
    <cellStyle name="Percent 180 2 5" xfId="26243"/>
    <cellStyle name="Comma 204 2 5" xfId="26244"/>
    <cellStyle name="Normal 8 26 2 5" xfId="26245"/>
    <cellStyle name="Comma 5 9 2 5 2" xfId="26246"/>
    <cellStyle name="Percent 5 6 2 5 2" xfId="26247"/>
    <cellStyle name="Comma 6 7 2 5" xfId="26248"/>
    <cellStyle name="Normal 11 5 2 5" xfId="26249"/>
    <cellStyle name="Currency 5 2 6 2 5" xfId="26250"/>
    <cellStyle name="Normal 8 2 7 2 5" xfId="26251"/>
    <cellStyle name="Comma 5 2 6 2 5" xfId="26252"/>
    <cellStyle name="Percent 5 2 6 2 5" xfId="26253"/>
    <cellStyle name="Comma 6 2 5 2 5" xfId="26254"/>
    <cellStyle name="Currency 5 3 4 2 5" xfId="26255"/>
    <cellStyle name="Normal 8 3 7 2 5" xfId="26256"/>
    <cellStyle name="Comma 5 3 4 2 5" xfId="26257"/>
    <cellStyle name="Percent 5 3 4 2 5" xfId="26258"/>
    <cellStyle name="Comma 6 3 6 2 5" xfId="26259"/>
    <cellStyle name="Normal 11 2 4 2 5" xfId="26260"/>
    <cellStyle name="Currency 5 2 2 4 2 5" xfId="26261"/>
    <cellStyle name="Normal 8 2 2 3 2 5" xfId="26262"/>
    <cellStyle name="Comma 5 2 2 4 2 5" xfId="26263"/>
    <cellStyle name="Percent 5 2 2 4 2 5" xfId="26264"/>
    <cellStyle name="Comma 6 2 2 3 2 5" xfId="26265"/>
    <cellStyle name="Normal 50 2 2 5" xfId="26266"/>
    <cellStyle name="Comma 186 2 2 5" xfId="26267"/>
    <cellStyle name="Percent 162 2 2 5" xfId="26268"/>
    <cellStyle name="Normal 2 24 2 2 5" xfId="26269"/>
    <cellStyle name="20% - Accent1 2 2 2 5" xfId="26270"/>
    <cellStyle name="20% - Accent1 3 2 2 5" xfId="26271"/>
    <cellStyle name="20% - Accent1 4 2 2 5" xfId="26272"/>
    <cellStyle name="20% - Accent1 5 2 2 5" xfId="26273"/>
    <cellStyle name="20% - Accent2 2 2 2 5" xfId="26274"/>
    <cellStyle name="20% - Accent2 3 2 2 5" xfId="26275"/>
    <cellStyle name="20% - Accent2 4 2 2 5" xfId="26276"/>
    <cellStyle name="20% - Accent2 5 2 2 5" xfId="26277"/>
    <cellStyle name="20% - Accent3 2 2 2 5" xfId="26278"/>
    <cellStyle name="20% - Accent3 3 2 2 5" xfId="26279"/>
    <cellStyle name="20% - Accent3 4 2 2 5" xfId="26280"/>
    <cellStyle name="20% - Accent3 5 2 2 5" xfId="26281"/>
    <cellStyle name="20% - Accent4 2 2 2 5" xfId="26282"/>
    <cellStyle name="20% - Accent4 3 2 2 5" xfId="26283"/>
    <cellStyle name="20% - Accent4 4 2 2 5" xfId="26284"/>
    <cellStyle name="20% - Accent4 5 2 2 5" xfId="26285"/>
    <cellStyle name="20% - Accent5 2 2 2 5" xfId="26286"/>
    <cellStyle name="20% - Accent5 3 2 2 5" xfId="26287"/>
    <cellStyle name="20% - Accent5 4 2 2 5" xfId="26288"/>
    <cellStyle name="20% - Accent6 2 2 2 5" xfId="26289"/>
    <cellStyle name="20% - Accent6 3 2 2 5" xfId="26290"/>
    <cellStyle name="20% - Accent6 4 2 2 5" xfId="26291"/>
    <cellStyle name="40% - Accent1 2 2 2 5" xfId="26292"/>
    <cellStyle name="40% - Accent1 3 2 2 5" xfId="26293"/>
    <cellStyle name="40% - Accent1 4 2 2 5" xfId="26294"/>
    <cellStyle name="40% - Accent1 5 2 2 5" xfId="26295"/>
    <cellStyle name="40% - Accent2 2 2 2 5" xfId="26296"/>
    <cellStyle name="40% - Accent2 3 2 2 5" xfId="26297"/>
    <cellStyle name="40% - Accent2 4 2 2 5" xfId="26298"/>
    <cellStyle name="40% - Accent3 2 2 2 5" xfId="26299"/>
    <cellStyle name="40% - Accent3 3 2 2 5" xfId="26300"/>
    <cellStyle name="40% - Accent3 4 2 2 5" xfId="26301"/>
    <cellStyle name="40% - Accent3 5 2 2 5" xfId="26302"/>
    <cellStyle name="40% - Accent4 2 2 2 5" xfId="26303"/>
    <cellStyle name="40% - Accent4 3 2 2 5" xfId="26304"/>
    <cellStyle name="40% - Accent4 4 2 2 5" xfId="26305"/>
    <cellStyle name="40% - Accent4 5 2 2 5" xfId="26306"/>
    <cellStyle name="40% - Accent5 2 2 2 5" xfId="26307"/>
    <cellStyle name="40% - Accent5 3 2 2 5" xfId="26308"/>
    <cellStyle name="40% - Accent5 4 2 2 5" xfId="26309"/>
    <cellStyle name="40% - Accent6 2 2 2 5" xfId="26310"/>
    <cellStyle name="40% - Accent6 3 2 2 5" xfId="26311"/>
    <cellStyle name="40% - Accent6 4 2 2 5" xfId="26312"/>
    <cellStyle name="40% - Accent6 5 2 2 5" xfId="26313"/>
    <cellStyle name="Comma 143 2 2 5" xfId="26314"/>
    <cellStyle name="Comma 144 2 2 5" xfId="26315"/>
    <cellStyle name="Comma 145 2 2 5" xfId="26316"/>
    <cellStyle name="Comma 146 2 2 5" xfId="26317"/>
    <cellStyle name="Comma 147 2 2 5" xfId="26318"/>
    <cellStyle name="Comma 148 2 2 5" xfId="26319"/>
    <cellStyle name="Comma 149 2 2 5" xfId="26320"/>
    <cellStyle name="Comma 150 2 2 5" xfId="26321"/>
    <cellStyle name="Comma 151 2 2 5" xfId="26322"/>
    <cellStyle name="Comma 152 2 2 5" xfId="26323"/>
    <cellStyle name="Comma 153 2 2 5" xfId="26324"/>
    <cellStyle name="Comma 182 2 2 5" xfId="26325"/>
    <cellStyle name="Comma 2 23 2 2 5" xfId="26326"/>
    <cellStyle name="Comma 2 2 10 2 2 5" xfId="26327"/>
    <cellStyle name="Comma 2 2 11 2 2 5" xfId="26328"/>
    <cellStyle name="Comma 2 2 12 2 2 5" xfId="26329"/>
    <cellStyle name="Comma 2 2 13 2 2 5" xfId="26330"/>
    <cellStyle name="Comma 2 2 14 2 2 5" xfId="26331"/>
    <cellStyle name="Comma 2 2 15 2 2 5" xfId="26332"/>
    <cellStyle name="Comma 2 2 16 2 2 5" xfId="26333"/>
    <cellStyle name="Comma 2 2 17 2 2 5" xfId="26334"/>
    <cellStyle name="Comma 2 2 2 2 6 2 5" xfId="26335"/>
    <cellStyle name="Comma 2 2 2 2 2 2 2 5" xfId="26336"/>
    <cellStyle name="Comma 2 2 2 2 3 2 2 5" xfId="26337"/>
    <cellStyle name="Comma 2 2 2 2 4 2 2 5" xfId="26338"/>
    <cellStyle name="Comma 2 2 2 2 5 2 2 5" xfId="26339"/>
    <cellStyle name="Comma 2 2 2 3 2 2 5" xfId="26340"/>
    <cellStyle name="Comma 2 2 2 4 2 2 5" xfId="26341"/>
    <cellStyle name="Comma 2 2 2 5 2 2 5" xfId="26342"/>
    <cellStyle name="Comma 2 2 2 6 2 2 5" xfId="26343"/>
    <cellStyle name="Comma 2 2 3 6 2 5" xfId="26344"/>
    <cellStyle name="Comma 2 2 3 2 2 2 2 5" xfId="26345"/>
    <cellStyle name="Comma 2 2 3 2 3 2 2 5" xfId="26346"/>
    <cellStyle name="Comma 2 2 3 2 4 2 2 5" xfId="26347"/>
    <cellStyle name="Comma 2 2 3 2 5 2 2 5" xfId="26348"/>
    <cellStyle name="Comma 2 2 3 3 2 2 5" xfId="26349"/>
    <cellStyle name="Comma 2 2 4 2 2 2 5" xfId="26350"/>
    <cellStyle name="Comma 2 2 5 2 2 5" xfId="26351"/>
    <cellStyle name="Comma 2 2 6 2 2 5" xfId="26352"/>
    <cellStyle name="Comma 2 2 7 2 2 5" xfId="26353"/>
    <cellStyle name="Comma 2 2 8 2 2 5" xfId="26354"/>
    <cellStyle name="Comma 2 2 9 2 2 5" xfId="26355"/>
    <cellStyle name="Comma 3 10 2 2 5" xfId="26356"/>
    <cellStyle name="Comma 3 11 2 2 5" xfId="26357"/>
    <cellStyle name="Comma 3 12 2 2 5" xfId="26358"/>
    <cellStyle name="Comma 3 13 2 2 5" xfId="26359"/>
    <cellStyle name="Comma 3 14 2 2 5" xfId="26360"/>
    <cellStyle name="Comma 3 15 2 2 5" xfId="26361"/>
    <cellStyle name="Comma 3 16 2 2 5" xfId="26362"/>
    <cellStyle name="Comma 3 17 2 2 5" xfId="26363"/>
    <cellStyle name="Comma 3 18 2 2 5" xfId="26364"/>
    <cellStyle name="Comma 3 19 2 2 5" xfId="26365"/>
    <cellStyle name="Comma 3 2 2 2 2 5" xfId="26366"/>
    <cellStyle name="Comma 3 2 3 2 2 5" xfId="26367"/>
    <cellStyle name="Comma 3 2 4 2 2 5" xfId="26368"/>
    <cellStyle name="Comma 3 2 5 2 2 5" xfId="26369"/>
    <cellStyle name="Comma 3 20 2 2 5" xfId="26370"/>
    <cellStyle name="Comma 3 21 2 2 5" xfId="26371"/>
    <cellStyle name="Comma 3 3 6 2 5" xfId="26372"/>
    <cellStyle name="Comma 3 3 2 2 2 5" xfId="26373"/>
    <cellStyle name="Comma 3 3 3 2 2 5" xfId="26374"/>
    <cellStyle name="Comma 3 3 4 2 2 5" xfId="26375"/>
    <cellStyle name="Comma 3 3 5 2 2 5" xfId="26376"/>
    <cellStyle name="Comma 3 4 3 2 5" xfId="26377"/>
    <cellStyle name="Comma 3 4 2 2 2 5" xfId="26378"/>
    <cellStyle name="Comma 3 5 3 2 5" xfId="26379"/>
    <cellStyle name="Comma 3 5 2 2 2 5" xfId="26380"/>
    <cellStyle name="Comma 3 6 3 2 5" xfId="26381"/>
    <cellStyle name="Comma 3 6 2 2 2 5" xfId="26382"/>
    <cellStyle name="Comma 3 7 2 2 5" xfId="26383"/>
    <cellStyle name="Comma 3 8 2 2 5" xfId="26384"/>
    <cellStyle name="Comma 3 9 2 2 5" xfId="26385"/>
    <cellStyle name="Currency 120 2 2 5" xfId="26386"/>
    <cellStyle name="Currency 121 2 2 5" xfId="26387"/>
    <cellStyle name="Currency 122 2 2 5" xfId="26388"/>
    <cellStyle name="Currency 123 2 2 5" xfId="26389"/>
    <cellStyle name="Currency 124 2 2 5" xfId="26390"/>
    <cellStyle name="Currency 125 2 2 5" xfId="26391"/>
    <cellStyle name="Currency 126 2 2 5" xfId="26392"/>
    <cellStyle name="Currency 127 2 2 5" xfId="26393"/>
    <cellStyle name="Currency 128 2 2 5" xfId="26394"/>
    <cellStyle name="Currency 129 2 2 5" xfId="26395"/>
    <cellStyle name="Currency 130 2 2 5" xfId="26396"/>
    <cellStyle name="Currency 159 2 2 5" xfId="26397"/>
    <cellStyle name="Currency 2 27 2 2 5" xfId="26398"/>
    <cellStyle name="Currency 2 2 20 2 2 5" xfId="26399"/>
    <cellStyle name="Currency 2 2 10 2 2 5" xfId="26400"/>
    <cellStyle name="Currency 2 2 11 2 2 5" xfId="26401"/>
    <cellStyle name="Currency 2 2 12 2 2 5" xfId="26402"/>
    <cellStyle name="Currency 2 2 13 2 2 5" xfId="26403"/>
    <cellStyle name="Currency 2 2 14 2 2 5" xfId="26404"/>
    <cellStyle name="Currency 2 2 15 2 2 5" xfId="26405"/>
    <cellStyle name="Currency 2 2 16 2 2 5" xfId="26406"/>
    <cellStyle name="Currency 2 2 17 2 2 5" xfId="26407"/>
    <cellStyle name="Currency 2 2 18 2 2 5" xfId="26408"/>
    <cellStyle name="Currency 2 2 2 2 2 2 5" xfId="26409"/>
    <cellStyle name="Currency 2 2 2 3 2 2 5" xfId="26410"/>
    <cellStyle name="Currency 2 2 2 4 2 2 5" xfId="26411"/>
    <cellStyle name="Currency 2 2 2 5 2 2 5" xfId="26412"/>
    <cellStyle name="Currency 2 2 3 6 2 5" xfId="26413"/>
    <cellStyle name="Currency 2 2 3 2 2 2 5" xfId="26414"/>
    <cellStyle name="Currency 2 2 3 3 2 2 5" xfId="26415"/>
    <cellStyle name="Currency 2 2 3 4 2 2 5" xfId="26416"/>
    <cellStyle name="Currency 2 2 3 5 2 2 5" xfId="26417"/>
    <cellStyle name="Currency 2 2 4 2 2 5" xfId="26418"/>
    <cellStyle name="Currency 2 2 5 2 2 5" xfId="26419"/>
    <cellStyle name="Currency 2 2 6 2 2 5" xfId="26420"/>
    <cellStyle name="Currency 2 2 7 2 2 5" xfId="26421"/>
    <cellStyle name="Currency 2 2 8 2 2 5" xfId="26422"/>
    <cellStyle name="Currency 2 2 9 2 2 5" xfId="26423"/>
    <cellStyle name="Currency 3 10 2 2 5" xfId="26424"/>
    <cellStyle name="Currency 3 11 2 2 5" xfId="26425"/>
    <cellStyle name="Currency 3 12 2 2 5" xfId="26426"/>
    <cellStyle name="Currency 3 13 2 2 5" xfId="26427"/>
    <cellStyle name="Currency 3 14 2 2 5" xfId="26428"/>
    <cellStyle name="Currency 3 15 2 2 5" xfId="26429"/>
    <cellStyle name="Currency 3 16 2 2 5" xfId="26430"/>
    <cellStyle name="Currency 3 17 2 2 5" xfId="26431"/>
    <cellStyle name="Currency 3 18 2 2 5" xfId="26432"/>
    <cellStyle name="Currency 3 19 2 2 5" xfId="26433"/>
    <cellStyle name="Currency 3 2 2 2 2 5" xfId="26434"/>
    <cellStyle name="Currency 3 2 3 2 2 5" xfId="26435"/>
    <cellStyle name="Currency 3 2 4 2 2 5" xfId="26436"/>
    <cellStyle name="Currency 3 2 5 2 2 5" xfId="26437"/>
    <cellStyle name="Currency 3 20 2 2 5" xfId="26438"/>
    <cellStyle name="Currency 3 21 2 2 5" xfId="26439"/>
    <cellStyle name="Currency 3 3 8 2 5" xfId="26440"/>
    <cellStyle name="Currency 3 3 2 2 2 5" xfId="26441"/>
    <cellStyle name="Currency 3 3 3 2 2 5" xfId="26442"/>
    <cellStyle name="Currency 3 3 4 2 2 5" xfId="26443"/>
    <cellStyle name="Currency 3 3 5 2 2 5" xfId="26444"/>
    <cellStyle name="Currency 3 3 6 2 2 5" xfId="26445"/>
    <cellStyle name="Currency 3 4 3 2 5" xfId="26446"/>
    <cellStyle name="Currency 3 4 2 2 2 5" xfId="26447"/>
    <cellStyle name="Currency 3 5 3 2 5" xfId="26448"/>
    <cellStyle name="Currency 3 5 2 2 2 5" xfId="26449"/>
    <cellStyle name="Currency 3 6 3 2 5" xfId="26450"/>
    <cellStyle name="Currency 3 6 2 2 2 5" xfId="26451"/>
    <cellStyle name="Currency 3 7 2 2 5" xfId="26452"/>
    <cellStyle name="Currency 3 8 2 2 5" xfId="26453"/>
    <cellStyle name="Currency 3 9 2 2 5" xfId="26454"/>
    <cellStyle name="Normal 10 3 6 2 5" xfId="26455"/>
    <cellStyle name="Normal 10 3 2 5 2 5" xfId="26456"/>
    <cellStyle name="Normal 10 3 2 2 3 2 5" xfId="26457"/>
    <cellStyle name="Normal 10 3 2 2 2 2 2 5" xfId="26458"/>
    <cellStyle name="Normal 10 3 2 3 3 2 5" xfId="26459"/>
    <cellStyle name="Normal 10 3 2 3 2 2 2 5" xfId="26460"/>
    <cellStyle name="Normal 10 3 2 4 2 2 5" xfId="26461"/>
    <cellStyle name="Normal 10 3 3 3 2 5" xfId="26462"/>
    <cellStyle name="Normal 10 3 3 2 2 2 5" xfId="26463"/>
    <cellStyle name="Normal 10 3 4 3 2 5" xfId="26464"/>
    <cellStyle name="Normal 10 3 4 2 2 2 5" xfId="26465"/>
    <cellStyle name="Normal 10 3 5 2 2 5" xfId="26466"/>
    <cellStyle name="Normal 10 4 5 2 5" xfId="26467"/>
    <cellStyle name="Normal 10 4 2 3 2 5" xfId="26468"/>
    <cellStyle name="Normal 10 4 2 2 2 2 5" xfId="26469"/>
    <cellStyle name="Normal 10 4 3 3 2 5" xfId="26470"/>
    <cellStyle name="Normal 10 4 3 2 2 2 5" xfId="26471"/>
    <cellStyle name="Normal 10 4 4 2 2 5" xfId="26472"/>
    <cellStyle name="Normal 10 5 5 2 5" xfId="26473"/>
    <cellStyle name="Normal 10 5 2 3 2 5" xfId="26474"/>
    <cellStyle name="Normal 10 5 2 2 2 2 5" xfId="26475"/>
    <cellStyle name="Normal 10 5 3 3 2 5" xfId="26476"/>
    <cellStyle name="Normal 10 5 3 2 2 2 5" xfId="26477"/>
    <cellStyle name="Normal 10 5 4 2 2 5" xfId="26478"/>
    <cellStyle name="Normal 10 6 3 2 5" xfId="26479"/>
    <cellStyle name="Normal 10 6 2 2 2 5" xfId="26480"/>
    <cellStyle name="Normal 10 7 3 2 5" xfId="26481"/>
    <cellStyle name="Normal 10 7 2 2 2 5" xfId="26482"/>
    <cellStyle name="Normal 10 8 2 2 2 5" xfId="26483"/>
    <cellStyle name="Normal 10 9 2 2 5" xfId="26484"/>
    <cellStyle name="Normal 11 4 2 2 5" xfId="26485"/>
    <cellStyle name="Normal 11 3 2 2 5" xfId="26486"/>
    <cellStyle name="Normal 12 8 2 5" xfId="26487"/>
    <cellStyle name="Normal 12 2 2 5 2 5" xfId="26488"/>
    <cellStyle name="Normal 12 2 2 2 3 2 5" xfId="26489"/>
    <cellStyle name="Normal 12 2 2 2 2 2 2 5" xfId="26490"/>
    <cellStyle name="Normal 12 2 2 3 3 2 5" xfId="26491"/>
    <cellStyle name="Normal 12 2 2 3 2 2 2 5" xfId="26492"/>
    <cellStyle name="Normal 12 2 2 4 2 2 5" xfId="26493"/>
    <cellStyle name="Normal 12 2 3 3 2 5" xfId="26494"/>
    <cellStyle name="Normal 12 2 3 2 2 2 5" xfId="26495"/>
    <cellStyle name="Normal 12 2 4 3 2 5" xfId="26496"/>
    <cellStyle name="Normal 12 2 4 2 2 2 5" xfId="26497"/>
    <cellStyle name="Normal 12 2 5 2 2 2 5" xfId="26498"/>
    <cellStyle name="Normal 12 2 6 2 2 5" xfId="26499"/>
    <cellStyle name="Normal 12 3 5 2 5" xfId="26500"/>
    <cellStyle name="Normal 12 3 2 3 2 5" xfId="26501"/>
    <cellStyle name="Normal 12 3 2 2 2 2 5" xfId="26502"/>
    <cellStyle name="Normal 12 3 3 3 2 5" xfId="26503"/>
    <cellStyle name="Normal 12 3 3 2 2 2 5" xfId="26504"/>
    <cellStyle name="Normal 12 3 4 2 2 5" xfId="26505"/>
    <cellStyle name="Normal 12 4 5 2 5" xfId="26506"/>
    <cellStyle name="Normal 12 4 2 3 2 5" xfId="26507"/>
    <cellStyle name="Normal 12 4 2 2 2 2 5" xfId="26508"/>
    <cellStyle name="Normal 12 4 3 3 2 5" xfId="26509"/>
    <cellStyle name="Normal 12 4 3 2 2 2 5" xfId="26510"/>
    <cellStyle name="Normal 12 4 4 2 2 5" xfId="26511"/>
    <cellStyle name="Normal 12 5 3 2 5" xfId="26512"/>
    <cellStyle name="Normal 12 5 2 2 2 5" xfId="26513"/>
    <cellStyle name="Normal 12 6 3 2 5" xfId="26514"/>
    <cellStyle name="Normal 12 6 2 2 2 5" xfId="26515"/>
    <cellStyle name="Normal 12 7 2 2 5" xfId="26516"/>
    <cellStyle name="Normal 15 6 2 5" xfId="26517"/>
    <cellStyle name="Normal 15 3 2 2 5" xfId="26518"/>
    <cellStyle name="Normal 16 2 5 2 5" xfId="26519"/>
    <cellStyle name="Normal 16 2 2 3 2 5" xfId="26520"/>
    <cellStyle name="Normal 16 2 2 2 2 2 5" xfId="26521"/>
    <cellStyle name="Normal 16 2 3 3 2 5" xfId="26522"/>
    <cellStyle name="Normal 16 2 3 2 2 2 5" xfId="26523"/>
    <cellStyle name="Normal 16 2 4 2 2 5" xfId="26524"/>
    <cellStyle name="Normal 16 3 3 2 5" xfId="26525"/>
    <cellStyle name="Normal 16 3 2 2 2 5" xfId="26526"/>
    <cellStyle name="Normal 16 4 3 2 5" xfId="26527"/>
    <cellStyle name="Normal 16 4 2 2 2 5" xfId="26528"/>
    <cellStyle name="Normal 16 5 2 2 2 5" xfId="26529"/>
    <cellStyle name="Normal 16 6 2 2 5" xfId="26530"/>
    <cellStyle name="Normal 17 2 5 2 5" xfId="26531"/>
    <cellStyle name="Normal 17 2 2 3 2 5" xfId="26532"/>
    <cellStyle name="Normal 17 2 2 2 2 2 5" xfId="26533"/>
    <cellStyle name="Normal 17 2 3 3 2 5" xfId="26534"/>
    <cellStyle name="Normal 17 2 3 2 2 2 5" xfId="26535"/>
    <cellStyle name="Normal 17 2 4 2 2 5" xfId="26536"/>
    <cellStyle name="Normal 17 3 3 2 5" xfId="26537"/>
    <cellStyle name="Normal 17 3 2 2 2 5" xfId="26538"/>
    <cellStyle name="Normal 17 4 3 2 5" xfId="26539"/>
    <cellStyle name="Normal 17 4 2 2 2 5" xfId="26540"/>
    <cellStyle name="Normal 17 5 2 2 2 5" xfId="26541"/>
    <cellStyle name="Normal 17 6 2 2 5" xfId="26542"/>
    <cellStyle name="Normal 2 10 3 2 2 5" xfId="26543"/>
    <cellStyle name="Normal 2 11 3 2 2 5" xfId="26544"/>
    <cellStyle name="Normal 2 12 3 2 2 5" xfId="26545"/>
    <cellStyle name="Normal 2 13 3 2 2 5" xfId="26546"/>
    <cellStyle name="Normal 2 14 3 2 2 5" xfId="26547"/>
    <cellStyle name="Normal 2 15 3 2 2 5" xfId="26548"/>
    <cellStyle name="Normal 2 16 3 2 2 5" xfId="26549"/>
    <cellStyle name="Normal 2 17 3 2 2 5" xfId="26550"/>
    <cellStyle name="Normal 2 18 3 2 2 5" xfId="26551"/>
    <cellStyle name="Normal 2 19 3 2 2 5" xfId="26552"/>
    <cellStyle name="Normal 2 2 10 2 2 5" xfId="26553"/>
    <cellStyle name="Normal 2 2 11 2 2 5" xfId="26554"/>
    <cellStyle name="Normal 2 2 12 2 2 5" xfId="26555"/>
    <cellStyle name="Normal 2 2 13 2 2 5" xfId="26556"/>
    <cellStyle name="Normal 2 2 14 2 2 5" xfId="26557"/>
    <cellStyle name="Normal 2 2 15 2 2 5" xfId="26558"/>
    <cellStyle name="Normal 2 2 16 2 2 5" xfId="26559"/>
    <cellStyle name="Normal 2 2 17 2 2 5" xfId="26560"/>
    <cellStyle name="Normal 2 2 18 2 2 5" xfId="26561"/>
    <cellStyle name="Normal 2 2 19 2 2 5" xfId="26562"/>
    <cellStyle name="Normal 2 2 2 2 6 2 5" xfId="26563"/>
    <cellStyle name="Normal 2 2 2 2 2 3 2 5" xfId="26564"/>
    <cellStyle name="Normal 2 2 2 2 2 2 2 2 5" xfId="26565"/>
    <cellStyle name="Normal 2 2 2 2 3 2 2 5" xfId="26566"/>
    <cellStyle name="Normal 2 2 2 2 4 2 2 5" xfId="26567"/>
    <cellStyle name="Normal 2 2 2 2 5 2 2 5" xfId="26568"/>
    <cellStyle name="Normal 2 2 20 2 2 5" xfId="26569"/>
    <cellStyle name="Normal 2 2 21 2 2 5" xfId="26570"/>
    <cellStyle name="Normal 2 2 22 2 2 5" xfId="26571"/>
    <cellStyle name="Normal 2 2 3 9 2 5" xfId="26572"/>
    <cellStyle name="Normal 2 2 3 2 2 2 5" xfId="26573"/>
    <cellStyle name="Normal 2 2 3 3 2 2 5" xfId="26574"/>
    <cellStyle name="Normal 2 2 3 4 2 2 5" xfId="26575"/>
    <cellStyle name="Normal 2 2 3 5 2 2 5" xfId="26576"/>
    <cellStyle name="Normal 2 2 3 6 2 2 5" xfId="26577"/>
    <cellStyle name="Normal 2 2 4 5 2 5" xfId="26578"/>
    <cellStyle name="Normal 2 2 4 2 2 2 5" xfId="26579"/>
    <cellStyle name="Normal 2 2 5 4 2 5" xfId="26580"/>
    <cellStyle name="Normal 2 2 5 2 2 2 5" xfId="26581"/>
    <cellStyle name="Normal 2 2 6 2 2 5" xfId="26582"/>
    <cellStyle name="Normal 2 2 7 2 2 5" xfId="26583"/>
    <cellStyle name="Normal 2 2 8 2 2 5" xfId="26584"/>
    <cellStyle name="Normal 2 2 9 2 2 5" xfId="26585"/>
    <cellStyle name="Normal 2 20 2 2 5" xfId="26586"/>
    <cellStyle name="Normal 2 3 2 3 2 5" xfId="26587"/>
    <cellStyle name="Normal 2 3 3 2 2 5" xfId="26588"/>
    <cellStyle name="Normal 2 3 4 2 2 5" xfId="26589"/>
    <cellStyle name="Normal 2 3 5 2 2 5" xfId="26590"/>
    <cellStyle name="Normal 2 3 6 2 2 5" xfId="26591"/>
    <cellStyle name="Normal 2 4 5 2 2 5" xfId="26592"/>
    <cellStyle name="Normal 2 4 2 2 2 5" xfId="26593"/>
    <cellStyle name="Normal 2 5 3 2 2 5" xfId="26594"/>
    <cellStyle name="Normal 2 6 3 2 2 5" xfId="26595"/>
    <cellStyle name="Normal 2 7 3 2 2 5" xfId="26596"/>
    <cellStyle name="Normal 2 8 3 2 2 5" xfId="26597"/>
    <cellStyle name="Normal 2 9 3 2 2 5" xfId="26598"/>
    <cellStyle name="Normal 21 9 2 5" xfId="26599"/>
    <cellStyle name="Normal 21 2 7 2 5" xfId="26600"/>
    <cellStyle name="Normal 21 2 2 2 2 5" xfId="26601"/>
    <cellStyle name="Normal 21 2 3 2 2 5" xfId="26602"/>
    <cellStyle name="Normal 21 2 4 2 2 5" xfId="26603"/>
    <cellStyle name="Normal 21 2 5 2 2 5" xfId="26604"/>
    <cellStyle name="Normal 21 2 6 2 2 5" xfId="26605"/>
    <cellStyle name="Normal 21 3 3 2 5" xfId="26606"/>
    <cellStyle name="Normal 21 3 2 2 2 5" xfId="26607"/>
    <cellStyle name="Normal 21 4 2 2 5" xfId="26608"/>
    <cellStyle name="Normal 21 5 2 2 5" xfId="26609"/>
    <cellStyle name="Normal 21 6 2 2 5" xfId="26610"/>
    <cellStyle name="Normal 21 8 2 2 5" xfId="26611"/>
    <cellStyle name="Normal 22 8 2 5" xfId="26612"/>
    <cellStyle name="Normal 22 2 7 2 5" xfId="26613"/>
    <cellStyle name="Normal 22 2 2 2 2 5" xfId="26614"/>
    <cellStyle name="Normal 22 2 3 2 2 5" xfId="26615"/>
    <cellStyle name="Normal 22 2 4 2 2 5" xfId="26616"/>
    <cellStyle name="Normal 22 2 5 2 2 5" xfId="26617"/>
    <cellStyle name="Normal 22 3 2 2 5" xfId="26618"/>
    <cellStyle name="Normal 22 4 2 2 5" xfId="26619"/>
    <cellStyle name="Normal 22 5 2 2 5" xfId="26620"/>
    <cellStyle name="Normal 22 6 2 2 5" xfId="26621"/>
    <cellStyle name="Normal 23 8 2 5" xfId="26622"/>
    <cellStyle name="Normal 23 2 6 2 5" xfId="26623"/>
    <cellStyle name="Normal 23 2 2 2 2 5" xfId="26624"/>
    <cellStyle name="Normal 23 2 3 2 2 5" xfId="26625"/>
    <cellStyle name="Normal 23 2 4 2 2 5" xfId="26626"/>
    <cellStyle name="Normal 23 2 5 2 2 5" xfId="26627"/>
    <cellStyle name="Normal 23 3 2 2 5" xfId="26628"/>
    <cellStyle name="Normal 23 4 2 2 5" xfId="26629"/>
    <cellStyle name="Normal 23 5 2 2 5" xfId="26630"/>
    <cellStyle name="Normal 23 6 2 2 5" xfId="26631"/>
    <cellStyle name="Normal 24 8 2 5" xfId="26632"/>
    <cellStyle name="Normal 24 2 6 2 5" xfId="26633"/>
    <cellStyle name="Normal 24 2 2 2 2 5" xfId="26634"/>
    <cellStyle name="Normal 24 2 3 2 2 5" xfId="26635"/>
    <cellStyle name="Normal 24 2 4 2 2 5" xfId="26636"/>
    <cellStyle name="Normal 24 2 5 2 2 5" xfId="26637"/>
    <cellStyle name="Normal 24 3 2 2 5" xfId="26638"/>
    <cellStyle name="Normal 24 4 2 2 5" xfId="26639"/>
    <cellStyle name="Normal 24 5 2 2 5" xfId="26640"/>
    <cellStyle name="Normal 24 6 2 2 5" xfId="26641"/>
    <cellStyle name="Normal 26 8 2 5" xfId="26642"/>
    <cellStyle name="Normal 26 2 6 2 5" xfId="26643"/>
    <cellStyle name="Normal 26 2 2 2 2 5" xfId="26644"/>
    <cellStyle name="Normal 26 2 3 2 2 5" xfId="26645"/>
    <cellStyle name="Normal 26 2 4 2 2 5" xfId="26646"/>
    <cellStyle name="Normal 26 2 5 2 2 5" xfId="26647"/>
    <cellStyle name="Normal 26 3 2 2 5" xfId="26648"/>
    <cellStyle name="Normal 26 4 2 2 5" xfId="26649"/>
    <cellStyle name="Normal 26 5 2 2 5" xfId="26650"/>
    <cellStyle name="Normal 26 6 2 2 5" xfId="26651"/>
    <cellStyle name="Normal 3 10 2 2 5" xfId="26652"/>
    <cellStyle name="Normal 3 11 2 2 5" xfId="26653"/>
    <cellStyle name="Normal 3 12 2 2 5" xfId="26654"/>
    <cellStyle name="Normal 3 13 2 2 5" xfId="26655"/>
    <cellStyle name="Normal 3 14 2 2 5" xfId="26656"/>
    <cellStyle name="Normal 3 15 2 2 5" xfId="26657"/>
    <cellStyle name="Normal 3 16 2 2 5" xfId="26658"/>
    <cellStyle name="Normal 3 17 2 2 5" xfId="26659"/>
    <cellStyle name="Normal 3 18 2 2 5" xfId="26660"/>
    <cellStyle name="Normal 3 19 2 2 5" xfId="26661"/>
    <cellStyle name="Normal 3 2 2 2 2 5" xfId="26662"/>
    <cellStyle name="Normal 3 2 3 2 2 5" xfId="26663"/>
    <cellStyle name="Normal 3 2 4 2 2 5" xfId="26664"/>
    <cellStyle name="Normal 3 2 5 2 2 5" xfId="26665"/>
    <cellStyle name="Normal 3 2 6 2 2 5" xfId="26666"/>
    <cellStyle name="Normal 3 20 2 2 5" xfId="26667"/>
    <cellStyle name="Normal 3 21 2 2 5" xfId="26668"/>
    <cellStyle name="Normal 3 22 2 2 5" xfId="26669"/>
    <cellStyle name="Normal 3 23 2 2 5" xfId="26670"/>
    <cellStyle name="Normal 3 24 2 2 5" xfId="26671"/>
    <cellStyle name="Normal 3 3 5 2 5" xfId="26672"/>
    <cellStyle name="Normal 3 3 2 2 2 5" xfId="26673"/>
    <cellStyle name="Normal 3 3 3 2 2 5" xfId="26674"/>
    <cellStyle name="Normal 3 4 3 2 5" xfId="26675"/>
    <cellStyle name="Normal 3 4 2 2 2 5" xfId="26676"/>
    <cellStyle name="Normal 3 5 3 2 5" xfId="26677"/>
    <cellStyle name="Normal 3 5 2 2 2 5" xfId="26678"/>
    <cellStyle name="Normal 3 6 2 2 5" xfId="26679"/>
    <cellStyle name="Normal 3 7 2 2 5" xfId="26680"/>
    <cellStyle name="Normal 3 8 2 2 5" xfId="26681"/>
    <cellStyle name="Normal 3 9 2 2 5" xfId="26682"/>
    <cellStyle name="Normal 4 2 10 2 2 5" xfId="26683"/>
    <cellStyle name="Normal 4 2 11 2 2 5" xfId="26684"/>
    <cellStyle name="Normal 4 2 12 2 2 5" xfId="26685"/>
    <cellStyle name="Normal 4 2 13 2 2 5" xfId="26686"/>
    <cellStyle name="Normal 4 2 14 2 2 5" xfId="26687"/>
    <cellStyle name="Normal 4 2 15 2 2 5" xfId="26688"/>
    <cellStyle name="Normal 4 2 16 2 2 5" xfId="26689"/>
    <cellStyle name="Normal 4 2 17 2 2 5" xfId="26690"/>
    <cellStyle name="Normal 4 2 18 2 2 5" xfId="26691"/>
    <cellStyle name="Normal 4 2 19 2 2 5" xfId="26692"/>
    <cellStyle name="Normal 4 2 2 6 2 5" xfId="26693"/>
    <cellStyle name="Normal 4 2 2 2 2 2 5" xfId="26694"/>
    <cellStyle name="Normal 4 2 2 3 2 2 5" xfId="26695"/>
    <cellStyle name="Normal 4 2 2 4 2 2 5" xfId="26696"/>
    <cellStyle name="Normal 4 2 2 5 2 2 5" xfId="26697"/>
    <cellStyle name="Normal 4 2 20 2 2 5" xfId="26698"/>
    <cellStyle name="Normal 4 2 21 2 2 5" xfId="26699"/>
    <cellStyle name="Normal 4 2 22 2 2 5" xfId="26700"/>
    <cellStyle name="Normal 4 2 23 2 2 5" xfId="26701"/>
    <cellStyle name="Normal 4 2 24 2 2 5" xfId="26702"/>
    <cellStyle name="Normal 4 2 3 3 2 5" xfId="26703"/>
    <cellStyle name="Normal 4 2 3 2 2 2 5" xfId="26704"/>
    <cellStyle name="Normal 4 2 4 3 2 5" xfId="26705"/>
    <cellStyle name="Normal 4 2 4 2 2 2 5" xfId="26706"/>
    <cellStyle name="Normal 4 2 5 3 2 5" xfId="26707"/>
    <cellStyle name="Normal 4 2 5 2 2 2 5" xfId="26708"/>
    <cellStyle name="Normal 4 2 6 2 2 5" xfId="26709"/>
    <cellStyle name="Normal 4 2 7 2 2 5" xfId="26710"/>
    <cellStyle name="Normal 4 2 8 2 2 5" xfId="26711"/>
    <cellStyle name="Normal 4 2 9 2 2 5" xfId="26712"/>
    <cellStyle name="Normal 4 3 7 2 5" xfId="26713"/>
    <cellStyle name="Normal 4 3 2 6 2 5" xfId="26714"/>
    <cellStyle name="Normal 4 3 2 2 5 2 5" xfId="26715"/>
    <cellStyle name="Normal 4 3 2 2 2 3 2 5" xfId="26716"/>
    <cellStyle name="Normal 4 3 2 2 2 2 2 2 5" xfId="26717"/>
    <cellStyle name="Normal 4 3 2 2 3 3 2 5" xfId="26718"/>
    <cellStyle name="Normal 4 3 2 2 3 2 2 2 5" xfId="26719"/>
    <cellStyle name="Normal 4 3 2 2 4 2 2 5" xfId="26720"/>
    <cellStyle name="Normal 4 3 2 3 3 2 5" xfId="26721"/>
    <cellStyle name="Normal 4 3 2 3 2 2 2 5" xfId="26722"/>
    <cellStyle name="Normal 4 3 2 4 3 2 5" xfId="26723"/>
    <cellStyle name="Normal 4 3 2 4 2 2 2 5" xfId="26724"/>
    <cellStyle name="Normal 4 3 2 5 2 2 5" xfId="26725"/>
    <cellStyle name="Normal 4 3 3 5 2 5" xfId="26726"/>
    <cellStyle name="Normal 4 3 3 2 3 2 5" xfId="26727"/>
    <cellStyle name="Normal 4 3 3 2 2 2 2 5" xfId="26728"/>
    <cellStyle name="Normal 4 3 3 3 3 2 5" xfId="26729"/>
    <cellStyle name="Normal 4 3 3 3 2 2 2 5" xfId="26730"/>
    <cellStyle name="Normal 4 3 3 4 2 2 5" xfId="26731"/>
    <cellStyle name="Normal 4 3 4 3 2 5" xfId="26732"/>
    <cellStyle name="Normal 4 3 4 2 2 2 5" xfId="26733"/>
    <cellStyle name="Normal 4 3 5 3 2 5" xfId="26734"/>
    <cellStyle name="Normal 4 3 5 2 2 2 5" xfId="26735"/>
    <cellStyle name="Normal 4 3 6 2 2 5" xfId="26736"/>
    <cellStyle name="Normal 4 4 4 2 5" xfId="26737"/>
    <cellStyle name="Normal 4 4 2 2 2 5" xfId="26738"/>
    <cellStyle name="Normal 4 5 2 2 5" xfId="26739"/>
    <cellStyle name="Normal 4 6 2 2 5" xfId="26740"/>
    <cellStyle name="Normal 4 7 2 2 5" xfId="26741"/>
    <cellStyle name="Normal 4 8 2 2 5" xfId="26742"/>
    <cellStyle name="Normal 41 2 2 2 5" xfId="26743"/>
    <cellStyle name="Normal 46 2 2 5" xfId="26744"/>
    <cellStyle name="Normal 5 28 2 2 5" xfId="26745"/>
    <cellStyle name="Normal 5 2 7 2 5" xfId="26746"/>
    <cellStyle name="Normal 5 2 2 2 2 2 2 5" xfId="26747"/>
    <cellStyle name="Normal 5 2 2 3 2 2 5" xfId="26748"/>
    <cellStyle name="Normal 5 2 3 2 2 2 2 5" xfId="26749"/>
    <cellStyle name="Normal 5 2 3 3 2 2 5" xfId="26750"/>
    <cellStyle name="Normal 5 2 4 2 2 2 5" xfId="26751"/>
    <cellStyle name="Normal 5 2 6 2 2 5" xfId="26752"/>
    <cellStyle name="Normal 5 24 2 2 5" xfId="26753"/>
    <cellStyle name="Normal 5 3 3 2 5" xfId="26754"/>
    <cellStyle name="Normal 5 4 3 2 5" xfId="26755"/>
    <cellStyle name="Normal 5 5 3 2 5" xfId="26756"/>
    <cellStyle name="Normal 5 6 3 2 5" xfId="26757"/>
    <cellStyle name="Normal 5 7 3 2 5" xfId="26758"/>
    <cellStyle name="Normal 7 25 2 2 5" xfId="26759"/>
    <cellStyle name="Normal 7 10 2 2 5" xfId="26760"/>
    <cellStyle name="Normal 7 11 2 2 5" xfId="26761"/>
    <cellStyle name="Normal 7 12 2 2 5" xfId="26762"/>
    <cellStyle name="Normal 7 13 2 2 5" xfId="26763"/>
    <cellStyle name="Normal 7 14 2 2 5" xfId="26764"/>
    <cellStyle name="Normal 7 15 2 2 5" xfId="26765"/>
    <cellStyle name="Normal 7 16 2 2 5" xfId="26766"/>
    <cellStyle name="Normal 7 17 2 2 5" xfId="26767"/>
    <cellStyle name="Normal 7 18 2 2 5" xfId="26768"/>
    <cellStyle name="Normal 7 19 2 2 5" xfId="26769"/>
    <cellStyle name="Normal 7 2 6 2 5" xfId="26770"/>
    <cellStyle name="Normal 7 2 2 2 2 5" xfId="26771"/>
    <cellStyle name="Normal 7 2 3 2 2 5" xfId="26772"/>
    <cellStyle name="Normal 7 2 4 2 2 5" xfId="26773"/>
    <cellStyle name="Normal 7 2 5 2 2 5" xfId="26774"/>
    <cellStyle name="Normal 7 20 2 2 5" xfId="26775"/>
    <cellStyle name="Normal 7 22 2 2 5" xfId="26776"/>
    <cellStyle name="Normal 7 3 6 2 5" xfId="26777"/>
    <cellStyle name="Normal 7 3 2 2 2 5" xfId="26778"/>
    <cellStyle name="Normal 7 3 3 2 2 5" xfId="26779"/>
    <cellStyle name="Normal 7 3 4 2 2 5" xfId="26780"/>
    <cellStyle name="Normal 7 3 5 2 2 5" xfId="26781"/>
    <cellStyle name="Normal 7 4 2 2 5" xfId="26782"/>
    <cellStyle name="Normal 7 5 2 2 5" xfId="26783"/>
    <cellStyle name="Normal 7 6 2 2 5" xfId="26784"/>
    <cellStyle name="Normal 7 7 2 2 5" xfId="26785"/>
    <cellStyle name="Normal 7 8 2 2 5" xfId="26786"/>
    <cellStyle name="Normal 7 9 2 2 5" xfId="26787"/>
    <cellStyle name="Normal 8 25 2 2 5" xfId="26788"/>
    <cellStyle name="Normal 8 10 2 2 5" xfId="26789"/>
    <cellStyle name="Normal 8 11 2 2 5" xfId="26790"/>
    <cellStyle name="Normal 8 12 2 2 5" xfId="26791"/>
    <cellStyle name="Normal 8 13 2 2 5" xfId="26792"/>
    <cellStyle name="Normal 8 14 2 2 5" xfId="26793"/>
    <cellStyle name="Normal 8 15 2 2 5" xfId="26794"/>
    <cellStyle name="Normal 8 16 2 2 5" xfId="26795"/>
    <cellStyle name="Normal 8 17 2 2 5" xfId="26796"/>
    <cellStyle name="Normal 8 18 2 2 5" xfId="26797"/>
    <cellStyle name="Normal 8 19 2 2 5" xfId="26798"/>
    <cellStyle name="Normal 8 2 6 2 2 5" xfId="26799"/>
    <cellStyle name="Normal 8 2 2 2 2 2 5" xfId="26800"/>
    <cellStyle name="Normal 8 2 3 2 2 5" xfId="26801"/>
    <cellStyle name="Normal 8 2 4 2 2 5" xfId="26802"/>
    <cellStyle name="Normal 8 2 5 2 2 5" xfId="26803"/>
    <cellStyle name="Normal 8 20 2 2 5" xfId="26804"/>
    <cellStyle name="Normal 8 22 2 2 5" xfId="26805"/>
    <cellStyle name="Normal 8 3 6 2 2 5" xfId="26806"/>
    <cellStyle name="Normal 8 3 2 2 2 5" xfId="26807"/>
    <cellStyle name="Normal 8 3 3 2 2 5" xfId="26808"/>
    <cellStyle name="Normal 8 3 4 2 2 5" xfId="26809"/>
    <cellStyle name="Normal 8 3 5 2 2 5" xfId="26810"/>
    <cellStyle name="Normal 8 4 2 2 5" xfId="26811"/>
    <cellStyle name="Normal 8 5 2 2 5" xfId="26812"/>
    <cellStyle name="Normal 8 6 2 2 5" xfId="26813"/>
    <cellStyle name="Normal 8 7 2 2 5" xfId="26814"/>
    <cellStyle name="Normal 8 8 2 2 5" xfId="26815"/>
    <cellStyle name="Normal 8 9 2 2 5" xfId="26816"/>
    <cellStyle name="Normal 9 25 2 2 5" xfId="26817"/>
    <cellStyle name="Normal 9 10 2 2 5" xfId="26818"/>
    <cellStyle name="Normal 9 11 2 2 5" xfId="26819"/>
    <cellStyle name="Normal 9 12 2 2 5" xfId="26820"/>
    <cellStyle name="Normal 9 13 2 2 5" xfId="26821"/>
    <cellStyle name="Normal 9 14 2 2 5" xfId="26822"/>
    <cellStyle name="Normal 9 15 2 2 5" xfId="26823"/>
    <cellStyle name="Normal 9 16 2 2 5" xfId="26824"/>
    <cellStyle name="Normal 9 17 2 2 5" xfId="26825"/>
    <cellStyle name="Normal 9 18 2 2 5" xfId="26826"/>
    <cellStyle name="Normal 9 19 2 2 5" xfId="26827"/>
    <cellStyle name="Normal 9 2 6 2 5" xfId="26828"/>
    <cellStyle name="Normal 9 2 2 2 2 5" xfId="26829"/>
    <cellStyle name="Normal 9 2 3 2 2 5" xfId="26830"/>
    <cellStyle name="Normal 9 2 4 2 2 5" xfId="26831"/>
    <cellStyle name="Normal 9 2 5 2 2 5" xfId="26832"/>
    <cellStyle name="Normal 9 20 2 2 5" xfId="26833"/>
    <cellStyle name="Normal 9 22 2 2 5" xfId="26834"/>
    <cellStyle name="Normal 9 3 6 2 5" xfId="26835"/>
    <cellStyle name="Normal 9 3 2 2 2 5" xfId="26836"/>
    <cellStyle name="Normal 9 3 3 2 2 5" xfId="26837"/>
    <cellStyle name="Normal 9 3 4 2 2 5" xfId="26838"/>
    <cellStyle name="Normal 9 3 5 2 2 5" xfId="26839"/>
    <cellStyle name="Normal 9 4 2 2 5" xfId="26840"/>
    <cellStyle name="Normal 9 5 2 2 5" xfId="26841"/>
    <cellStyle name="Normal 9 6 2 2 5" xfId="26842"/>
    <cellStyle name="Normal 9 7 2 2 5" xfId="26843"/>
    <cellStyle name="Normal 9 8 2 2 5" xfId="26844"/>
    <cellStyle name="Normal 9 9 2 2 5" xfId="26845"/>
    <cellStyle name="Note 2 2 2 5 2" xfId="26846"/>
    <cellStyle name="Note 3 2 2 5" xfId="26847"/>
    <cellStyle name="Note 4 2 2 5" xfId="26848"/>
    <cellStyle name="Note 7 2 2 5" xfId="26849"/>
    <cellStyle name="Percent 120 2 2 5" xfId="26850"/>
    <cellStyle name="Percent 121 2 2 5" xfId="26851"/>
    <cellStyle name="Percent 122 2 2 5" xfId="26852"/>
    <cellStyle name="Percent 123 2 2 5" xfId="26853"/>
    <cellStyle name="Percent 124 2 2 5" xfId="26854"/>
    <cellStyle name="Percent 125 2 2 5" xfId="26855"/>
    <cellStyle name="Percent 126 2 2 5" xfId="26856"/>
    <cellStyle name="Percent 127 2 2 5" xfId="26857"/>
    <cellStyle name="Percent 128 2 2 5" xfId="26858"/>
    <cellStyle name="Percent 129 2 2 5" xfId="26859"/>
    <cellStyle name="Percent 130 2 2 5" xfId="26860"/>
    <cellStyle name="Percent 159 2 2 5" xfId="26861"/>
    <cellStyle name="Percent 2 22 2 2 5" xfId="26862"/>
    <cellStyle name="Percent 25 2 3 2 5" xfId="26863"/>
    <cellStyle name="Percent 25 2 2 2 2 5" xfId="26864"/>
    <cellStyle name="Percent 25 3 3 2 5" xfId="26865"/>
    <cellStyle name="Percent 25 3 2 2 2 5" xfId="26866"/>
    <cellStyle name="Percent 25 4 2 2 2 5" xfId="26867"/>
    <cellStyle name="Percent 25 5 2 2 5" xfId="26868"/>
    <cellStyle name="Percent 26 2 3 2 5" xfId="26869"/>
    <cellStyle name="Percent 26 2 2 2 2 5" xfId="26870"/>
    <cellStyle name="Percent 26 3 3 2 5" xfId="26871"/>
    <cellStyle name="Percent 26 3 2 2 2 5" xfId="26872"/>
    <cellStyle name="Percent 26 4 2 2 2 5" xfId="26873"/>
    <cellStyle name="Percent 26 5 2 2 5" xfId="26874"/>
    <cellStyle name="Percent 27 2 3 2 5" xfId="26875"/>
    <cellStyle name="Percent 27 2 2 2 2 5" xfId="26876"/>
    <cellStyle name="Percent 27 3 3 2 5" xfId="26877"/>
    <cellStyle name="Percent 27 3 2 2 2 5" xfId="26878"/>
    <cellStyle name="Percent 27 4 2 2 2 5" xfId="26879"/>
    <cellStyle name="Percent 27 5 2 2 5" xfId="26880"/>
    <cellStyle name="Percent 28 2 3 2 5" xfId="26881"/>
    <cellStyle name="Percent 28 2 2 2 2 5" xfId="26882"/>
    <cellStyle name="Percent 28 3 3 2 5" xfId="26883"/>
    <cellStyle name="Percent 28 3 2 2 2 5" xfId="26884"/>
    <cellStyle name="Percent 28 4 2 2 2 5" xfId="26885"/>
    <cellStyle name="Percent 28 5 2 2 5" xfId="26886"/>
    <cellStyle name="Percent 29 2 3 2 5" xfId="26887"/>
    <cellStyle name="Percent 29 2 2 2 2 5" xfId="26888"/>
    <cellStyle name="Percent 29 3 3 2 5" xfId="26889"/>
    <cellStyle name="Percent 29 3 2 2 2 5" xfId="26890"/>
    <cellStyle name="Percent 29 4 2 2 2 5" xfId="26891"/>
    <cellStyle name="Percent 29 5 2 2 5" xfId="26892"/>
    <cellStyle name="Percent 3 10 2 2 5" xfId="26893"/>
    <cellStyle name="Percent 3 11 2 2 5" xfId="26894"/>
    <cellStyle name="Percent 3 12 2 2 5" xfId="26895"/>
    <cellStyle name="Percent 3 13 2 2 5" xfId="26896"/>
    <cellStyle name="Percent 3 14 2 2 5" xfId="26897"/>
    <cellStyle name="Percent 3 15 2 2 5" xfId="26898"/>
    <cellStyle name="Percent 3 16 2 2 5" xfId="26899"/>
    <cellStyle name="Percent 3 17 2 2 5" xfId="26900"/>
    <cellStyle name="Percent 3 18 2 2 5" xfId="26901"/>
    <cellStyle name="Percent 3 19 2 2 5" xfId="26902"/>
    <cellStyle name="Percent 3 2 23 2 5" xfId="26903"/>
    <cellStyle name="Percent 3 2 10 2 2 5" xfId="26904"/>
    <cellStyle name="Percent 3 2 11 2 2 5" xfId="26905"/>
    <cellStyle name="Percent 3 2 12 2 2 5" xfId="26906"/>
    <cellStyle name="Percent 3 2 13 2 2 5" xfId="26907"/>
    <cellStyle name="Percent 3 2 14 2 2 5" xfId="26908"/>
    <cellStyle name="Percent 3 2 15 2 2 5" xfId="26909"/>
    <cellStyle name="Percent 3 2 16 2 2 5" xfId="26910"/>
    <cellStyle name="Percent 3 2 17 2 2 5" xfId="26911"/>
    <cellStyle name="Percent 3 2 18 2 2 5" xfId="26912"/>
    <cellStyle name="Percent 3 2 19 2 2 5" xfId="26913"/>
    <cellStyle name="Percent 3 2 2 2 2 2 5" xfId="26914"/>
    <cellStyle name="Percent 3 2 2 3 2 2 5" xfId="26915"/>
    <cellStyle name="Percent 3 2 2 4 2 2 5" xfId="26916"/>
    <cellStyle name="Percent 3 2 2 5 2 2 5" xfId="26917"/>
    <cellStyle name="Percent 3 2 20 2 2 5" xfId="26918"/>
    <cellStyle name="Percent 3 2 21 2 2 2 5" xfId="26919"/>
    <cellStyle name="Percent 3 2 3 6 2 5" xfId="26920"/>
    <cellStyle name="Percent 3 2 3 2 2 2 5" xfId="26921"/>
    <cellStyle name="Percent 3 2 3 3 2 2 5" xfId="26922"/>
    <cellStyle name="Percent 3 2 3 4 2 2 5" xfId="26923"/>
    <cellStyle name="Percent 3 2 3 5 2 2 5" xfId="26924"/>
    <cellStyle name="Percent 3 2 4 3 2 5" xfId="26925"/>
    <cellStyle name="Percent 3 2 4 2 2 2 5" xfId="26926"/>
    <cellStyle name="Percent 3 2 5 3 2 5" xfId="26927"/>
    <cellStyle name="Percent 3 2 5 2 2 2 5" xfId="26928"/>
    <cellStyle name="Percent 3 2 6 3 2 5" xfId="26929"/>
    <cellStyle name="Percent 3 2 6 2 2 2 5" xfId="26930"/>
    <cellStyle name="Percent 3 2 7 2 2 5" xfId="26931"/>
    <cellStyle name="Percent 3 2 8 2 2 5" xfId="26932"/>
    <cellStyle name="Percent 3 2 9 2 2 5" xfId="26933"/>
    <cellStyle name="Percent 3 20 2 2 5" xfId="26934"/>
    <cellStyle name="Percent 3 21 2 2 5" xfId="26935"/>
    <cellStyle name="Percent 3 3 2 2 2 5" xfId="26936"/>
    <cellStyle name="Percent 3 3 3 2 2 5" xfId="26937"/>
    <cellStyle name="Percent 3 3 4 2 2 5" xfId="26938"/>
    <cellStyle name="Percent 3 3 5 2 2 5" xfId="26939"/>
    <cellStyle name="Percent 3 4 6 2 5" xfId="26940"/>
    <cellStyle name="Percent 3 4 2 2 2 5" xfId="26941"/>
    <cellStyle name="Percent 3 4 3 2 2 5" xfId="26942"/>
    <cellStyle name="Percent 3 4 4 2 2 5" xfId="26943"/>
    <cellStyle name="Percent 3 4 5 2 2 5" xfId="26944"/>
    <cellStyle name="Percent 3 5 3 2 5" xfId="26945"/>
    <cellStyle name="Percent 3 5 2 2 2 5" xfId="26946"/>
    <cellStyle name="Percent 3 6 3 2 5" xfId="26947"/>
    <cellStyle name="Percent 3 6 2 2 2 5" xfId="26948"/>
    <cellStyle name="Percent 3 7 3 2 5" xfId="26949"/>
    <cellStyle name="Percent 3 7 2 2 2 5" xfId="26950"/>
    <cellStyle name="Percent 3 8 2 2 5" xfId="26951"/>
    <cellStyle name="Percent 3 9 2 2 5" xfId="26952"/>
    <cellStyle name="Percent 30 2 3 2 5" xfId="26953"/>
    <cellStyle name="Percent 30 2 2 2 2 5" xfId="26954"/>
    <cellStyle name="Percent 30 3 3 2 5" xfId="26955"/>
    <cellStyle name="Percent 30 3 2 2 2 5" xfId="26956"/>
    <cellStyle name="Percent 30 4 2 2 2 5" xfId="26957"/>
    <cellStyle name="Percent 30 5 2 2 5" xfId="26958"/>
    <cellStyle name="Percent 31 2 3 2 5" xfId="26959"/>
    <cellStyle name="Percent 31 2 2 2 2 5" xfId="26960"/>
    <cellStyle name="Percent 31 3 3 2 5" xfId="26961"/>
    <cellStyle name="Percent 31 3 2 2 2 5" xfId="26962"/>
    <cellStyle name="Percent 31 4 2 2 2 5" xfId="26963"/>
    <cellStyle name="Percent 31 5 2 2 5" xfId="26964"/>
    <cellStyle name="Percent 32 2 3 2 5" xfId="26965"/>
    <cellStyle name="Percent 32 2 2 2 2 5" xfId="26966"/>
    <cellStyle name="Percent 32 3 3 2 5" xfId="26967"/>
    <cellStyle name="Percent 32 3 2 2 2 5" xfId="26968"/>
    <cellStyle name="Percent 32 4 2 2 2 5" xfId="26969"/>
    <cellStyle name="Percent 32 5 2 2 5" xfId="26970"/>
    <cellStyle name="Percent 33 2 3 2 5" xfId="26971"/>
    <cellStyle name="Percent 33 2 2 2 2 5" xfId="26972"/>
    <cellStyle name="Percent 33 3 3 2 5" xfId="26973"/>
    <cellStyle name="Percent 33 3 2 2 2 5" xfId="26974"/>
    <cellStyle name="Percent 33 4 2 2 2 5" xfId="26975"/>
    <cellStyle name="Percent 33 5 2 2 5" xfId="26976"/>
    <cellStyle name="Percent 34 2 3 2 5" xfId="26977"/>
    <cellStyle name="Percent 34 2 2 2 2 5" xfId="26978"/>
    <cellStyle name="Percent 34 3 3 2 5" xfId="26979"/>
    <cellStyle name="Percent 34 3 2 2 2 5" xfId="26980"/>
    <cellStyle name="Percent 34 4 2 2 2 5" xfId="26981"/>
    <cellStyle name="Percent 34 5 2 2 5" xfId="26982"/>
    <cellStyle name="Percent 35 2 3 2 5" xfId="26983"/>
    <cellStyle name="Percent 35 2 2 2 2 5" xfId="26984"/>
    <cellStyle name="Percent 35 3 3 2 5" xfId="26985"/>
    <cellStyle name="Percent 35 3 2 2 2 5" xfId="26986"/>
    <cellStyle name="Percent 35 4 2 2 2 5" xfId="26987"/>
    <cellStyle name="Percent 35 5 2 2 5" xfId="26988"/>
    <cellStyle name="Currency 5 4 2 2 5" xfId="26989"/>
    <cellStyle name="Comma 5 7 2 2 5" xfId="26990"/>
    <cellStyle name="Percent 5 4 2 2 5" xfId="26991"/>
    <cellStyle name="Comma 6 5 2 2 5" xfId="26992"/>
    <cellStyle name="Currency 5 2 4 2 2 5" xfId="26993"/>
    <cellStyle name="Comma 5 2 4 2 2 5" xfId="26994"/>
    <cellStyle name="Percent 5 2 4 2 2 5" xfId="26995"/>
    <cellStyle name="Comma 6 2 3 2 2 5" xfId="26996"/>
    <cellStyle name="Currency 5 3 2 2 2 5" xfId="26997"/>
    <cellStyle name="Comma 5 3 2 2 2 5" xfId="26998"/>
    <cellStyle name="Percent 5 3 2 2 2 5" xfId="26999"/>
    <cellStyle name="Comma 6 3 4 2 2 5" xfId="27000"/>
    <cellStyle name="Normal 11 2 2 2 2 5" xfId="27001"/>
    <cellStyle name="Currency 5 2 2 2 2 2 5" xfId="27002"/>
    <cellStyle name="Comma 5 2 2 2 2 2 5" xfId="27003"/>
    <cellStyle name="Percent 5 2 2 2 2 2 5" xfId="27004"/>
    <cellStyle name="Comma 6 2 2 2 2 2 5" xfId="27005"/>
    <cellStyle name="Normal 54 4" xfId="27006"/>
    <cellStyle name="Currency 5 8 4" xfId="27007"/>
    <cellStyle name="Normal 8 28 4" xfId="27008"/>
    <cellStyle name="Comma 5 11 4 2" xfId="27009"/>
    <cellStyle name="Percent 5 8 4 2" xfId="27010"/>
    <cellStyle name="Comma 6 9 4" xfId="27011"/>
    <cellStyle name="Normal 11 7 4" xfId="27012"/>
    <cellStyle name="Currency 5 2 8 4" xfId="27013"/>
    <cellStyle name="Normal 8 2 9 4" xfId="27014"/>
    <cellStyle name="Comma 5 2 8 4" xfId="27015"/>
    <cellStyle name="Percent 5 2 8 4" xfId="27016"/>
    <cellStyle name="Comma 6 2 7 4" xfId="27017"/>
    <cellStyle name="Currency 5 3 6 4" xfId="27018"/>
    <cellStyle name="Normal 8 3 9 4" xfId="27019"/>
    <cellStyle name="Comma 5 3 6 4" xfId="27020"/>
    <cellStyle name="Percent 5 3 6 4" xfId="27021"/>
    <cellStyle name="Comma 6 3 8 4" xfId="27022"/>
    <cellStyle name="Normal 11 2 6 4" xfId="27023"/>
    <cellStyle name="Currency 5 2 2 6 4" xfId="27024"/>
    <cellStyle name="Normal 8 2 2 5 4" xfId="27025"/>
    <cellStyle name="Comma 5 2 2 6 4" xfId="27026"/>
    <cellStyle name="Percent 5 2 2 6 4" xfId="27027"/>
    <cellStyle name="Comma 6 2 2 5 4" xfId="27028"/>
    <cellStyle name="Normal 50 4 4" xfId="27029"/>
    <cellStyle name="Comma 186 4 4" xfId="27030"/>
    <cellStyle name="Percent 162 4 4" xfId="27031"/>
    <cellStyle name="Normal 2 24 4 4" xfId="27032"/>
    <cellStyle name="20% - Accent1 2 4 4" xfId="27033"/>
    <cellStyle name="20% - Accent1 3 4 4" xfId="27034"/>
    <cellStyle name="20% - Accent1 4 4 4" xfId="27035"/>
    <cellStyle name="20% - Accent1 5 4 4" xfId="27036"/>
    <cellStyle name="20% - Accent2 2 4 4" xfId="27037"/>
    <cellStyle name="20% - Accent2 3 4 4" xfId="27038"/>
    <cellStyle name="20% - Accent2 4 4 4" xfId="27039"/>
    <cellStyle name="20% - Accent2 5 4 4" xfId="27040"/>
    <cellStyle name="20% - Accent3 2 4 4" xfId="27041"/>
    <cellStyle name="20% - Accent3 3 4 4" xfId="27042"/>
    <cellStyle name="20% - Accent3 4 4 4" xfId="27043"/>
    <cellStyle name="20% - Accent3 5 4 4" xfId="27044"/>
    <cellStyle name="20% - Accent4 2 4 4" xfId="27045"/>
    <cellStyle name="20% - Accent4 3 4 4" xfId="27046"/>
    <cellStyle name="20% - Accent4 4 4 4" xfId="27047"/>
    <cellStyle name="20% - Accent4 5 4 4" xfId="27048"/>
    <cellStyle name="20% - Accent5 2 4 4" xfId="27049"/>
    <cellStyle name="20% - Accent5 3 4 4" xfId="27050"/>
    <cellStyle name="20% - Accent5 4 4 4" xfId="27051"/>
    <cellStyle name="20% - Accent6 2 4 4" xfId="27052"/>
    <cellStyle name="20% - Accent6 3 4 4" xfId="27053"/>
    <cellStyle name="20% - Accent6 4 4 4" xfId="27054"/>
    <cellStyle name="40% - Accent1 2 4 4" xfId="27055"/>
    <cellStyle name="40% - Accent1 3 4 4" xfId="27056"/>
    <cellStyle name="40% - Accent1 4 4 4" xfId="27057"/>
    <cellStyle name="40% - Accent1 5 4 4" xfId="27058"/>
    <cellStyle name="40% - Accent2 2 4 4" xfId="27059"/>
    <cellStyle name="40% - Accent2 3 4 4" xfId="27060"/>
    <cellStyle name="40% - Accent2 4 4 4" xfId="27061"/>
    <cellStyle name="40% - Accent3 2 4 4" xfId="27062"/>
    <cellStyle name="40% - Accent3 3 4 4" xfId="27063"/>
    <cellStyle name="40% - Accent3 4 4 4" xfId="27064"/>
    <cellStyle name="40% - Accent3 5 4 4" xfId="27065"/>
    <cellStyle name="40% - Accent4 2 4 4" xfId="27066"/>
    <cellStyle name="40% - Accent4 3 4 4" xfId="27067"/>
    <cellStyle name="40% - Accent4 4 4 4" xfId="27068"/>
    <cellStyle name="40% - Accent4 5 4 4" xfId="27069"/>
    <cellStyle name="40% - Accent5 2 4 4" xfId="27070"/>
    <cellStyle name="40% - Accent5 3 4 4" xfId="27071"/>
    <cellStyle name="40% - Accent5 4 4 4" xfId="27072"/>
    <cellStyle name="40% - Accent6 2 4 4" xfId="27073"/>
    <cellStyle name="40% - Accent6 3 4 4" xfId="27074"/>
    <cellStyle name="40% - Accent6 4 4 4" xfId="27075"/>
    <cellStyle name="40% - Accent6 5 4 4" xfId="27076"/>
    <cellStyle name="Comma 143 4 4" xfId="27077"/>
    <cellStyle name="Comma 144 4 4" xfId="27078"/>
    <cellStyle name="Comma 145 4 4" xfId="27079"/>
    <cellStyle name="Comma 146 4 4" xfId="27080"/>
    <cellStyle name="Comma 147 4 4" xfId="27081"/>
    <cellStyle name="Comma 148 4 4" xfId="27082"/>
    <cellStyle name="Comma 149 4 4" xfId="27083"/>
    <cellStyle name="Comma 150 4 4" xfId="27084"/>
    <cellStyle name="Comma 151 4 4" xfId="27085"/>
    <cellStyle name="Comma 152 4 4" xfId="27086"/>
    <cellStyle name="Comma 153 4 4" xfId="27087"/>
    <cellStyle name="Comma 182 4 4" xfId="27088"/>
    <cellStyle name="Comma 2 23 4 4" xfId="27089"/>
    <cellStyle name="Comma 2 2 10 4 4" xfId="27090"/>
    <cellStyle name="Comma 2 2 11 4 4" xfId="27091"/>
    <cellStyle name="Comma 2 2 12 4 4" xfId="27092"/>
    <cellStyle name="Comma 2 2 13 4 4" xfId="27093"/>
    <cellStyle name="Comma 2 2 14 4 4" xfId="27094"/>
    <cellStyle name="Comma 2 2 15 4 4" xfId="27095"/>
    <cellStyle name="Comma 2 2 16 4 4" xfId="27096"/>
    <cellStyle name="Comma 2 2 17 4 4" xfId="27097"/>
    <cellStyle name="Comma 2 2 2 2 8 4" xfId="27098"/>
    <cellStyle name="Comma 2 2 2 2 2 4 4" xfId="27099"/>
    <cellStyle name="Comma 2 2 2 2 3 4 4" xfId="27100"/>
    <cellStyle name="Comma 2 2 2 2 4 4 4" xfId="27101"/>
    <cellStyle name="Comma 2 2 2 2 5 4 4" xfId="27102"/>
    <cellStyle name="Comma 2 2 2 3 4 4" xfId="27103"/>
    <cellStyle name="Comma 2 2 2 4 4 4" xfId="27104"/>
    <cellStyle name="Comma 2 2 2 5 4 4" xfId="27105"/>
    <cellStyle name="Comma 2 2 2 6 4 4" xfId="27106"/>
    <cellStyle name="Comma 2 2 3 8 4" xfId="27107"/>
    <cellStyle name="Comma 2 2 3 2 2 4 4" xfId="27108"/>
    <cellStyle name="Comma 2 2 3 2 3 4 4" xfId="27109"/>
    <cellStyle name="Comma 2 2 3 2 4 4 4" xfId="27110"/>
    <cellStyle name="Comma 2 2 3 2 5 4 4" xfId="27111"/>
    <cellStyle name="Comma 2 2 3 3 4 4" xfId="27112"/>
    <cellStyle name="Comma 2 2 4 2 4 4" xfId="27113"/>
    <cellStyle name="Comma 2 2 5 4 4" xfId="27114"/>
    <cellStyle name="Comma 2 2 6 4 4" xfId="27115"/>
    <cellStyle name="Comma 2 2 7 4 4" xfId="27116"/>
    <cellStyle name="Comma 2 2 8 4 4" xfId="27117"/>
    <cellStyle name="Comma 2 2 9 4 4" xfId="27118"/>
    <cellStyle name="Comma 3 10 4 4" xfId="27119"/>
    <cellStyle name="Comma 3 11 4 4" xfId="27120"/>
    <cellStyle name="Comma 3 12 4 4" xfId="27121"/>
    <cellStyle name="Comma 3 13 4 4" xfId="27122"/>
    <cellStyle name="Comma 3 14 4 4" xfId="27123"/>
    <cellStyle name="Comma 3 15 4 4" xfId="27124"/>
    <cellStyle name="Comma 3 16 4 4" xfId="27125"/>
    <cellStyle name="Comma 3 17 4 4" xfId="27126"/>
    <cellStyle name="Comma 3 18 4 4" xfId="27127"/>
    <cellStyle name="Comma 3 19 4 4" xfId="27128"/>
    <cellStyle name="Comma 3 2 2 4 4" xfId="27129"/>
    <cellStyle name="Comma 3 2 3 4 4" xfId="27130"/>
    <cellStyle name="Comma 3 2 4 4 4" xfId="27131"/>
    <cellStyle name="Comma 3 2 5 4 4" xfId="27132"/>
    <cellStyle name="Comma 3 20 4 4" xfId="27133"/>
    <cellStyle name="Comma 3 21 4 4" xfId="27134"/>
    <cellStyle name="Comma 3 3 8 4" xfId="27135"/>
    <cellStyle name="Comma 3 3 2 4 4" xfId="27136"/>
    <cellStyle name="Comma 3 3 3 4 4" xfId="27137"/>
    <cellStyle name="Comma 3 3 4 4 4" xfId="27138"/>
    <cellStyle name="Comma 3 3 5 4 4" xfId="27139"/>
    <cellStyle name="Comma 3 4 5 4" xfId="27140"/>
    <cellStyle name="Comma 3 4 2 4 4" xfId="27141"/>
    <cellStyle name="Comma 3 5 5 4" xfId="27142"/>
    <cellStyle name="Comma 3 5 2 4 4" xfId="27143"/>
    <cellStyle name="Comma 3 6 5 4" xfId="27144"/>
    <cellStyle name="Comma 3 6 2 4 4" xfId="27145"/>
    <cellStyle name="Comma 3 7 4 4" xfId="27146"/>
    <cellStyle name="Comma 3 8 4 4" xfId="27147"/>
    <cellStyle name="Comma 3 9 4 4" xfId="27148"/>
    <cellStyle name="Currency 120 4 4" xfId="27149"/>
    <cellStyle name="Currency 121 4 4" xfId="27150"/>
    <cellStyle name="Currency 122 4 4" xfId="27151"/>
    <cellStyle name="Currency 123 4 4" xfId="27152"/>
    <cellStyle name="Currency 124 4 4" xfId="27153"/>
    <cellStyle name="Currency 125 4 4" xfId="27154"/>
    <cellStyle name="Currency 126 4 4" xfId="27155"/>
    <cellStyle name="Currency 127 4 4" xfId="27156"/>
    <cellStyle name="Currency 128 4 4" xfId="27157"/>
    <cellStyle name="Currency 129 4 4" xfId="27158"/>
    <cellStyle name="Currency 130 4 4" xfId="27159"/>
    <cellStyle name="Currency 159 4 4" xfId="27160"/>
    <cellStyle name="Currency 2 27 4 4" xfId="27161"/>
    <cellStyle name="Currency 2 2 20 4 4" xfId="27162"/>
    <cellStyle name="Currency 2 2 10 4 4" xfId="27163"/>
    <cellStyle name="Currency 2 2 11 4 4" xfId="27164"/>
    <cellStyle name="Currency 2 2 12 4 4" xfId="27165"/>
    <cellStyle name="Currency 2 2 13 4 4" xfId="27166"/>
    <cellStyle name="Currency 2 2 14 4 4" xfId="27167"/>
    <cellStyle name="Currency 2 2 15 4 4" xfId="27168"/>
    <cellStyle name="Currency 2 2 16 4 4" xfId="27169"/>
    <cellStyle name="Currency 2 2 17 4 4" xfId="27170"/>
    <cellStyle name="Currency 2 2 18 4 4" xfId="27171"/>
    <cellStyle name="Currency 2 2 2 2 4 4" xfId="27172"/>
    <cellStyle name="Currency 2 2 2 3 4 4" xfId="27173"/>
    <cellStyle name="Currency 2 2 2 4 4 4" xfId="27174"/>
    <cellStyle name="Currency 2 2 2 5 4 4" xfId="27175"/>
    <cellStyle name="Currency 2 2 3 8 4" xfId="27176"/>
    <cellStyle name="Currency 2 2 3 2 4 4" xfId="27177"/>
    <cellStyle name="Currency 2 2 3 3 4 4" xfId="27178"/>
    <cellStyle name="Currency 2 2 3 4 4 4" xfId="27179"/>
    <cellStyle name="Currency 2 2 3 5 4 4" xfId="27180"/>
    <cellStyle name="Currency 2 2 4 4 4" xfId="27181"/>
    <cellStyle name="Currency 2 2 5 4 4" xfId="27182"/>
    <cellStyle name="Currency 2 2 6 4 4" xfId="27183"/>
    <cellStyle name="Currency 2 2 7 4 4" xfId="27184"/>
    <cellStyle name="Currency 2 2 8 4 4" xfId="27185"/>
    <cellStyle name="Currency 2 2 9 4 4" xfId="27186"/>
    <cellStyle name="Currency 3 10 4 4" xfId="27187"/>
    <cellStyle name="Currency 3 11 4 4" xfId="27188"/>
    <cellStyle name="Currency 3 12 4 4" xfId="27189"/>
    <cellStyle name="Currency 3 13 4 4" xfId="27190"/>
    <cellStyle name="Currency 3 14 4 4" xfId="27191"/>
    <cellStyle name="Currency 3 15 4 4" xfId="27192"/>
    <cellStyle name="Currency 3 16 4 4" xfId="27193"/>
    <cellStyle name="Currency 3 17 4 4" xfId="27194"/>
    <cellStyle name="Currency 3 18 4 4" xfId="27195"/>
    <cellStyle name="Currency 3 19 4 4" xfId="27196"/>
    <cellStyle name="Currency 3 2 2 4 4" xfId="27197"/>
    <cellStyle name="Currency 3 2 3 4 4" xfId="27198"/>
    <cellStyle name="Currency 3 2 4 4 4" xfId="27199"/>
    <cellStyle name="Currency 3 2 5 4 4" xfId="27200"/>
    <cellStyle name="Currency 3 20 4 4" xfId="27201"/>
    <cellStyle name="Currency 3 21 4 4" xfId="27202"/>
    <cellStyle name="Currency 3 3 10 4" xfId="27203"/>
    <cellStyle name="Currency 3 3 2 4 4" xfId="27204"/>
    <cellStyle name="Currency 3 3 3 4 4" xfId="27205"/>
    <cellStyle name="Currency 3 3 4 4 4" xfId="27206"/>
    <cellStyle name="Currency 3 3 5 4 4" xfId="27207"/>
    <cellStyle name="Currency 3 3 6 4 4" xfId="27208"/>
    <cellStyle name="Currency 3 4 5 4" xfId="27209"/>
    <cellStyle name="Currency 3 4 2 4 4" xfId="27210"/>
    <cellStyle name="Currency 3 5 5 4" xfId="27211"/>
    <cellStyle name="Currency 3 5 2 4 4" xfId="27212"/>
    <cellStyle name="Currency 3 6 5 4" xfId="27213"/>
    <cellStyle name="Currency 3 6 2 4 4" xfId="27214"/>
    <cellStyle name="Currency 3 7 4 4" xfId="27215"/>
    <cellStyle name="Currency 3 8 4 4" xfId="27216"/>
    <cellStyle name="Currency 3 9 4 4" xfId="27217"/>
    <cellStyle name="Normal 10 3 8 4" xfId="27218"/>
    <cellStyle name="Normal 10 3 2 7 4" xfId="27219"/>
    <cellStyle name="Normal 10 3 2 2 5 4" xfId="27220"/>
    <cellStyle name="Normal 10 3 2 2 2 4 4" xfId="27221"/>
    <cellStyle name="Normal 10 3 2 3 5 4" xfId="27222"/>
    <cellStyle name="Normal 10 3 2 3 2 4 4" xfId="27223"/>
    <cellStyle name="Normal 10 3 2 4 4 4" xfId="27224"/>
    <cellStyle name="Normal 10 3 3 5 4" xfId="27225"/>
    <cellStyle name="Normal 10 3 3 2 4 4" xfId="27226"/>
    <cellStyle name="Normal 10 3 4 5 4" xfId="27227"/>
    <cellStyle name="Normal 10 3 4 2 4 4" xfId="27228"/>
    <cellStyle name="Normal 10 3 5 4 4" xfId="27229"/>
    <cellStyle name="Normal 10 4 7 4" xfId="27230"/>
    <cellStyle name="Normal 10 4 2 5 4" xfId="27231"/>
    <cellStyle name="Normal 10 4 2 2 4 4" xfId="27232"/>
    <cellStyle name="Normal 10 4 3 5 4" xfId="27233"/>
    <cellStyle name="Normal 10 4 3 2 4 4" xfId="27234"/>
    <cellStyle name="Normal 10 4 4 4 4" xfId="27235"/>
    <cellStyle name="Normal 10 5 7 4" xfId="27236"/>
    <cellStyle name="Normal 10 5 2 5 4" xfId="27237"/>
    <cellStyle name="Normal 10 5 2 2 4 4" xfId="27238"/>
    <cellStyle name="Normal 10 5 3 5 4" xfId="27239"/>
    <cellStyle name="Normal 10 5 3 2 4 4" xfId="27240"/>
    <cellStyle name="Normal 10 5 4 4 4" xfId="27241"/>
    <cellStyle name="Normal 10 6 5 4" xfId="27242"/>
    <cellStyle name="Normal 10 6 2 4 4" xfId="27243"/>
    <cellStyle name="Normal 10 7 5 4" xfId="27244"/>
    <cellStyle name="Normal 10 7 2 4 4" xfId="27245"/>
    <cellStyle name="Normal 10 8 2 4 4" xfId="27246"/>
    <cellStyle name="Normal 10 9 4 4" xfId="27247"/>
    <cellStyle name="Normal 11 4 4 4" xfId="27248"/>
    <cellStyle name="Normal 11 3 4 4" xfId="27249"/>
    <cellStyle name="Normal 12 10 4" xfId="27250"/>
    <cellStyle name="Normal 12 2 2 7 4" xfId="27251"/>
    <cellStyle name="Normal 12 2 2 2 5 4" xfId="27252"/>
    <cellStyle name="Normal 12 2 2 2 2 4 4" xfId="27253"/>
    <cellStyle name="Normal 12 2 2 3 5 4" xfId="27254"/>
    <cellStyle name="Normal 12 2 2 3 2 4 4" xfId="27255"/>
    <cellStyle name="Normal 12 2 2 4 4 4" xfId="27256"/>
    <cellStyle name="Normal 12 2 3 5 4" xfId="27257"/>
    <cellStyle name="Normal 12 2 3 2 4 4" xfId="27258"/>
    <cellStyle name="Normal 12 2 4 5 4" xfId="27259"/>
    <cellStyle name="Normal 12 2 4 2 4 4" xfId="27260"/>
    <cellStyle name="Normal 12 2 5 2 4 4" xfId="27261"/>
    <cellStyle name="Normal 12 2 6 4 4" xfId="27262"/>
    <cellStyle name="Normal 12 3 7 4" xfId="27263"/>
    <cellStyle name="Normal 12 3 2 5 4" xfId="27264"/>
    <cellStyle name="Normal 12 3 2 2 4 4" xfId="27265"/>
    <cellStyle name="Normal 12 3 3 5 4" xfId="27266"/>
    <cellStyle name="Normal 12 3 3 2 4 4" xfId="27267"/>
    <cellStyle name="Normal 12 3 4 4 4" xfId="27268"/>
    <cellStyle name="Normal 12 4 7 4" xfId="27269"/>
    <cellStyle name="Normal 12 4 2 5 4" xfId="27270"/>
    <cellStyle name="Normal 12 4 2 2 4 4" xfId="27271"/>
    <cellStyle name="Normal 12 4 3 5 4" xfId="27272"/>
    <cellStyle name="Normal 12 4 3 2 4 4" xfId="27273"/>
    <cellStyle name="Normal 12 4 4 4 4" xfId="27274"/>
    <cellStyle name="Normal 12 5 5 4" xfId="27275"/>
    <cellStyle name="Normal 12 5 2 4 4" xfId="27276"/>
    <cellStyle name="Normal 12 6 5 4" xfId="27277"/>
    <cellStyle name="Normal 12 6 2 4 4" xfId="27278"/>
    <cellStyle name="Normal 12 7 4 4" xfId="27279"/>
    <cellStyle name="Normal 15 8 4" xfId="27280"/>
    <cellStyle name="Normal 15 3 4 4" xfId="27281"/>
    <cellStyle name="Normal 16 2 7 4" xfId="27282"/>
    <cellStyle name="Normal 16 2 2 5 4" xfId="27283"/>
    <cellStyle name="Normal 16 2 2 2 4 4" xfId="27284"/>
    <cellStyle name="Normal 16 2 3 5 4" xfId="27285"/>
    <cellStyle name="Normal 16 2 3 2 4 4" xfId="27286"/>
    <cellStyle name="Normal 16 2 4 4 4" xfId="27287"/>
    <cellStyle name="Normal 16 3 5 4" xfId="27288"/>
    <cellStyle name="Normal 16 3 2 4 4" xfId="27289"/>
    <cellStyle name="Normal 16 4 5 4" xfId="27290"/>
    <cellStyle name="Normal 16 4 2 4 4" xfId="27291"/>
    <cellStyle name="Normal 16 5 2 4 4" xfId="27292"/>
    <cellStyle name="Normal 16 6 4 4" xfId="27293"/>
    <cellStyle name="Normal 17 2 7 4" xfId="27294"/>
    <cellStyle name="Normal 17 2 2 5 4" xfId="27295"/>
    <cellStyle name="Normal 17 2 2 2 4 4" xfId="27296"/>
    <cellStyle name="Normal 17 2 3 5 4" xfId="27297"/>
    <cellStyle name="Normal 17 2 3 2 4 4" xfId="27298"/>
    <cellStyle name="Normal 17 2 4 4 4" xfId="27299"/>
    <cellStyle name="Normal 17 3 5 4" xfId="27300"/>
    <cellStyle name="Normal 17 3 2 4 4" xfId="27301"/>
    <cellStyle name="Normal 17 4 5 4" xfId="27302"/>
    <cellStyle name="Normal 17 4 2 4 4" xfId="27303"/>
    <cellStyle name="Normal 17 5 2 4 4" xfId="27304"/>
    <cellStyle name="Normal 17 6 4 4" xfId="27305"/>
    <cellStyle name="Normal 2 10 3 4 4" xfId="27306"/>
    <cellStyle name="Normal 2 11 3 4 4" xfId="27307"/>
    <cellStyle name="Normal 2 12 3 4 4" xfId="27308"/>
    <cellStyle name="Normal 2 13 3 4 4" xfId="27309"/>
    <cellStyle name="Normal 2 14 3 4 4" xfId="27310"/>
    <cellStyle name="Normal 2 15 3 4 4" xfId="27311"/>
    <cellStyle name="Normal 2 16 3 4 4" xfId="27312"/>
    <cellStyle name="Normal 2 17 3 4 4" xfId="27313"/>
    <cellStyle name="Normal 2 18 3 4 4" xfId="27314"/>
    <cellStyle name="Normal 2 19 3 4 4" xfId="27315"/>
    <cellStyle name="Normal 2 2 10 4 4" xfId="27316"/>
    <cellStyle name="Normal 2 2 11 4 4" xfId="27317"/>
    <cellStyle name="Normal 2 2 12 4 4" xfId="27318"/>
    <cellStyle name="Normal 2 2 13 4 4" xfId="27319"/>
    <cellStyle name="Normal 2 2 14 4 4" xfId="27320"/>
    <cellStyle name="Normal 2 2 15 4 4" xfId="27321"/>
    <cellStyle name="Normal 2 2 16 4 4" xfId="27322"/>
    <cellStyle name="Normal 2 2 17 4 4" xfId="27323"/>
    <cellStyle name="Normal 2 2 18 4 4" xfId="27324"/>
    <cellStyle name="Normal 2 2 19 4 4" xfId="27325"/>
    <cellStyle name="Normal 2 2 2 2 8 4" xfId="27326"/>
    <cellStyle name="Normal 2 2 2 2 2 5 4" xfId="27327"/>
    <cellStyle name="Normal 2 2 2 2 2 2 4 4" xfId="27328"/>
    <cellStyle name="Normal 2 2 2 2 3 4 4" xfId="27329"/>
    <cellStyle name="Normal 2 2 2 2 4 4 4" xfId="27330"/>
    <cellStyle name="Normal 2 2 2 2 5 4 4" xfId="27331"/>
    <cellStyle name="Normal 2 2 20 4 4" xfId="27332"/>
    <cellStyle name="Normal 2 2 21 4 4" xfId="27333"/>
    <cellStyle name="Normal 2 2 22 4 4" xfId="27334"/>
    <cellStyle name="Normal 2 2 3 11 4" xfId="27335"/>
    <cellStyle name="Normal 2 2 3 2 4 4" xfId="27336"/>
    <cellStyle name="Normal 2 2 3 3 4 4" xfId="27337"/>
    <cellStyle name="Normal 2 2 3 4 4 4" xfId="27338"/>
    <cellStyle name="Normal 2 2 3 5 4 4" xfId="27339"/>
    <cellStyle name="Normal 2 2 3 6 4 4" xfId="27340"/>
    <cellStyle name="Normal 2 2 4 7 4" xfId="27341"/>
    <cellStyle name="Normal 2 2 4 2 4 4" xfId="27342"/>
    <cellStyle name="Normal 2 2 5 6 4" xfId="27343"/>
    <cellStyle name="Normal 2 2 5 2 4 4" xfId="27344"/>
    <cellStyle name="Normal 2 2 6 4 4" xfId="27345"/>
    <cellStyle name="Normal 2 2 7 4 4" xfId="27346"/>
    <cellStyle name="Normal 2 2 8 4 4" xfId="27347"/>
    <cellStyle name="Normal 2 2 9 4 4" xfId="27348"/>
    <cellStyle name="Normal 2 20 4 4" xfId="27349"/>
    <cellStyle name="Normal 2 3 2 5 4" xfId="27350"/>
    <cellStyle name="Normal 2 3 3 4 4" xfId="27351"/>
    <cellStyle name="Normal 2 3 4 4 4" xfId="27352"/>
    <cellStyle name="Normal 2 3 5 4 4" xfId="27353"/>
    <cellStyle name="Normal 2 3 6 4 4" xfId="27354"/>
    <cellStyle name="Normal 2 4 5 4 4" xfId="27355"/>
    <cellStyle name="Normal 2 4 2 4 4" xfId="27356"/>
    <cellStyle name="Normal 2 5 3 4 4" xfId="27357"/>
    <cellStyle name="Normal 2 6 3 4 4" xfId="27358"/>
    <cellStyle name="Normal 2 7 3 4 4" xfId="27359"/>
    <cellStyle name="Normal 2 8 3 4 4" xfId="27360"/>
    <cellStyle name="Normal 2 9 3 4 4" xfId="27361"/>
    <cellStyle name="Normal 21 11 4" xfId="27362"/>
    <cellStyle name="Normal 21 2 9 4" xfId="27363"/>
    <cellStyle name="Normal 21 2 2 4 4" xfId="27364"/>
    <cellStyle name="Normal 21 2 3 4 4" xfId="27365"/>
    <cellStyle name="Normal 21 2 4 4 4" xfId="27366"/>
    <cellStyle name="Normal 21 2 5 4 4" xfId="27367"/>
    <cellStyle name="Normal 21 2 6 4 4" xfId="27368"/>
    <cellStyle name="Normal 21 3 5 4" xfId="27369"/>
    <cellStyle name="Normal 21 3 2 4 4" xfId="27370"/>
    <cellStyle name="Normal 21 4 4 4" xfId="27371"/>
    <cellStyle name="Normal 21 5 4 4" xfId="27372"/>
    <cellStyle name="Normal 21 6 4 4" xfId="27373"/>
    <cellStyle name="Normal 21 8 4 4" xfId="27374"/>
    <cellStyle name="Normal 22 10 4" xfId="27375"/>
    <cellStyle name="Normal 22 2 9 4" xfId="27376"/>
    <cellStyle name="Normal 22 2 2 4 4" xfId="27377"/>
    <cellStyle name="Normal 22 2 3 4 4" xfId="27378"/>
    <cellStyle name="Normal 22 2 4 4 4" xfId="27379"/>
    <cellStyle name="Normal 22 2 5 4 4" xfId="27380"/>
    <cellStyle name="Normal 22 3 4 4" xfId="27381"/>
    <cellStyle name="Normal 22 4 4 4" xfId="27382"/>
    <cellStyle name="Normal 22 5 4 4" xfId="27383"/>
    <cellStyle name="Normal 22 6 4 4" xfId="27384"/>
    <cellStyle name="Normal 23 10 4" xfId="27385"/>
    <cellStyle name="Normal 23 2 8 4" xfId="27386"/>
    <cellStyle name="Normal 23 2 2 4 4" xfId="27387"/>
    <cellStyle name="Normal 23 2 3 4 4" xfId="27388"/>
    <cellStyle name="Normal 23 2 4 4 4" xfId="27389"/>
    <cellStyle name="Normal 23 2 5 4 4" xfId="27390"/>
    <cellStyle name="Normal 23 3 4 4" xfId="27391"/>
    <cellStyle name="Normal 23 4 4 4" xfId="27392"/>
    <cellStyle name="Normal 23 5 4 4" xfId="27393"/>
    <cellStyle name="Normal 23 6 4 4" xfId="27394"/>
    <cellStyle name="Normal 24 10 4" xfId="27395"/>
    <cellStyle name="Normal 24 2 8 4" xfId="27396"/>
    <cellStyle name="Normal 24 2 2 4 4" xfId="27397"/>
    <cellStyle name="Normal 24 2 3 4 4" xfId="27398"/>
    <cellStyle name="Normal 24 2 4 4 4" xfId="27399"/>
    <cellStyle name="Normal 24 2 5 4 4" xfId="27400"/>
    <cellStyle name="Normal 24 3 4 4" xfId="27401"/>
    <cellStyle name="Normal 24 4 4 4" xfId="27402"/>
    <cellStyle name="Normal 24 5 4 4" xfId="27403"/>
    <cellStyle name="Normal 24 6 4 4" xfId="27404"/>
    <cellStyle name="Normal 26 10 4" xfId="27405"/>
    <cellStyle name="Normal 26 2 8 4" xfId="27406"/>
    <cellStyle name="Normal 26 2 2 4 4" xfId="27407"/>
    <cellStyle name="Normal 26 2 3 4 4" xfId="27408"/>
    <cellStyle name="Normal 26 2 4 4 4" xfId="27409"/>
    <cellStyle name="Normal 26 2 5 4 4" xfId="27410"/>
    <cellStyle name="Normal 26 3 4 4" xfId="27411"/>
    <cellStyle name="Normal 26 4 4 4" xfId="27412"/>
    <cellStyle name="Normal 26 5 4 4" xfId="27413"/>
    <cellStyle name="Normal 26 6 4 4" xfId="27414"/>
    <cellStyle name="Normal 3 10 4 4" xfId="27415"/>
    <cellStyle name="Normal 3 11 4 4" xfId="27416"/>
    <cellStyle name="Normal 3 12 4 4" xfId="27417"/>
    <cellStyle name="Normal 3 13 4 4" xfId="27418"/>
    <cellStyle name="Normal 3 14 4 4" xfId="27419"/>
    <cellStyle name="Normal 3 15 4 4" xfId="27420"/>
    <cellStyle name="Normal 3 16 4 4" xfId="27421"/>
    <cellStyle name="Normal 3 17 4 4" xfId="27422"/>
    <cellStyle name="Normal 3 18 4 4" xfId="27423"/>
    <cellStyle name="Normal 3 19 4 4" xfId="27424"/>
    <cellStyle name="Normal 3 2 2 4 4" xfId="27425"/>
    <cellStyle name="Normal 3 2 3 4 4" xfId="27426"/>
    <cellStyle name="Normal 3 2 4 4 4" xfId="27427"/>
    <cellStyle name="Normal 3 2 5 4 4" xfId="27428"/>
    <cellStyle name="Normal 3 2 6 4 4" xfId="27429"/>
    <cellStyle name="Normal 3 20 4 4" xfId="27430"/>
    <cellStyle name="Normal 3 21 4 4" xfId="27431"/>
    <cellStyle name="Normal 3 22 4 4" xfId="27432"/>
    <cellStyle name="Normal 3 23 4 4" xfId="27433"/>
    <cellStyle name="Normal 3 24 4 4" xfId="27434"/>
    <cellStyle name="Normal 3 3 7 4" xfId="27435"/>
    <cellStyle name="Normal 3 3 2 4 4" xfId="27436"/>
    <cellStyle name="Normal 3 3 3 4 4" xfId="27437"/>
    <cellStyle name="Normal 3 4 5 4" xfId="27438"/>
    <cellStyle name="Normal 3 4 2 4 4" xfId="27439"/>
    <cellStyle name="Normal 3 5 5 4" xfId="27440"/>
    <cellStyle name="Normal 3 5 2 4 4" xfId="27441"/>
    <cellStyle name="Normal 3 6 4 4" xfId="27442"/>
    <cellStyle name="Normal 3 7 4 4" xfId="27443"/>
    <cellStyle name="Normal 3 8 4 4" xfId="27444"/>
    <cellStyle name="Normal 3 9 4 4" xfId="27445"/>
    <cellStyle name="Normal 4 2 10 4 4" xfId="27446"/>
    <cellStyle name="Normal 4 2 11 4 4" xfId="27447"/>
    <cellStyle name="Normal 4 2 12 4 4" xfId="27448"/>
    <cellStyle name="Normal 4 2 13 4 4" xfId="27449"/>
    <cellStyle name="Normal 4 2 14 4 4" xfId="27450"/>
    <cellStyle name="Normal 4 2 15 4 4" xfId="27451"/>
    <cellStyle name="Normal 4 2 16 4 4" xfId="27452"/>
    <cellStyle name="Normal 4 2 17 4 4" xfId="27453"/>
    <cellStyle name="Normal 4 2 18 4 4" xfId="27454"/>
    <cellStyle name="Normal 4 2 19 4 4" xfId="27455"/>
    <cellStyle name="Normal 4 2 2 8 4" xfId="27456"/>
    <cellStyle name="Normal 4 2 2 2 4 4" xfId="27457"/>
    <cellStyle name="Normal 4 2 2 3 4 4" xfId="27458"/>
    <cellStyle name="Normal 4 2 2 4 4 4" xfId="27459"/>
    <cellStyle name="Normal 4 2 2 5 4 4" xfId="27460"/>
    <cellStyle name="Normal 4 2 20 4 4" xfId="27461"/>
    <cellStyle name="Normal 4 2 21 4 4" xfId="27462"/>
    <cellStyle name="Normal 4 2 22 4 4" xfId="27463"/>
    <cellStyle name="Normal 4 2 23 4 4" xfId="27464"/>
    <cellStyle name="Normal 4 2 24 4 4" xfId="27465"/>
    <cellStyle name="Normal 4 2 3 5 4" xfId="27466"/>
    <cellStyle name="Normal 4 2 3 2 4 4" xfId="27467"/>
    <cellStyle name="Normal 4 2 4 5 4" xfId="27468"/>
    <cellStyle name="Normal 4 2 4 2 4 4" xfId="27469"/>
    <cellStyle name="Normal 4 2 5 5 4" xfId="27470"/>
    <cellStyle name="Normal 4 2 5 2 4 4" xfId="27471"/>
    <cellStyle name="Normal 4 2 6 4 4" xfId="27472"/>
    <cellStyle name="Normal 4 2 7 4 4" xfId="27473"/>
    <cellStyle name="Normal 4 2 8 4 4" xfId="27474"/>
    <cellStyle name="Normal 4 2 9 4 4" xfId="27475"/>
    <cellStyle name="Normal 4 3 9 4" xfId="27476"/>
    <cellStyle name="Normal 4 3 2 8 4" xfId="27477"/>
    <cellStyle name="Normal 4 3 2 2 7 4" xfId="27478"/>
    <cellStyle name="Normal 4 3 2 2 2 5 4" xfId="27479"/>
    <cellStyle name="Normal 4 3 2 2 2 2 4 4" xfId="27480"/>
    <cellStyle name="Normal 4 3 2 2 3 5 4" xfId="27481"/>
    <cellStyle name="Normal 4 3 2 2 3 2 4 4" xfId="27482"/>
    <cellStyle name="Normal 4 3 2 2 4 4 4" xfId="27483"/>
    <cellStyle name="Normal 4 3 2 3 5 4" xfId="27484"/>
    <cellStyle name="Normal 4 3 2 3 2 4 4" xfId="27485"/>
    <cellStyle name="Normal 4 3 2 4 5 4" xfId="27486"/>
    <cellStyle name="Normal 4 3 2 4 2 4 4" xfId="27487"/>
    <cellStyle name="Normal 4 3 2 5 4 4" xfId="27488"/>
    <cellStyle name="Normal 4 3 3 7 4" xfId="27489"/>
    <cellStyle name="Normal 4 3 3 2 5 4" xfId="27490"/>
    <cellStyle name="Normal 4 3 3 2 2 4 4" xfId="27491"/>
    <cellStyle name="Normal 4 3 3 3 5 4" xfId="27492"/>
    <cellStyle name="Normal 4 3 3 3 2 4 4" xfId="27493"/>
    <cellStyle name="Normal 4 3 3 4 4 4" xfId="27494"/>
    <cellStyle name="Normal 4 3 4 5 4" xfId="27495"/>
    <cellStyle name="Normal 4 3 4 2 4 4" xfId="27496"/>
    <cellStyle name="Normal 4 3 5 5 4" xfId="27497"/>
    <cellStyle name="Normal 4 3 5 2 4 4" xfId="27498"/>
    <cellStyle name="Normal 4 3 6 4 4" xfId="27499"/>
    <cellStyle name="Normal 4 4 6 4" xfId="27500"/>
    <cellStyle name="Normal 4 4 2 4 4" xfId="27501"/>
    <cellStyle name="Normal 4 5 4 4" xfId="27502"/>
    <cellStyle name="Normal 4 6 4 4" xfId="27503"/>
    <cellStyle name="Normal 4 7 4 4" xfId="27504"/>
    <cellStyle name="Normal 4 8 4 4" xfId="27505"/>
    <cellStyle name="Normal 41 2 4 4" xfId="27506"/>
    <cellStyle name="Normal 46 4 4" xfId="27507"/>
    <cellStyle name="Normal 5 28 4 4" xfId="27508"/>
    <cellStyle name="Normal 5 2 9 4" xfId="27509"/>
    <cellStyle name="Normal 5 2 2 2 2 4 4" xfId="27510"/>
    <cellStyle name="Normal 5 2 2 3 4 4" xfId="27511"/>
    <cellStyle name="Normal 5 2 3 2 2 4 4" xfId="27512"/>
    <cellStyle name="Normal 5 2 3 3 4 4" xfId="27513"/>
    <cellStyle name="Normal 5 2 4 2 4 4" xfId="27514"/>
    <cellStyle name="Normal 5 2 6 4 4" xfId="27515"/>
    <cellStyle name="Normal 5 24 4 4" xfId="27516"/>
    <cellStyle name="Normal 5 3 5 4" xfId="27517"/>
    <cellStyle name="Normal 5 4 5 4" xfId="27518"/>
    <cellStyle name="Normal 5 5 5 4" xfId="27519"/>
    <cellStyle name="Normal 5 6 5 4" xfId="27520"/>
    <cellStyle name="Normal 5 7 5 4" xfId="27521"/>
    <cellStyle name="Normal 7 25 4 4" xfId="27522"/>
    <cellStyle name="Normal 7 10 4 4" xfId="27523"/>
    <cellStyle name="Normal 7 11 4 4" xfId="27524"/>
    <cellStyle name="Normal 7 12 4 4" xfId="27525"/>
    <cellStyle name="Normal 7 13 4 4" xfId="27526"/>
    <cellStyle name="Normal 7 14 4 4" xfId="27527"/>
    <cellStyle name="Normal 7 15 4 4" xfId="27528"/>
    <cellStyle name="Normal 7 16 4 4" xfId="27529"/>
    <cellStyle name="Normal 7 17 4 4" xfId="27530"/>
    <cellStyle name="Normal 7 18 4 4" xfId="27531"/>
    <cellStyle name="Normal 7 19 4 4" xfId="27532"/>
    <cellStyle name="Normal 7 2 8 4" xfId="27533"/>
    <cellStyle name="Normal 7 2 2 4 4" xfId="27534"/>
    <cellStyle name="Normal 7 2 3 4 4" xfId="27535"/>
    <cellStyle name="Normal 7 2 4 4 4" xfId="27536"/>
    <cellStyle name="Normal 7 2 5 4 4" xfId="27537"/>
    <cellStyle name="Normal 7 20 4 4" xfId="27538"/>
    <cellStyle name="Normal 7 22 4 4" xfId="27539"/>
    <cellStyle name="Normal 7 3 8 4" xfId="27540"/>
    <cellStyle name="Normal 7 3 2 4 4" xfId="27541"/>
    <cellStyle name="Normal 7 3 3 4 4" xfId="27542"/>
    <cellStyle name="Normal 7 3 4 4 4" xfId="27543"/>
    <cellStyle name="Normal 7 3 5 4 4" xfId="27544"/>
    <cellStyle name="Normal 7 4 4 4" xfId="27545"/>
    <cellStyle name="Normal 7 5 4 4" xfId="27546"/>
    <cellStyle name="Normal 7 6 4 4" xfId="27547"/>
    <cellStyle name="Normal 7 7 4 4" xfId="27548"/>
    <cellStyle name="Normal 7 8 4 4" xfId="27549"/>
    <cellStyle name="Normal 7 9 4 4" xfId="27550"/>
    <cellStyle name="Normal 8 25 4 4" xfId="27551"/>
    <cellStyle name="Normal 8 10 4 4" xfId="27552"/>
    <cellStyle name="Normal 8 11 4 4" xfId="27553"/>
    <cellStyle name="Normal 8 12 4 4" xfId="27554"/>
    <cellStyle name="Normal 8 13 4 4" xfId="27555"/>
    <cellStyle name="Normal 8 14 4 4" xfId="27556"/>
    <cellStyle name="Normal 8 15 4 4" xfId="27557"/>
    <cellStyle name="Normal 8 16 4 4" xfId="27558"/>
    <cellStyle name="Normal 8 17 4 4" xfId="27559"/>
    <cellStyle name="Normal 8 18 4 4" xfId="27560"/>
    <cellStyle name="Normal 8 19 4 4" xfId="27561"/>
    <cellStyle name="Normal 8 2 6 4 4" xfId="27562"/>
    <cellStyle name="Normal 8 2 2 2 4 4" xfId="27563"/>
    <cellStyle name="Normal 8 2 3 4 4" xfId="27564"/>
    <cellStyle name="Normal 8 2 4 4 4" xfId="27565"/>
    <cellStyle name="Normal 8 2 5 4 4" xfId="27566"/>
    <cellStyle name="Normal 8 20 4 4" xfId="27567"/>
    <cellStyle name="Normal 8 22 4 4" xfId="27568"/>
    <cellStyle name="Normal 8 3 6 4 4" xfId="27569"/>
    <cellStyle name="Normal 8 3 2 4 4" xfId="27570"/>
    <cellStyle name="Normal 8 3 3 4 4" xfId="27571"/>
    <cellStyle name="Normal 8 3 4 4 4" xfId="27572"/>
    <cellStyle name="Normal 8 3 5 4 4" xfId="27573"/>
    <cellStyle name="Normal 8 4 4 4" xfId="27574"/>
    <cellStyle name="Normal 8 5 4 4" xfId="27575"/>
    <cellStyle name="Normal 8 6 4 4" xfId="27576"/>
    <cellStyle name="Normal 8 7 4 4" xfId="27577"/>
    <cellStyle name="Normal 8 8 4 4" xfId="27578"/>
    <cellStyle name="Normal 8 9 4 4" xfId="27579"/>
    <cellStyle name="Normal 9 25 4 4" xfId="27580"/>
    <cellStyle name="Normal 9 10 4 4" xfId="27581"/>
    <cellStyle name="Normal 9 11 4 4" xfId="27582"/>
    <cellStyle name="Normal 9 12 4 4" xfId="27583"/>
    <cellStyle name="Normal 9 13 4 4" xfId="27584"/>
    <cellStyle name="Normal 9 14 4 4" xfId="27585"/>
    <cellStyle name="Normal 9 15 4 4" xfId="27586"/>
    <cellStyle name="Normal 9 16 4 4" xfId="27587"/>
    <cellStyle name="Normal 9 17 4 4" xfId="27588"/>
    <cellStyle name="Normal 9 18 4 4" xfId="27589"/>
    <cellStyle name="Normal 9 19 4 4" xfId="27590"/>
    <cellStyle name="Normal 9 2 8 4" xfId="27591"/>
    <cellStyle name="Normal 9 2 2 4 4" xfId="27592"/>
    <cellStyle name="Normal 9 2 3 4 4" xfId="27593"/>
    <cellStyle name="Normal 9 2 4 4 4" xfId="27594"/>
    <cellStyle name="Normal 9 2 5 4 4" xfId="27595"/>
    <cellStyle name="Normal 9 20 4 4" xfId="27596"/>
    <cellStyle name="Normal 9 22 4 4" xfId="27597"/>
    <cellStyle name="Normal 9 3 8 4" xfId="27598"/>
    <cellStyle name="Normal 9 3 2 4 4" xfId="27599"/>
    <cellStyle name="Normal 9 3 3 4 4" xfId="27600"/>
    <cellStyle name="Normal 9 3 4 4 4" xfId="27601"/>
    <cellStyle name="Normal 9 3 5 4 4" xfId="27602"/>
    <cellStyle name="Normal 9 4 4 4" xfId="27603"/>
    <cellStyle name="Normal 9 5 4 4" xfId="27604"/>
    <cellStyle name="Normal 9 6 4 4" xfId="27605"/>
    <cellStyle name="Normal 9 7 4 4" xfId="27606"/>
    <cellStyle name="Normal 9 8 4 4" xfId="27607"/>
    <cellStyle name="Normal 9 9 4 4" xfId="27608"/>
    <cellStyle name="Note 2 4 4 2" xfId="27609"/>
    <cellStyle name="Note 3 4 4" xfId="27610"/>
    <cellStyle name="Note 4 4 4" xfId="27611"/>
    <cellStyle name="Note 7 4 4" xfId="27612"/>
    <cellStyle name="Percent 120 4 4" xfId="27613"/>
    <cellStyle name="Percent 121 4 4" xfId="27614"/>
    <cellStyle name="Percent 122 4 4" xfId="27615"/>
    <cellStyle name="Percent 123 4 4" xfId="27616"/>
    <cellStyle name="Percent 124 4 4" xfId="27617"/>
    <cellStyle name="Percent 125 4 4" xfId="27618"/>
    <cellStyle name="Percent 126 4 4" xfId="27619"/>
    <cellStyle name="Percent 127 4 4" xfId="27620"/>
    <cellStyle name="Percent 128 4 4" xfId="27621"/>
    <cellStyle name="Percent 129 4 4" xfId="27622"/>
    <cellStyle name="Percent 130 4 4" xfId="27623"/>
    <cellStyle name="Percent 159 4 4" xfId="27624"/>
    <cellStyle name="Percent 2 22 4 4" xfId="27625"/>
    <cellStyle name="Percent 25 2 5 4" xfId="27626"/>
    <cellStyle name="Percent 25 2 2 4 4" xfId="27627"/>
    <cellStyle name="Percent 25 3 5 4" xfId="27628"/>
    <cellStyle name="Percent 25 3 2 4 4" xfId="27629"/>
    <cellStyle name="Percent 25 4 2 4 4" xfId="27630"/>
    <cellStyle name="Percent 25 5 4 4" xfId="27631"/>
    <cellStyle name="Percent 26 2 5 4" xfId="27632"/>
    <cellStyle name="Percent 26 2 2 4 4" xfId="27633"/>
    <cellStyle name="Percent 26 3 5 4" xfId="27634"/>
    <cellStyle name="Percent 26 3 2 4 4" xfId="27635"/>
    <cellStyle name="Percent 26 4 2 4 4" xfId="27636"/>
    <cellStyle name="Percent 26 5 4 4" xfId="27637"/>
    <cellStyle name="Percent 27 2 5 4" xfId="27638"/>
    <cellStyle name="Percent 27 2 2 4 4" xfId="27639"/>
    <cellStyle name="Percent 27 3 5 4" xfId="27640"/>
    <cellStyle name="Percent 27 3 2 4 4" xfId="27641"/>
    <cellStyle name="Percent 27 4 2 4 4" xfId="27642"/>
    <cellStyle name="Percent 27 5 4 4" xfId="27643"/>
    <cellStyle name="Percent 28 2 5 4" xfId="27644"/>
    <cellStyle name="Percent 28 2 2 4 4" xfId="27645"/>
    <cellStyle name="Percent 28 3 5 4" xfId="27646"/>
    <cellStyle name="Percent 28 3 2 4 4" xfId="27647"/>
    <cellStyle name="Percent 28 4 2 4 4" xfId="27648"/>
    <cellStyle name="Percent 28 5 4 4" xfId="27649"/>
    <cellStyle name="Percent 29 2 5 4" xfId="27650"/>
    <cellStyle name="Percent 29 2 2 4 4" xfId="27651"/>
    <cellStyle name="Percent 29 3 5 4" xfId="27652"/>
    <cellStyle name="Percent 29 3 2 4 4" xfId="27653"/>
    <cellStyle name="Percent 29 4 2 4 4" xfId="27654"/>
    <cellStyle name="Percent 29 5 4 4" xfId="27655"/>
    <cellStyle name="Percent 3 10 4 4" xfId="27656"/>
    <cellStyle name="Percent 3 11 4 4" xfId="27657"/>
    <cellStyle name="Percent 3 12 4 4" xfId="27658"/>
    <cellStyle name="Percent 3 13 4 4" xfId="27659"/>
    <cellStyle name="Percent 3 14 4 4" xfId="27660"/>
    <cellStyle name="Percent 3 15 4 4" xfId="27661"/>
    <cellStyle name="Percent 3 16 4 4" xfId="27662"/>
    <cellStyle name="Percent 3 17 4 4" xfId="27663"/>
    <cellStyle name="Percent 3 18 4 4" xfId="27664"/>
    <cellStyle name="Percent 3 19 4 4" xfId="27665"/>
    <cellStyle name="Percent 3 2 25 4" xfId="27666"/>
    <cellStyle name="Percent 3 2 10 4 4" xfId="27667"/>
    <cellStyle name="Percent 3 2 11 4 4" xfId="27668"/>
    <cellStyle name="Percent 3 2 12 4 4" xfId="27669"/>
    <cellStyle name="Percent 3 2 13 4 4" xfId="27670"/>
    <cellStyle name="Percent 3 2 14 4 4" xfId="27671"/>
    <cellStyle name="Percent 3 2 15 4 4" xfId="27672"/>
    <cellStyle name="Percent 3 2 16 4 4" xfId="27673"/>
    <cellStyle name="Percent 3 2 17 4 4" xfId="27674"/>
    <cellStyle name="Percent 3 2 18 4 4" xfId="27675"/>
    <cellStyle name="Percent 3 2 19 4 4" xfId="27676"/>
    <cellStyle name="Percent 3 2 2 2 4 4" xfId="27677"/>
    <cellStyle name="Percent 3 2 2 3 4 4" xfId="27678"/>
    <cellStyle name="Percent 3 2 2 4 4 4" xfId="27679"/>
    <cellStyle name="Percent 3 2 2 5 4 4" xfId="27680"/>
    <cellStyle name="Percent 3 2 20 4 4" xfId="27681"/>
    <cellStyle name="Percent 3 2 21 2 4 4" xfId="27682"/>
    <cellStyle name="Percent 3 2 3 8 4" xfId="27683"/>
    <cellStyle name="Percent 3 2 3 2 4 4" xfId="27684"/>
    <cellStyle name="Percent 3 2 3 3 4 4" xfId="27685"/>
    <cellStyle name="Percent 3 2 3 4 4 4" xfId="27686"/>
    <cellStyle name="Percent 3 2 3 5 4 4" xfId="27687"/>
    <cellStyle name="Percent 3 2 4 5 4" xfId="27688"/>
    <cellStyle name="Percent 3 2 4 2 4 4" xfId="27689"/>
    <cellStyle name="Percent 3 2 5 5 4" xfId="27690"/>
    <cellStyle name="Percent 3 2 5 2 4 4" xfId="27691"/>
    <cellStyle name="Percent 3 2 6 5 4" xfId="27692"/>
    <cellStyle name="Percent 3 2 6 2 4 4" xfId="27693"/>
    <cellStyle name="Percent 3 2 7 4 4" xfId="27694"/>
    <cellStyle name="Percent 3 2 8 4 4" xfId="27695"/>
    <cellStyle name="Percent 3 2 9 4 4" xfId="27696"/>
    <cellStyle name="Percent 3 20 4 4" xfId="27697"/>
    <cellStyle name="Percent 3 21 4 4" xfId="27698"/>
    <cellStyle name="Percent 3 3 2 4 4" xfId="27699"/>
    <cellStyle name="Percent 3 3 3 4 4" xfId="27700"/>
    <cellStyle name="Percent 3 3 4 4 4" xfId="27701"/>
    <cellStyle name="Percent 3 3 5 4 4" xfId="27702"/>
    <cellStyle name="Percent 3 4 8 4" xfId="27703"/>
    <cellStyle name="Percent 3 4 2 4 4" xfId="27704"/>
    <cellStyle name="Percent 3 4 3 4 4" xfId="27705"/>
    <cellStyle name="Percent 3 4 4 4 4" xfId="27706"/>
    <cellStyle name="Percent 3 4 5 4 4" xfId="27707"/>
    <cellStyle name="Percent 3 5 5 4" xfId="27708"/>
    <cellStyle name="Percent 3 5 2 4 4" xfId="27709"/>
    <cellStyle name="Percent 3 6 5 4" xfId="27710"/>
    <cellStyle name="Percent 3 6 2 4 4" xfId="27711"/>
    <cellStyle name="Percent 3 7 5 4" xfId="27712"/>
    <cellStyle name="Percent 3 7 2 4 4" xfId="27713"/>
    <cellStyle name="Percent 3 8 4 4" xfId="27714"/>
    <cellStyle name="Percent 3 9 4 4" xfId="27715"/>
    <cellStyle name="Percent 30 2 5 4" xfId="27716"/>
    <cellStyle name="Percent 30 2 2 4 4" xfId="27717"/>
    <cellStyle name="Percent 30 3 5 4" xfId="27718"/>
    <cellStyle name="Percent 30 3 2 4 4" xfId="27719"/>
    <cellStyle name="Percent 30 4 2 4 4" xfId="27720"/>
    <cellStyle name="Percent 30 5 4 4" xfId="27721"/>
    <cellStyle name="Percent 31 2 5 4" xfId="27722"/>
    <cellStyle name="Percent 31 2 2 4 4" xfId="27723"/>
    <cellStyle name="Percent 31 3 5 4" xfId="27724"/>
    <cellStyle name="Percent 31 3 2 4 4" xfId="27725"/>
    <cellStyle name="Percent 31 4 2 4 4" xfId="27726"/>
    <cellStyle name="Percent 31 5 4 4" xfId="27727"/>
    <cellStyle name="Percent 32 2 5 4" xfId="27728"/>
    <cellStyle name="Percent 32 2 2 4 4" xfId="27729"/>
    <cellStyle name="Percent 32 3 5 4" xfId="27730"/>
    <cellStyle name="Percent 32 3 2 4 4" xfId="27731"/>
    <cellStyle name="Percent 32 4 2 4 4" xfId="27732"/>
    <cellStyle name="Percent 32 5 4 4" xfId="27733"/>
    <cellStyle name="Percent 33 2 5 4" xfId="27734"/>
    <cellStyle name="Percent 33 2 2 4 4" xfId="27735"/>
    <cellStyle name="Percent 33 3 5 4" xfId="27736"/>
    <cellStyle name="Percent 33 3 2 4 4" xfId="27737"/>
    <cellStyle name="Percent 33 4 2 4 4" xfId="27738"/>
    <cellStyle name="Percent 33 5 4 4" xfId="27739"/>
    <cellStyle name="Percent 34 2 5 4" xfId="27740"/>
    <cellStyle name="Percent 34 2 2 4 4" xfId="27741"/>
    <cellStyle name="Percent 34 3 5 4" xfId="27742"/>
    <cellStyle name="Percent 34 3 2 4 4" xfId="27743"/>
    <cellStyle name="Percent 34 4 2 4 4" xfId="27744"/>
    <cellStyle name="Percent 34 5 4 4" xfId="27745"/>
    <cellStyle name="Percent 35 2 5 4" xfId="27746"/>
    <cellStyle name="Percent 35 2 2 4 4" xfId="27747"/>
    <cellStyle name="Percent 35 3 5 4" xfId="27748"/>
    <cellStyle name="Percent 35 3 2 4 4" xfId="27749"/>
    <cellStyle name="Percent 35 4 2 4 4" xfId="27750"/>
    <cellStyle name="Percent 35 5 4 4" xfId="27751"/>
    <cellStyle name="Currency 5 4 4 4" xfId="27752"/>
    <cellStyle name="Comma 5 7 4 4" xfId="27753"/>
    <cellStyle name="Percent 5 4 4 4" xfId="27754"/>
    <cellStyle name="Comma 6 5 4 4" xfId="27755"/>
    <cellStyle name="Currency 5 2 4 4 4" xfId="27756"/>
    <cellStyle name="Comma 5 2 4 4 4" xfId="27757"/>
    <cellStyle name="Percent 5 2 4 4 4" xfId="27758"/>
    <cellStyle name="Comma 6 2 3 4 4" xfId="27759"/>
    <cellStyle name="Currency 5 3 2 4 4" xfId="27760"/>
    <cellStyle name="Comma 5 3 2 4 4" xfId="27761"/>
    <cellStyle name="Percent 5 3 2 4 4" xfId="27762"/>
    <cellStyle name="Comma 6 3 4 4 4" xfId="27763"/>
    <cellStyle name="Normal 11 2 2 4 4" xfId="27764"/>
    <cellStyle name="Currency 5 2 2 2 4 4" xfId="27765"/>
    <cellStyle name="Comma 5 2 2 2 4 4" xfId="27766"/>
    <cellStyle name="Percent 5 2 2 2 4 4" xfId="27767"/>
    <cellStyle name="Comma 6 2 2 2 4 4" xfId="27768"/>
    <cellStyle name="Normal 51 4 4" xfId="27769"/>
    <cellStyle name="Comma 187 4 4" xfId="27770"/>
    <cellStyle name="Percent 163 4 4" xfId="27771"/>
    <cellStyle name="Currency 162 4 4" xfId="27772"/>
    <cellStyle name="Currency 5 6 3 4" xfId="27773"/>
    <cellStyle name="Currency 179 3 4" xfId="27774"/>
    <cellStyle name="Percent 180 3 4" xfId="27775"/>
    <cellStyle name="Comma 204 3 4" xfId="27776"/>
    <cellStyle name="Normal 8 26 3 4" xfId="27777"/>
    <cellStyle name="Comma 5 9 3 4" xfId="27778"/>
    <cellStyle name="Percent 5 6 3 4" xfId="27779"/>
    <cellStyle name="Comma 6 7 3 4" xfId="27780"/>
    <cellStyle name="Normal 11 5 3 4" xfId="27781"/>
    <cellStyle name="Currency 5 2 6 3 4" xfId="27782"/>
    <cellStyle name="Normal 8 2 7 3 4" xfId="27783"/>
    <cellStyle name="Comma 5 2 6 3 4" xfId="27784"/>
    <cellStyle name="Percent 5 2 6 3 4" xfId="27785"/>
    <cellStyle name="Comma 6 2 5 3 4" xfId="27786"/>
    <cellStyle name="Currency 5 3 4 3 4" xfId="27787"/>
    <cellStyle name="Normal 8 3 7 3 4" xfId="27788"/>
    <cellStyle name="Comma 5 3 4 3 4" xfId="27789"/>
    <cellStyle name="Percent 5 3 4 3 4" xfId="27790"/>
    <cellStyle name="Comma 6 3 6 3 4" xfId="27791"/>
    <cellStyle name="Normal 11 2 4 3 4" xfId="27792"/>
    <cellStyle name="Currency 5 2 2 4 3 4" xfId="27793"/>
    <cellStyle name="Normal 8 2 2 3 3 4" xfId="27794"/>
    <cellStyle name="Comma 5 2 2 4 3 4" xfId="27795"/>
    <cellStyle name="Percent 5 2 2 4 3 4" xfId="27796"/>
    <cellStyle name="Comma 6 2 2 3 3 4" xfId="27797"/>
    <cellStyle name="Normal 50 2 3 4" xfId="27798"/>
    <cellStyle name="Comma 186 2 3 4" xfId="27799"/>
    <cellStyle name="Percent 162 2 3 4" xfId="27800"/>
    <cellStyle name="Normal 2 24 2 3 4" xfId="27801"/>
    <cellStyle name="20% - Accent1 2 2 3 4" xfId="27802"/>
    <cellStyle name="20% - Accent1 3 2 3 4" xfId="27803"/>
    <cellStyle name="20% - Accent1 4 2 3 4" xfId="27804"/>
    <cellStyle name="20% - Accent1 5 2 3 4" xfId="27805"/>
    <cellStyle name="20% - Accent2 2 2 3 4" xfId="27806"/>
    <cellStyle name="20% - Accent2 3 2 3 4" xfId="27807"/>
    <cellStyle name="20% - Accent2 4 2 3 4" xfId="27808"/>
    <cellStyle name="20% - Accent2 5 2 3 4" xfId="27809"/>
    <cellStyle name="20% - Accent3 2 2 3 4" xfId="27810"/>
    <cellStyle name="20% - Accent3 3 2 3 4" xfId="27811"/>
    <cellStyle name="20% - Accent3 4 2 3 4" xfId="27812"/>
    <cellStyle name="20% - Accent3 5 2 3 4" xfId="27813"/>
    <cellStyle name="20% - Accent4 2 2 3 4" xfId="27814"/>
    <cellStyle name="20% - Accent4 3 2 3 4" xfId="27815"/>
    <cellStyle name="20% - Accent4 4 2 3 4" xfId="27816"/>
    <cellStyle name="20% - Accent4 5 2 3 4" xfId="27817"/>
    <cellStyle name="20% - Accent5 2 2 3 4" xfId="27818"/>
    <cellStyle name="20% - Accent5 3 2 3 4" xfId="27819"/>
    <cellStyle name="20% - Accent5 4 2 3 4" xfId="27820"/>
    <cellStyle name="20% - Accent6 2 2 3 4" xfId="27821"/>
    <cellStyle name="20% - Accent6 3 2 3 4" xfId="27822"/>
    <cellStyle name="20% - Accent6 4 2 3 4" xfId="27823"/>
    <cellStyle name="40% - Accent1 2 2 3 4" xfId="27824"/>
    <cellStyle name="40% - Accent1 3 2 3 4" xfId="27825"/>
    <cellStyle name="40% - Accent1 4 2 3 4" xfId="27826"/>
    <cellStyle name="40% - Accent1 5 2 3 4" xfId="27827"/>
    <cellStyle name="40% - Accent2 2 2 3 4" xfId="27828"/>
    <cellStyle name="40% - Accent2 3 2 3 4" xfId="27829"/>
    <cellStyle name="40% - Accent2 4 2 3 4" xfId="27830"/>
    <cellStyle name="40% - Accent3 2 2 3 4" xfId="27831"/>
    <cellStyle name="40% - Accent3 3 2 3 4" xfId="27832"/>
    <cellStyle name="40% - Accent3 4 2 3 4" xfId="27833"/>
    <cellStyle name="40% - Accent3 5 2 3 4" xfId="27834"/>
    <cellStyle name="40% - Accent4 2 2 3 4" xfId="27835"/>
    <cellStyle name="40% - Accent4 3 2 3 4" xfId="27836"/>
    <cellStyle name="40% - Accent4 4 2 3 4" xfId="27837"/>
    <cellStyle name="40% - Accent4 5 2 3 4" xfId="27838"/>
    <cellStyle name="40% - Accent5 2 2 3 4" xfId="27839"/>
    <cellStyle name="40% - Accent5 3 2 3 4" xfId="27840"/>
    <cellStyle name="40% - Accent5 4 2 3 4" xfId="27841"/>
    <cellStyle name="40% - Accent6 2 2 3 4" xfId="27842"/>
    <cellStyle name="40% - Accent6 3 2 3 4" xfId="27843"/>
    <cellStyle name="40% - Accent6 4 2 3 4" xfId="27844"/>
    <cellStyle name="40% - Accent6 5 2 3 4" xfId="27845"/>
    <cellStyle name="Comma 143 2 3 4" xfId="27846"/>
    <cellStyle name="Comma 144 2 3 4" xfId="27847"/>
    <cellStyle name="Comma 145 2 3 4" xfId="27848"/>
    <cellStyle name="Comma 146 2 3 4" xfId="27849"/>
    <cellStyle name="Comma 147 2 3 4" xfId="27850"/>
    <cellStyle name="Comma 148 2 3 4" xfId="27851"/>
    <cellStyle name="Comma 149 2 3 4" xfId="27852"/>
    <cellStyle name="Comma 150 2 3 4" xfId="27853"/>
    <cellStyle name="Comma 151 2 3 4" xfId="27854"/>
    <cellStyle name="Comma 152 2 3 4" xfId="27855"/>
    <cellStyle name="Comma 153 2 3 4" xfId="27856"/>
    <cellStyle name="Comma 182 2 3 4" xfId="27857"/>
    <cellStyle name="Comma 2 23 2 3 4" xfId="27858"/>
    <cellStyle name="Comma 2 2 10 2 3 4" xfId="27859"/>
    <cellStyle name="Comma 2 2 11 2 3 4" xfId="27860"/>
    <cellStyle name="Comma 2 2 12 2 3 4" xfId="27861"/>
    <cellStyle name="Comma 2 2 13 2 3 4" xfId="27862"/>
    <cellStyle name="Comma 2 2 14 2 3 4" xfId="27863"/>
    <cellStyle name="Comma 2 2 15 2 3 4" xfId="27864"/>
    <cellStyle name="Comma 2 2 16 2 3 4" xfId="27865"/>
    <cellStyle name="Comma 2 2 17 2 3 4" xfId="27866"/>
    <cellStyle name="Comma 2 2 2 2 6 3 4" xfId="27867"/>
    <cellStyle name="Comma 2 2 2 2 2 2 3 4" xfId="27868"/>
    <cellStyle name="Comma 2 2 2 2 3 2 3 4" xfId="27869"/>
    <cellStyle name="Comma 2 2 2 2 4 2 3 4" xfId="27870"/>
    <cellStyle name="Comma 2 2 2 2 5 2 3 4" xfId="27871"/>
    <cellStyle name="Comma 2 2 2 3 2 3 4" xfId="27872"/>
    <cellStyle name="Comma 2 2 2 4 2 3 4" xfId="27873"/>
    <cellStyle name="Comma 2 2 2 5 2 3 4" xfId="27874"/>
    <cellStyle name="Comma 2 2 2 6 2 3 4" xfId="27875"/>
    <cellStyle name="Comma 2 2 3 6 3 4" xfId="27876"/>
    <cellStyle name="Comma 2 2 3 2 2 2 3 4" xfId="27877"/>
    <cellStyle name="Comma 2 2 3 2 3 2 3 4" xfId="27878"/>
    <cellStyle name="Comma 2 2 3 2 4 2 3 4" xfId="27879"/>
    <cellStyle name="Comma 2 2 3 2 5 2 3 4" xfId="27880"/>
    <cellStyle name="Comma 2 2 3 3 2 3 4" xfId="27881"/>
    <cellStyle name="Comma 2 2 4 2 2 3 4" xfId="27882"/>
    <cellStyle name="Comma 2 2 5 2 3 4" xfId="27883"/>
    <cellStyle name="Comma 2 2 6 2 3 4" xfId="27884"/>
    <cellStyle name="Comma 2 2 7 2 3 4" xfId="27885"/>
    <cellStyle name="Comma 2 2 8 2 3 4" xfId="27886"/>
    <cellStyle name="Comma 2 2 9 2 3 4" xfId="27887"/>
    <cellStyle name="Comma 3 10 2 3 4" xfId="27888"/>
    <cellStyle name="Comma 3 11 2 3 4" xfId="27889"/>
    <cellStyle name="Comma 3 12 2 3 4" xfId="27890"/>
    <cellStyle name="Comma 3 13 2 3 4" xfId="27891"/>
    <cellStyle name="Comma 3 14 2 3 4" xfId="27892"/>
    <cellStyle name="Comma 3 15 2 3 4" xfId="27893"/>
    <cellStyle name="Comma 3 16 2 3 4" xfId="27894"/>
    <cellStyle name="Comma 3 17 2 3 4" xfId="27895"/>
    <cellStyle name="Comma 3 18 2 3 4" xfId="27896"/>
    <cellStyle name="Comma 3 19 2 3 4" xfId="27897"/>
    <cellStyle name="Comma 3 2 2 2 3 4" xfId="27898"/>
    <cellStyle name="Comma 3 2 3 2 3 4" xfId="27899"/>
    <cellStyle name="Comma 3 2 4 2 3 4" xfId="27900"/>
    <cellStyle name="Comma 3 2 5 2 3 4" xfId="27901"/>
    <cellStyle name="Comma 3 20 2 3 4" xfId="27902"/>
    <cellStyle name="Comma 3 21 2 3 4" xfId="27903"/>
    <cellStyle name="Comma 3 3 6 3 4" xfId="27904"/>
    <cellStyle name="Comma 3 3 2 2 3 4" xfId="27905"/>
    <cellStyle name="Comma 3 3 3 2 3 4" xfId="27906"/>
    <cellStyle name="Comma 3 3 4 2 3 4" xfId="27907"/>
    <cellStyle name="Comma 3 3 5 2 3 4" xfId="27908"/>
    <cellStyle name="Comma 3 4 3 3 4" xfId="27909"/>
    <cellStyle name="Comma 3 4 2 2 3 4" xfId="27910"/>
    <cellStyle name="Comma 3 5 3 3 4" xfId="27911"/>
    <cellStyle name="Comma 3 5 2 2 3 4" xfId="27912"/>
    <cellStyle name="Comma 3 6 3 3 4" xfId="27913"/>
    <cellStyle name="Comma 3 6 2 2 3 4" xfId="27914"/>
    <cellStyle name="Comma 3 7 2 3 4" xfId="27915"/>
    <cellStyle name="Comma 3 8 2 3 4" xfId="27916"/>
    <cellStyle name="Comma 3 9 2 3 4" xfId="27917"/>
    <cellStyle name="Currency 120 2 3 4" xfId="27918"/>
    <cellStyle name="Currency 121 2 3 4" xfId="27919"/>
    <cellStyle name="Currency 122 2 3 4" xfId="27920"/>
    <cellStyle name="Currency 123 2 3 4" xfId="27921"/>
    <cellStyle name="Currency 124 2 3 4" xfId="27922"/>
    <cellStyle name="Currency 125 2 3 4" xfId="27923"/>
    <cellStyle name="Currency 126 2 3 4" xfId="27924"/>
    <cellStyle name="Currency 127 2 3 4" xfId="27925"/>
    <cellStyle name="Currency 128 2 3 4" xfId="27926"/>
    <cellStyle name="Currency 129 2 3 4" xfId="27927"/>
    <cellStyle name="Currency 130 2 3 4" xfId="27928"/>
    <cellStyle name="Currency 159 2 3 4" xfId="27929"/>
    <cellStyle name="Currency 2 27 2 3 4" xfId="27930"/>
    <cellStyle name="Currency 2 2 20 2 3 4" xfId="27931"/>
    <cellStyle name="Currency 2 2 10 2 3 4" xfId="27932"/>
    <cellStyle name="Currency 2 2 11 2 3 4" xfId="27933"/>
    <cellStyle name="Currency 2 2 12 2 3 4" xfId="27934"/>
    <cellStyle name="Currency 2 2 13 2 3 4" xfId="27935"/>
    <cellStyle name="Currency 2 2 14 2 3 4" xfId="27936"/>
    <cellStyle name="Currency 2 2 15 2 3 4" xfId="27937"/>
    <cellStyle name="Currency 2 2 16 2 3 4" xfId="27938"/>
    <cellStyle name="Currency 2 2 17 2 3 4" xfId="27939"/>
    <cellStyle name="Currency 2 2 18 2 3 4" xfId="27940"/>
    <cellStyle name="Currency 2 2 2 2 2 3 4" xfId="27941"/>
    <cellStyle name="Currency 2 2 2 3 2 3 4" xfId="27942"/>
    <cellStyle name="Currency 2 2 2 4 2 3 4" xfId="27943"/>
    <cellStyle name="Currency 2 2 2 5 2 3 4" xfId="27944"/>
    <cellStyle name="Currency 2 2 3 6 3 4" xfId="27945"/>
    <cellStyle name="Currency 2 2 3 2 2 3 4" xfId="27946"/>
    <cellStyle name="Currency 2 2 3 3 2 3 4" xfId="27947"/>
    <cellStyle name="Currency 2 2 3 4 2 3 4" xfId="27948"/>
    <cellStyle name="Currency 2 2 3 5 2 3 4" xfId="27949"/>
    <cellStyle name="Currency 2 2 4 2 3 4" xfId="27950"/>
    <cellStyle name="Currency 2 2 5 2 3 4" xfId="27951"/>
    <cellStyle name="Currency 2 2 6 2 3 4" xfId="27952"/>
    <cellStyle name="Currency 2 2 7 2 3 4" xfId="27953"/>
    <cellStyle name="Currency 2 2 8 2 3 4" xfId="27954"/>
    <cellStyle name="Currency 2 2 9 2 3 4" xfId="27955"/>
    <cellStyle name="Currency 3 10 2 3 4" xfId="27956"/>
    <cellStyle name="Currency 3 11 2 3 4" xfId="27957"/>
    <cellStyle name="Currency 3 12 2 3 4" xfId="27958"/>
    <cellStyle name="Currency 3 13 2 3 4" xfId="27959"/>
    <cellStyle name="Currency 3 14 2 3 4" xfId="27960"/>
    <cellStyle name="Currency 3 15 2 3 4" xfId="27961"/>
    <cellStyle name="Currency 3 16 2 3 4" xfId="27962"/>
    <cellStyle name="Currency 3 17 2 3 4" xfId="27963"/>
    <cellStyle name="Currency 3 18 2 3 4" xfId="27964"/>
    <cellStyle name="Currency 3 19 2 3 4" xfId="27965"/>
    <cellStyle name="Currency 3 2 2 2 3 4" xfId="27966"/>
    <cellStyle name="Currency 3 2 3 2 3 4" xfId="27967"/>
    <cellStyle name="Currency 3 2 4 2 3 4" xfId="27968"/>
    <cellStyle name="Currency 3 2 5 2 3 4" xfId="27969"/>
    <cellStyle name="Currency 3 20 2 3 4" xfId="27970"/>
    <cellStyle name="Currency 3 21 2 3 4" xfId="27971"/>
    <cellStyle name="Currency 3 3 8 3 4" xfId="27972"/>
    <cellStyle name="Currency 3 3 2 2 3 4" xfId="27973"/>
    <cellStyle name="Currency 3 3 3 2 3 4" xfId="27974"/>
    <cellStyle name="Currency 3 3 4 2 3 4" xfId="27975"/>
    <cellStyle name="Currency 3 3 5 2 3 4" xfId="27976"/>
    <cellStyle name="Currency 3 3 6 2 3 4" xfId="27977"/>
    <cellStyle name="Currency 3 4 3 3 4" xfId="27978"/>
    <cellStyle name="Currency 3 4 2 2 3 4" xfId="27979"/>
    <cellStyle name="Currency 3 5 3 3 4" xfId="27980"/>
    <cellStyle name="Currency 3 5 2 2 3 4" xfId="27981"/>
    <cellStyle name="Currency 3 6 3 3 4" xfId="27982"/>
    <cellStyle name="Currency 3 6 2 2 3 4" xfId="27983"/>
    <cellStyle name="Currency 3 7 2 3 4" xfId="27984"/>
    <cellStyle name="Currency 3 8 2 3 4" xfId="27985"/>
    <cellStyle name="Currency 3 9 2 3 4" xfId="27986"/>
    <cellStyle name="Normal 10 3 6 3 4" xfId="27987"/>
    <cellStyle name="Normal 10 3 2 5 3 4" xfId="27988"/>
    <cellStyle name="Normal 10 3 2 2 3 3 4" xfId="27989"/>
    <cellStyle name="Normal 10 3 2 2 2 2 3 4" xfId="27990"/>
    <cellStyle name="Normal 10 3 2 3 3 3 4" xfId="27991"/>
    <cellStyle name="Normal 10 3 2 3 2 2 3 4" xfId="27992"/>
    <cellStyle name="Normal 10 3 2 4 2 3 4" xfId="27993"/>
    <cellStyle name="Normal 10 3 3 3 3 4" xfId="27994"/>
    <cellStyle name="Normal 10 3 3 2 2 3 4" xfId="27995"/>
    <cellStyle name="Normal 10 3 4 3 3 4" xfId="27996"/>
    <cellStyle name="Normal 10 3 4 2 2 3 4" xfId="27997"/>
    <cellStyle name="Normal 10 3 5 2 3 4" xfId="27998"/>
    <cellStyle name="Normal 10 4 5 3 4" xfId="27999"/>
    <cellStyle name="Normal 10 4 2 3 3 4" xfId="28000"/>
    <cellStyle name="Normal 10 4 2 2 2 3 4" xfId="28001"/>
    <cellStyle name="Normal 10 4 3 3 3 4" xfId="28002"/>
    <cellStyle name="Normal 10 4 3 2 2 3 4" xfId="28003"/>
    <cellStyle name="Normal 10 4 4 2 3 4" xfId="28004"/>
    <cellStyle name="Normal 10 5 5 3 4" xfId="28005"/>
    <cellStyle name="Normal 10 5 2 3 3 4" xfId="28006"/>
    <cellStyle name="Normal 10 5 2 2 2 3 4" xfId="28007"/>
    <cellStyle name="Normal 10 5 3 3 3 4" xfId="28008"/>
    <cellStyle name="Normal 10 5 3 2 2 3 4" xfId="28009"/>
    <cellStyle name="Normal 10 5 4 2 3 4" xfId="28010"/>
    <cellStyle name="Normal 10 6 3 3 4" xfId="28011"/>
    <cellStyle name="Normal 10 6 2 2 3 4" xfId="28012"/>
    <cellStyle name="Normal 10 7 3 3 4" xfId="28013"/>
    <cellStyle name="Normal 10 7 2 2 3 4" xfId="28014"/>
    <cellStyle name="Normal 10 8 2 2 3 4" xfId="28015"/>
    <cellStyle name="Normal 10 9 2 3 4" xfId="28016"/>
    <cellStyle name="Normal 11 4 2 3 4" xfId="28017"/>
    <cellStyle name="Normal 11 3 2 3 4" xfId="28018"/>
    <cellStyle name="Normal 12 8 3 4" xfId="28019"/>
    <cellStyle name="Normal 12 2 2 5 3 4" xfId="28020"/>
    <cellStyle name="Normal 12 2 2 2 3 3 4" xfId="28021"/>
    <cellStyle name="Normal 12 2 2 2 2 2 3 4" xfId="28022"/>
    <cellStyle name="Normal 12 2 2 3 3 3 4" xfId="28023"/>
    <cellStyle name="Normal 12 2 2 3 2 2 3 4" xfId="28024"/>
    <cellStyle name="Normal 12 2 2 4 2 3 4" xfId="28025"/>
    <cellStyle name="Normal 12 2 3 3 3 4" xfId="28026"/>
    <cellStyle name="Normal 12 2 3 2 2 3 4" xfId="28027"/>
    <cellStyle name="Normal 12 2 4 3 3 4" xfId="28028"/>
    <cellStyle name="Normal 12 2 4 2 2 3 4" xfId="28029"/>
    <cellStyle name="Normal 12 2 5 2 2 3 4" xfId="28030"/>
    <cellStyle name="Normal 12 2 6 2 3 4" xfId="28031"/>
    <cellStyle name="Normal 12 3 5 3 4" xfId="28032"/>
    <cellStyle name="Normal 12 3 2 3 3 4" xfId="28033"/>
    <cellStyle name="Normal 12 3 2 2 2 3 4" xfId="28034"/>
    <cellStyle name="Normal 12 3 3 3 3 4" xfId="28035"/>
    <cellStyle name="Normal 12 3 3 2 2 3 4" xfId="28036"/>
    <cellStyle name="Normal 12 3 4 2 3 4" xfId="28037"/>
    <cellStyle name="Normal 12 4 5 3 4" xfId="28038"/>
    <cellStyle name="Normal 12 4 2 3 3 4" xfId="28039"/>
    <cellStyle name="Normal 12 4 2 2 2 3 4" xfId="28040"/>
    <cellStyle name="Normal 12 4 3 3 3 4" xfId="28041"/>
    <cellStyle name="Normal 12 4 3 2 2 3 4" xfId="28042"/>
    <cellStyle name="Normal 12 4 4 2 3 4" xfId="28043"/>
    <cellStyle name="Normal 12 5 3 3 4" xfId="28044"/>
    <cellStyle name="Normal 12 5 2 2 3 4" xfId="28045"/>
    <cellStyle name="Normal 12 6 3 3 4" xfId="28046"/>
    <cellStyle name="Normal 12 6 2 2 3 4" xfId="28047"/>
    <cellStyle name="Normal 12 7 2 3 4" xfId="28048"/>
    <cellStyle name="Normal 15 6 3 4" xfId="28049"/>
    <cellStyle name="Normal 15 3 2 3 4" xfId="28050"/>
    <cellStyle name="Normal 16 2 5 3 4" xfId="28051"/>
    <cellStyle name="Normal 16 2 2 3 3 4" xfId="28052"/>
    <cellStyle name="Normal 16 2 2 2 2 3 4" xfId="28053"/>
    <cellStyle name="Normal 16 2 3 3 3 4" xfId="28054"/>
    <cellStyle name="Normal 16 2 3 2 2 3 4" xfId="28055"/>
    <cellStyle name="Normal 16 2 4 2 3 4" xfId="28056"/>
    <cellStyle name="Normal 16 3 3 3 4" xfId="28057"/>
    <cellStyle name="Normal 16 3 2 2 3 4" xfId="28058"/>
    <cellStyle name="Normal 16 4 3 3 4" xfId="28059"/>
    <cellStyle name="Normal 16 4 2 2 3 4" xfId="28060"/>
    <cellStyle name="Normal 16 5 2 2 3 4" xfId="28061"/>
    <cellStyle name="Normal 16 6 2 3 4" xfId="28062"/>
    <cellStyle name="Normal 17 2 5 3 4" xfId="28063"/>
    <cellStyle name="Normal 17 2 2 3 3 4" xfId="28064"/>
    <cellStyle name="Normal 17 2 2 2 2 3 4" xfId="28065"/>
    <cellStyle name="Normal 17 2 3 3 3 4" xfId="28066"/>
    <cellStyle name="Normal 17 2 3 2 2 3 4" xfId="28067"/>
    <cellStyle name="Normal 17 2 4 2 3 4" xfId="28068"/>
    <cellStyle name="Normal 17 3 3 3 4" xfId="28069"/>
    <cellStyle name="Normal 17 3 2 2 3 4" xfId="28070"/>
    <cellStyle name="Normal 17 4 3 3 4" xfId="28071"/>
    <cellStyle name="Normal 17 4 2 2 3 4" xfId="28072"/>
    <cellStyle name="Normal 17 5 2 2 3 4" xfId="28073"/>
    <cellStyle name="Normal 17 6 2 3 4" xfId="28074"/>
    <cellStyle name="Normal 2 10 3 2 3 4" xfId="28075"/>
    <cellStyle name="Normal 2 11 3 2 3 4" xfId="28076"/>
    <cellStyle name="Normal 2 12 3 2 3 4" xfId="28077"/>
    <cellStyle name="Normal 2 13 3 2 3 4" xfId="28078"/>
    <cellStyle name="Normal 2 14 3 2 3 4" xfId="28079"/>
    <cellStyle name="Normal 2 15 3 2 3 4" xfId="28080"/>
    <cellStyle name="Normal 2 16 3 2 3 4" xfId="28081"/>
    <cellStyle name="Normal 2 17 3 2 3 4" xfId="28082"/>
    <cellStyle name="Normal 2 18 3 2 3 4" xfId="28083"/>
    <cellStyle name="Normal 2 19 3 2 3 4" xfId="28084"/>
    <cellStyle name="Normal 2 2 10 2 3 4" xfId="28085"/>
    <cellStyle name="Normal 2 2 11 2 3 4" xfId="28086"/>
    <cellStyle name="Normal 2 2 12 2 3 4" xfId="28087"/>
    <cellStyle name="Normal 2 2 13 2 3 4" xfId="28088"/>
    <cellStyle name="Normal 2 2 14 2 3 4" xfId="28089"/>
    <cellStyle name="Normal 2 2 15 2 3 4" xfId="28090"/>
    <cellStyle name="Normal 2 2 16 2 3 4" xfId="28091"/>
    <cellStyle name="Normal 2 2 17 2 3 4" xfId="28092"/>
    <cellStyle name="Normal 2 2 18 2 3 4" xfId="28093"/>
    <cellStyle name="Normal 2 2 19 2 3 4" xfId="28094"/>
    <cellStyle name="Normal 2 2 2 2 6 3 4" xfId="28095"/>
    <cellStyle name="Normal 2 2 2 2 2 3 3 4" xfId="28096"/>
    <cellStyle name="Normal 2 2 2 2 2 2 2 3 4" xfId="28097"/>
    <cellStyle name="Normal 2 2 2 2 3 2 3 4" xfId="28098"/>
    <cellStyle name="Normal 2 2 2 2 4 2 3 4" xfId="28099"/>
    <cellStyle name="Normal 2 2 2 2 5 2 3 4" xfId="28100"/>
    <cellStyle name="Normal 2 2 20 2 3 4" xfId="28101"/>
    <cellStyle name="Normal 2 2 21 2 3 4" xfId="28102"/>
    <cellStyle name="Normal 2 2 22 2 3 4" xfId="28103"/>
    <cellStyle name="Normal 2 2 3 9 3 4" xfId="28104"/>
    <cellStyle name="Normal 2 2 3 2 2 3 4" xfId="28105"/>
    <cellStyle name="Normal 2 2 3 3 2 3 4" xfId="28106"/>
    <cellStyle name="Normal 2 2 3 4 2 3 4" xfId="28107"/>
    <cellStyle name="Normal 2 2 3 5 2 3 4" xfId="28108"/>
    <cellStyle name="Normal 2 2 3 6 2 3 4" xfId="28109"/>
    <cellStyle name="Normal 2 2 4 5 3 4" xfId="28110"/>
    <cellStyle name="Normal 2 2 4 2 2 3 4" xfId="28111"/>
    <cellStyle name="Normal 2 2 5 4 3 4" xfId="28112"/>
    <cellStyle name="Normal 2 2 5 2 2 3 4" xfId="28113"/>
    <cellStyle name="Normal 2 2 6 2 3 4" xfId="28114"/>
    <cellStyle name="Normal 2 2 7 2 3 4" xfId="28115"/>
    <cellStyle name="Normal 2 2 8 2 3 4" xfId="28116"/>
    <cellStyle name="Normal 2 2 9 2 3 4" xfId="28117"/>
    <cellStyle name="Normal 2 20 2 3 4" xfId="28118"/>
    <cellStyle name="Normal 2 3 2 3 3 4" xfId="28119"/>
    <cellStyle name="Normal 2 3 3 2 3 4" xfId="28120"/>
    <cellStyle name="Normal 2 3 4 2 3 4" xfId="28121"/>
    <cellStyle name="Normal 2 3 5 2 3 4" xfId="28122"/>
    <cellStyle name="Normal 2 3 6 2 3 4" xfId="28123"/>
    <cellStyle name="Normal 2 4 5 2 3 4" xfId="28124"/>
    <cellStyle name="Normal 2 4 2 2 3 4" xfId="28125"/>
    <cellStyle name="Normal 2 5 3 2 3 4" xfId="28126"/>
    <cellStyle name="Normal 2 6 3 2 3 4" xfId="28127"/>
    <cellStyle name="Normal 2 7 3 2 3 4" xfId="28128"/>
    <cellStyle name="Normal 2 8 3 2 3 4" xfId="28129"/>
    <cellStyle name="Normal 2 9 3 2 3 4" xfId="28130"/>
    <cellStyle name="Normal 21 9 3 4" xfId="28131"/>
    <cellStyle name="Normal 21 2 7 3 4" xfId="28132"/>
    <cellStyle name="Normal 21 2 2 2 3 4" xfId="28133"/>
    <cellStyle name="Normal 21 2 3 2 3 4" xfId="28134"/>
    <cellStyle name="Normal 21 2 4 2 3 4" xfId="28135"/>
    <cellStyle name="Normal 21 2 5 2 3 4" xfId="28136"/>
    <cellStyle name="Normal 21 2 6 2 3 4" xfId="28137"/>
    <cellStyle name="Normal 21 3 3 3 4" xfId="28138"/>
    <cellStyle name="Normal 21 3 2 2 3 4" xfId="28139"/>
    <cellStyle name="Normal 21 4 2 3 4" xfId="28140"/>
    <cellStyle name="Normal 21 5 2 3 4" xfId="28141"/>
    <cellStyle name="Normal 21 6 2 3 4" xfId="28142"/>
    <cellStyle name="Normal 21 8 2 3 4" xfId="28143"/>
    <cellStyle name="Normal 22 8 3 4" xfId="28144"/>
    <cellStyle name="Normal 22 2 7 3 4" xfId="28145"/>
    <cellStyle name="Normal 22 2 2 2 3 4" xfId="28146"/>
    <cellStyle name="Normal 22 2 3 2 3 4" xfId="28147"/>
    <cellStyle name="Normal 22 2 4 2 3 4" xfId="28148"/>
    <cellStyle name="Normal 22 2 5 2 3 4" xfId="28149"/>
    <cellStyle name="Normal 22 3 2 3 4" xfId="28150"/>
    <cellStyle name="Normal 22 4 2 3 4" xfId="28151"/>
    <cellStyle name="Normal 22 5 2 3 4" xfId="28152"/>
    <cellStyle name="Normal 22 6 2 3 4" xfId="28153"/>
    <cellStyle name="Normal 23 8 3 4" xfId="28154"/>
    <cellStyle name="Normal 23 2 6 3 4" xfId="28155"/>
    <cellStyle name="Normal 23 2 2 2 3 4" xfId="28156"/>
    <cellStyle name="Normal 23 2 3 2 3 4" xfId="28157"/>
    <cellStyle name="Normal 23 2 4 2 3 4" xfId="28158"/>
    <cellStyle name="Normal 23 2 5 2 3 4" xfId="28159"/>
    <cellStyle name="Normal 23 3 2 3 4" xfId="28160"/>
    <cellStyle name="Normal 23 4 2 3 4" xfId="28161"/>
    <cellStyle name="Normal 23 5 2 3 4" xfId="28162"/>
    <cellStyle name="Normal 23 6 2 3 4" xfId="28163"/>
    <cellStyle name="Normal 24 8 3 4" xfId="28164"/>
    <cellStyle name="Normal 24 2 6 3 4" xfId="28165"/>
    <cellStyle name="Normal 24 2 2 2 3 4" xfId="28166"/>
    <cellStyle name="Normal 24 2 3 2 3 4" xfId="28167"/>
    <cellStyle name="Normal 24 2 4 2 3 4" xfId="28168"/>
    <cellStyle name="Normal 24 2 5 2 3 4" xfId="28169"/>
    <cellStyle name="Normal 24 3 2 3 4" xfId="28170"/>
    <cellStyle name="Normal 24 4 2 3 4" xfId="28171"/>
    <cellStyle name="Normal 24 5 2 3 4" xfId="28172"/>
    <cellStyle name="Normal 24 6 2 3 4" xfId="28173"/>
    <cellStyle name="Normal 26 8 3 4" xfId="28174"/>
    <cellStyle name="Normal 26 2 6 3 4" xfId="28175"/>
    <cellStyle name="Normal 26 2 2 2 3 4" xfId="28176"/>
    <cellStyle name="Normal 26 2 3 2 3 4" xfId="28177"/>
    <cellStyle name="Normal 26 2 4 2 3 4" xfId="28178"/>
    <cellStyle name="Normal 26 2 5 2 3 4" xfId="28179"/>
    <cellStyle name="Normal 26 3 2 3 4" xfId="28180"/>
    <cellStyle name="Normal 26 4 2 3 4" xfId="28181"/>
    <cellStyle name="Normal 26 5 2 3 4" xfId="28182"/>
    <cellStyle name="Normal 26 6 2 3 4" xfId="28183"/>
    <cellStyle name="Normal 3 10 2 3 4" xfId="28184"/>
    <cellStyle name="Normal 3 11 2 3 4" xfId="28185"/>
    <cellStyle name="Normal 3 12 2 3 4" xfId="28186"/>
    <cellStyle name="Normal 3 13 2 3 4" xfId="28187"/>
    <cellStyle name="Normal 3 14 2 3 4" xfId="28188"/>
    <cellStyle name="Normal 3 15 2 3 4" xfId="28189"/>
    <cellStyle name="Normal 3 16 2 3 4" xfId="28190"/>
    <cellStyle name="Normal 3 17 2 3 4" xfId="28191"/>
    <cellStyle name="Normal 3 18 2 3 4" xfId="28192"/>
    <cellStyle name="Normal 3 19 2 3 4" xfId="28193"/>
    <cellStyle name="Normal 3 2 2 2 3 4" xfId="28194"/>
    <cellStyle name="Normal 3 2 3 2 3 4" xfId="28195"/>
    <cellStyle name="Normal 3 2 4 2 3 4" xfId="28196"/>
    <cellStyle name="Normal 3 2 5 2 3 4" xfId="28197"/>
    <cellStyle name="Normal 3 2 6 2 3 4" xfId="28198"/>
    <cellStyle name="Normal 3 20 2 3 4" xfId="28199"/>
    <cellStyle name="Normal 3 21 2 3 4" xfId="28200"/>
    <cellStyle name="Normal 3 22 2 3 4" xfId="28201"/>
    <cellStyle name="Normal 3 23 2 3 4" xfId="28202"/>
    <cellStyle name="Normal 3 24 2 3 4" xfId="28203"/>
    <cellStyle name="Normal 3 3 5 3 4" xfId="28204"/>
    <cellStyle name="Normal 3 3 2 2 3 4" xfId="28205"/>
    <cellStyle name="Normal 3 3 3 2 3 4" xfId="28206"/>
    <cellStyle name="Normal 3 4 3 3 4" xfId="28207"/>
    <cellStyle name="Normal 3 4 2 2 3 4" xfId="28208"/>
    <cellStyle name="Normal 3 5 3 3 4" xfId="28209"/>
    <cellStyle name="Normal 3 5 2 2 3 4" xfId="28210"/>
    <cellStyle name="Normal 3 6 2 3 4" xfId="28211"/>
    <cellStyle name="Normal 3 7 2 3 4" xfId="28212"/>
    <cellStyle name="Normal 3 8 2 3 4" xfId="28213"/>
    <cellStyle name="Normal 3 9 2 3 4" xfId="28214"/>
    <cellStyle name="Normal 4 2 10 2 3 4" xfId="28215"/>
    <cellStyle name="Normal 4 2 11 2 3 4" xfId="28216"/>
    <cellStyle name="Normal 4 2 12 2 3 4" xfId="28217"/>
    <cellStyle name="Normal 4 2 13 2 3 4" xfId="28218"/>
    <cellStyle name="Normal 4 2 14 2 3 4" xfId="28219"/>
    <cellStyle name="Normal 4 2 15 2 3 4" xfId="28220"/>
    <cellStyle name="Normal 4 2 16 2 3 4" xfId="28221"/>
    <cellStyle name="Normal 4 2 17 2 3 4" xfId="28222"/>
    <cellStyle name="Normal 4 2 18 2 3 4" xfId="28223"/>
    <cellStyle name="Normal 4 2 19 2 3 4" xfId="28224"/>
    <cellStyle name="Normal 4 2 2 6 3 4" xfId="28225"/>
    <cellStyle name="Normal 4 2 2 2 2 3 4" xfId="28226"/>
    <cellStyle name="Normal 4 2 2 3 2 3 4" xfId="28227"/>
    <cellStyle name="Normal 4 2 2 4 2 3 4" xfId="28228"/>
    <cellStyle name="Normal 4 2 2 5 2 3 4" xfId="28229"/>
    <cellStyle name="Normal 4 2 20 2 3 4" xfId="28230"/>
    <cellStyle name="Normal 4 2 21 2 3 4" xfId="28231"/>
    <cellStyle name="Normal 4 2 22 2 3 4" xfId="28232"/>
    <cellStyle name="Normal 4 2 23 2 3 4" xfId="28233"/>
    <cellStyle name="Normal 4 2 24 2 3 4" xfId="28234"/>
    <cellStyle name="Normal 4 2 3 3 3 4" xfId="28235"/>
    <cellStyle name="Normal 4 2 3 2 2 3 4" xfId="28236"/>
    <cellStyle name="Normal 4 2 4 3 3 4" xfId="28237"/>
    <cellStyle name="Normal 4 2 4 2 2 3 4" xfId="28238"/>
    <cellStyle name="Normal 4 2 5 3 3 4" xfId="28239"/>
    <cellStyle name="Normal 4 2 5 2 2 3 4" xfId="28240"/>
    <cellStyle name="Normal 4 2 6 2 3 4" xfId="28241"/>
    <cellStyle name="Normal 4 2 7 2 3 4" xfId="28242"/>
    <cellStyle name="Normal 4 2 8 2 3 4" xfId="28243"/>
    <cellStyle name="Normal 4 2 9 2 3 4" xfId="28244"/>
    <cellStyle name="Normal 4 3 7 3 4" xfId="28245"/>
    <cellStyle name="Normal 4 3 2 6 3 4" xfId="28246"/>
    <cellStyle name="Normal 4 3 2 2 5 3 4" xfId="28247"/>
    <cellStyle name="Normal 4 3 2 2 2 3 3 4" xfId="28248"/>
    <cellStyle name="Normal 4 3 2 2 2 2 2 3 4" xfId="28249"/>
    <cellStyle name="Normal 4 3 2 2 3 3 3 4" xfId="28250"/>
    <cellStyle name="Normal 4 3 2 2 3 2 2 3 4" xfId="28251"/>
    <cellStyle name="Normal 4 3 2 2 4 2 3 4" xfId="28252"/>
    <cellStyle name="Normal 4 3 2 3 3 3 4" xfId="28253"/>
    <cellStyle name="Normal 4 3 2 3 2 2 3 4" xfId="28254"/>
    <cellStyle name="Normal 4 3 2 4 3 3 4" xfId="28255"/>
    <cellStyle name="Normal 4 3 2 4 2 2 3 4" xfId="28256"/>
    <cellStyle name="Normal 4 3 2 5 2 3 4" xfId="28257"/>
    <cellStyle name="Normal 4 3 3 5 3 4" xfId="28258"/>
    <cellStyle name="Normal 4 3 3 2 3 3 4" xfId="28259"/>
    <cellStyle name="Normal 4 3 3 2 2 2 3 4" xfId="28260"/>
    <cellStyle name="Normal 4 3 3 3 3 3 4" xfId="28261"/>
    <cellStyle name="Normal 4 3 3 3 2 2 3 4" xfId="28262"/>
    <cellStyle name="Normal 4 3 3 4 2 3 4" xfId="28263"/>
    <cellStyle name="Normal 4 3 4 3 3 4" xfId="28264"/>
    <cellStyle name="Normal 4 3 4 2 2 3 4" xfId="28265"/>
    <cellStyle name="Normal 4 3 5 3 3 4" xfId="28266"/>
    <cellStyle name="Normal 4 3 5 2 2 3 4" xfId="28267"/>
    <cellStyle name="Normal 4 3 6 2 3 4" xfId="28268"/>
    <cellStyle name="Normal 4 4 4 3 4" xfId="28269"/>
    <cellStyle name="Normal 4 4 2 2 3 4" xfId="28270"/>
    <cellStyle name="Normal 4 5 2 3 4" xfId="28271"/>
    <cellStyle name="Normal 4 6 2 3 4" xfId="28272"/>
    <cellStyle name="Normal 4 7 2 3 4" xfId="28273"/>
    <cellStyle name="Normal 4 8 2 3 4" xfId="28274"/>
    <cellStyle name="Normal 41 2 2 3 4" xfId="28275"/>
    <cellStyle name="Normal 46 2 3 4" xfId="28276"/>
    <cellStyle name="Normal 5 28 2 3 4" xfId="28277"/>
    <cellStyle name="Normal 5 2 7 3 4" xfId="28278"/>
    <cellStyle name="Normal 5 2 2 2 2 2 3 4" xfId="28279"/>
    <cellStyle name="Normal 5 2 2 3 2 3 4" xfId="28280"/>
    <cellStyle name="Normal 5 2 3 2 2 2 3 4" xfId="28281"/>
    <cellStyle name="Normal 5 2 3 3 2 3 4" xfId="28282"/>
    <cellStyle name="Normal 5 2 4 2 2 3 4" xfId="28283"/>
    <cellStyle name="Normal 5 2 6 2 3 4" xfId="28284"/>
    <cellStyle name="Normal 5 24 2 3 4" xfId="28285"/>
    <cellStyle name="Normal 5 3 3 3 4" xfId="28286"/>
    <cellStyle name="Normal 5 4 3 3 4" xfId="28287"/>
    <cellStyle name="Normal 5 5 3 3 4" xfId="28288"/>
    <cellStyle name="Normal 5 6 3 3 4" xfId="28289"/>
    <cellStyle name="Normal 5 7 3 3 4" xfId="28290"/>
    <cellStyle name="Normal 7 25 2 3 4" xfId="28291"/>
    <cellStyle name="Normal 7 10 2 3 4" xfId="28292"/>
    <cellStyle name="Normal 7 11 2 3 4" xfId="28293"/>
    <cellStyle name="Normal 7 12 2 3 4" xfId="28294"/>
    <cellStyle name="Normal 7 13 2 3 4" xfId="28295"/>
    <cellStyle name="Normal 7 14 2 3 4" xfId="28296"/>
    <cellStyle name="Normal 7 15 2 3 4" xfId="28297"/>
    <cellStyle name="Normal 7 16 2 3 4" xfId="28298"/>
    <cellStyle name="Normal 7 17 2 3 4" xfId="28299"/>
    <cellStyle name="Normal 7 18 2 3 4" xfId="28300"/>
    <cellStyle name="Normal 7 19 2 3 4" xfId="28301"/>
    <cellStyle name="Normal 7 2 6 3 4" xfId="28302"/>
    <cellStyle name="Normal 7 2 2 2 3 4" xfId="28303"/>
    <cellStyle name="Normal 7 2 3 2 3 4" xfId="28304"/>
    <cellStyle name="Normal 7 2 4 2 3 4" xfId="28305"/>
    <cellStyle name="Normal 7 2 5 2 3 4" xfId="28306"/>
    <cellStyle name="Normal 7 20 2 3 4" xfId="28307"/>
    <cellStyle name="Normal 7 22 2 3 4" xfId="28308"/>
    <cellStyle name="Normal 7 3 6 3 4" xfId="28309"/>
    <cellStyle name="Normal 7 3 2 2 3 4" xfId="28310"/>
    <cellStyle name="Normal 7 3 3 2 3 4" xfId="28311"/>
    <cellStyle name="Normal 7 3 4 2 3 4" xfId="28312"/>
    <cellStyle name="Normal 7 3 5 2 3 4" xfId="28313"/>
    <cellStyle name="Normal 7 4 2 3 4" xfId="28314"/>
    <cellStyle name="Normal 7 5 2 3 4" xfId="28315"/>
    <cellStyle name="Normal 7 6 2 3 4" xfId="28316"/>
    <cellStyle name="Normal 7 7 2 3 4" xfId="28317"/>
    <cellStyle name="Normal 7 8 2 3 4" xfId="28318"/>
    <cellStyle name="Normal 7 9 2 3 4" xfId="28319"/>
    <cellStyle name="Normal 8 25 2 3 4" xfId="28320"/>
    <cellStyle name="Normal 8 10 2 3 4" xfId="28321"/>
    <cellStyle name="Normal 8 11 2 3 4" xfId="28322"/>
    <cellStyle name="Normal 8 12 2 3 4" xfId="28323"/>
    <cellStyle name="Normal 8 13 2 3 4" xfId="28324"/>
    <cellStyle name="Normal 8 14 2 3 4" xfId="28325"/>
    <cellStyle name="Normal 8 15 2 3 4" xfId="28326"/>
    <cellStyle name="Normal 8 16 2 3 4" xfId="28327"/>
    <cellStyle name="Normal 8 17 2 3 4" xfId="28328"/>
    <cellStyle name="Normal 8 18 2 3 4" xfId="28329"/>
    <cellStyle name="Normal 8 19 2 3 4" xfId="28330"/>
    <cellStyle name="Normal 8 2 6 2 3 4" xfId="28331"/>
    <cellStyle name="Normal 8 2 2 2 2 3 4" xfId="28332"/>
    <cellStyle name="Normal 8 2 3 2 3 4" xfId="28333"/>
    <cellStyle name="Normal 8 2 4 2 3 4" xfId="28334"/>
    <cellStyle name="Normal 8 2 5 2 3 4" xfId="28335"/>
    <cellStyle name="Normal 8 20 2 3 4" xfId="28336"/>
    <cellStyle name="Normal 8 22 2 3 4" xfId="28337"/>
    <cellStyle name="Normal 8 3 6 2 3 4" xfId="28338"/>
    <cellStyle name="Normal 8 3 2 2 3 4" xfId="28339"/>
    <cellStyle name="Normal 8 3 3 2 3 4" xfId="28340"/>
    <cellStyle name="Normal 8 3 4 2 3 4" xfId="28341"/>
    <cellStyle name="Normal 8 3 5 2 3 4" xfId="28342"/>
    <cellStyle name="Normal 8 4 2 3 4" xfId="28343"/>
    <cellStyle name="Normal 8 5 2 3 4" xfId="28344"/>
    <cellStyle name="Normal 8 6 2 3 4" xfId="28345"/>
    <cellStyle name="Normal 8 7 2 3 4" xfId="28346"/>
    <cellStyle name="Normal 8 8 2 3 4" xfId="28347"/>
    <cellStyle name="Normal 8 9 2 3 4" xfId="28348"/>
    <cellStyle name="Normal 9 25 2 3 4" xfId="28349"/>
    <cellStyle name="Normal 9 10 2 3 4" xfId="28350"/>
    <cellStyle name="Normal 9 11 2 3 4" xfId="28351"/>
    <cellStyle name="Normal 9 12 2 3 4" xfId="28352"/>
    <cellStyle name="Normal 9 13 2 3 4" xfId="28353"/>
    <cellStyle name="Normal 9 14 2 3 4" xfId="28354"/>
    <cellStyle name="Normal 9 15 2 3 4" xfId="28355"/>
    <cellStyle name="Normal 9 16 2 3 4" xfId="28356"/>
    <cellStyle name="Normal 9 17 2 3 4" xfId="28357"/>
    <cellStyle name="Normal 9 18 2 3 4" xfId="28358"/>
    <cellStyle name="Normal 9 19 2 3 4" xfId="28359"/>
    <cellStyle name="Normal 9 2 6 3 4" xfId="28360"/>
    <cellStyle name="Normal 9 2 2 2 3 4" xfId="28361"/>
    <cellStyle name="Normal 9 2 3 2 3 4" xfId="28362"/>
    <cellStyle name="Normal 9 2 4 2 3 4" xfId="28363"/>
    <cellStyle name="Normal 9 2 5 2 3 4" xfId="28364"/>
    <cellStyle name="Normal 9 20 2 3 4" xfId="28365"/>
    <cellStyle name="Normal 9 22 2 3 4" xfId="28366"/>
    <cellStyle name="Normal 9 3 6 3 4" xfId="28367"/>
    <cellStyle name="Normal 9 3 2 2 3 4" xfId="28368"/>
    <cellStyle name="Normal 9 3 3 2 3 4" xfId="28369"/>
    <cellStyle name="Normal 9 3 4 2 3 4" xfId="28370"/>
    <cellStyle name="Normal 9 3 5 2 3 4" xfId="28371"/>
    <cellStyle name="Normal 9 4 2 3 4" xfId="28372"/>
    <cellStyle name="Normal 9 5 2 3 4" xfId="28373"/>
    <cellStyle name="Normal 9 6 2 3 4" xfId="28374"/>
    <cellStyle name="Normal 9 7 2 3 4" xfId="28375"/>
    <cellStyle name="Normal 9 8 2 3 4" xfId="28376"/>
    <cellStyle name="Normal 9 9 2 3 4" xfId="28377"/>
    <cellStyle name="Note 2 2 3 4" xfId="28378"/>
    <cellStyle name="Note 3 2 3 4" xfId="28379"/>
    <cellStyle name="Note 4 2 3 4" xfId="28380"/>
    <cellStyle name="Note 7 2 3 4" xfId="28381"/>
    <cellStyle name="Percent 120 2 3 4" xfId="28382"/>
    <cellStyle name="Percent 121 2 3 4" xfId="28383"/>
    <cellStyle name="Percent 122 2 3 4" xfId="28384"/>
    <cellStyle name="Percent 123 2 3 4" xfId="28385"/>
    <cellStyle name="Percent 124 2 3 4" xfId="28386"/>
    <cellStyle name="Percent 125 2 3 4" xfId="28387"/>
    <cellStyle name="Percent 126 2 3 4" xfId="28388"/>
    <cellStyle name="Percent 127 2 3 4" xfId="28389"/>
    <cellStyle name="Percent 128 2 3 4" xfId="28390"/>
    <cellStyle name="Percent 129 2 3 4" xfId="28391"/>
    <cellStyle name="Percent 130 2 3 4" xfId="28392"/>
    <cellStyle name="Percent 159 2 3 4" xfId="28393"/>
    <cellStyle name="Percent 2 22 2 3 4" xfId="28394"/>
    <cellStyle name="Percent 25 2 3 3 4" xfId="28395"/>
    <cellStyle name="Percent 25 2 2 2 3 4" xfId="28396"/>
    <cellStyle name="Percent 25 3 3 3 4" xfId="28397"/>
    <cellStyle name="Percent 25 3 2 2 3 4" xfId="28398"/>
    <cellStyle name="Percent 25 4 2 2 3 4" xfId="28399"/>
    <cellStyle name="Percent 25 5 2 3 4" xfId="28400"/>
    <cellStyle name="Percent 26 2 3 3 4" xfId="28401"/>
    <cellStyle name="Percent 26 2 2 2 3 4" xfId="28402"/>
    <cellStyle name="Percent 26 3 3 3 4" xfId="28403"/>
    <cellStyle name="Percent 26 3 2 2 3 4" xfId="28404"/>
    <cellStyle name="Percent 26 4 2 2 3 4" xfId="28405"/>
    <cellStyle name="Percent 26 5 2 3 4" xfId="28406"/>
    <cellStyle name="Percent 27 2 3 3 4" xfId="28407"/>
    <cellStyle name="Percent 27 2 2 2 3 4" xfId="28408"/>
    <cellStyle name="Percent 27 3 3 3 4" xfId="28409"/>
    <cellStyle name="Percent 27 3 2 2 3 4" xfId="28410"/>
    <cellStyle name="Percent 27 4 2 2 3 4" xfId="28411"/>
    <cellStyle name="Percent 27 5 2 3 4" xfId="28412"/>
    <cellStyle name="Percent 28 2 3 3 4" xfId="28413"/>
    <cellStyle name="Percent 28 2 2 2 3 4" xfId="28414"/>
    <cellStyle name="Percent 28 3 3 3 4" xfId="28415"/>
    <cellStyle name="Percent 28 3 2 2 3 4" xfId="28416"/>
    <cellStyle name="Percent 28 4 2 2 3 4" xfId="28417"/>
    <cellStyle name="Percent 28 5 2 3 4" xfId="28418"/>
    <cellStyle name="Percent 29 2 3 3 4" xfId="28419"/>
    <cellStyle name="Percent 29 2 2 2 3 4" xfId="28420"/>
    <cellStyle name="Percent 29 3 3 3 4" xfId="28421"/>
    <cellStyle name="Percent 29 3 2 2 3 4" xfId="28422"/>
    <cellStyle name="Percent 29 4 2 2 3 4" xfId="28423"/>
    <cellStyle name="Percent 29 5 2 3 4" xfId="28424"/>
    <cellStyle name="Percent 3 10 2 3 4" xfId="28425"/>
    <cellStyle name="Percent 3 11 2 3 4" xfId="28426"/>
    <cellStyle name="Percent 3 12 2 3 4" xfId="28427"/>
    <cellStyle name="Percent 3 13 2 3 4" xfId="28428"/>
    <cellStyle name="Percent 3 14 2 3 4" xfId="28429"/>
    <cellStyle name="Percent 3 15 2 3 4" xfId="28430"/>
    <cellStyle name="Percent 3 16 2 3 4" xfId="28431"/>
    <cellStyle name="Percent 3 17 2 3 4" xfId="28432"/>
    <cellStyle name="Percent 3 18 2 3 4" xfId="28433"/>
    <cellStyle name="Percent 3 19 2 3 4" xfId="28434"/>
    <cellStyle name="Percent 3 2 23 3 4" xfId="28435"/>
    <cellStyle name="Percent 3 2 10 2 3 4" xfId="28436"/>
    <cellStyle name="Percent 3 2 11 2 3 4" xfId="28437"/>
    <cellStyle name="Percent 3 2 12 2 3 4" xfId="28438"/>
    <cellStyle name="Percent 3 2 13 2 3 4" xfId="28439"/>
    <cellStyle name="Percent 3 2 14 2 3 4" xfId="28440"/>
    <cellStyle name="Percent 3 2 15 2 3 4" xfId="28441"/>
    <cellStyle name="Percent 3 2 16 2 3 4" xfId="28442"/>
    <cellStyle name="Percent 3 2 17 2 3 4" xfId="28443"/>
    <cellStyle name="Percent 3 2 18 2 3 4" xfId="28444"/>
    <cellStyle name="Percent 3 2 19 2 3 4" xfId="28445"/>
    <cellStyle name="Percent 3 2 2 2 2 3 4" xfId="28446"/>
    <cellStyle name="Percent 3 2 2 3 2 3 4" xfId="28447"/>
    <cellStyle name="Percent 3 2 2 4 2 3 4" xfId="28448"/>
    <cellStyle name="Percent 3 2 2 5 2 3 4" xfId="28449"/>
    <cellStyle name="Percent 3 2 20 2 3 4" xfId="28450"/>
    <cellStyle name="Percent 3 2 21 2 2 3 4" xfId="28451"/>
    <cellStyle name="Percent 3 2 3 6 3 4" xfId="28452"/>
    <cellStyle name="Percent 3 2 3 2 2 3 4" xfId="28453"/>
    <cellStyle name="Percent 3 2 3 3 2 3 4" xfId="28454"/>
    <cellStyle name="Percent 3 2 3 4 2 3 4" xfId="28455"/>
    <cellStyle name="Percent 3 2 3 5 2 3 4" xfId="28456"/>
    <cellStyle name="Percent 3 2 4 3 3 4" xfId="28457"/>
    <cellStyle name="Percent 3 2 4 2 2 3 4" xfId="28458"/>
    <cellStyle name="Percent 3 2 5 3 3 4" xfId="28459"/>
    <cellStyle name="Percent 3 2 5 2 2 3 4" xfId="28460"/>
    <cellStyle name="Percent 3 2 6 3 3 4" xfId="28461"/>
    <cellStyle name="Percent 3 2 6 2 2 3 4" xfId="28462"/>
    <cellStyle name="Percent 3 2 7 2 3 4" xfId="28463"/>
    <cellStyle name="Percent 3 2 8 2 3 4" xfId="28464"/>
    <cellStyle name="Percent 3 2 9 2 3 4" xfId="28465"/>
    <cellStyle name="Percent 3 20 2 3 4" xfId="28466"/>
    <cellStyle name="Percent 3 21 2 3 4" xfId="28467"/>
    <cellStyle name="Percent 3 3 2 2 3 4" xfId="28468"/>
    <cellStyle name="Percent 3 3 3 2 3 4" xfId="28469"/>
    <cellStyle name="Percent 3 3 4 2 3 4" xfId="28470"/>
    <cellStyle name="Percent 3 3 5 2 3 4" xfId="28471"/>
    <cellStyle name="Percent 3 4 6 3 4" xfId="28472"/>
    <cellStyle name="Percent 3 4 2 2 3 4" xfId="28473"/>
    <cellStyle name="Percent 3 4 3 2 3 4" xfId="28474"/>
    <cellStyle name="Percent 3 4 4 2 3 4" xfId="28475"/>
    <cellStyle name="Percent 3 4 5 2 3 4" xfId="28476"/>
    <cellStyle name="Percent 3 5 3 3 4" xfId="28477"/>
    <cellStyle name="Percent 3 5 2 2 3 4" xfId="28478"/>
    <cellStyle name="Percent 3 6 3 3 4" xfId="28479"/>
    <cellStyle name="Percent 3 6 2 2 3 4" xfId="28480"/>
    <cellStyle name="Percent 3 7 3 3 4" xfId="28481"/>
    <cellStyle name="Percent 3 7 2 2 3 4" xfId="28482"/>
    <cellStyle name="Percent 3 8 2 3 4" xfId="28483"/>
    <cellStyle name="Percent 3 9 2 3 4" xfId="28484"/>
    <cellStyle name="Percent 30 2 3 3 4" xfId="28485"/>
    <cellStyle name="Percent 30 2 2 2 3 4" xfId="28486"/>
    <cellStyle name="Percent 30 3 3 3 4" xfId="28487"/>
    <cellStyle name="Percent 30 3 2 2 3 4" xfId="28488"/>
    <cellStyle name="Percent 30 4 2 2 3 4" xfId="28489"/>
    <cellStyle name="Percent 30 5 2 3 4" xfId="28490"/>
    <cellStyle name="Percent 31 2 3 3 4" xfId="28491"/>
    <cellStyle name="Percent 31 2 2 2 3 4" xfId="28492"/>
    <cellStyle name="Percent 31 3 3 3 4" xfId="28493"/>
    <cellStyle name="Percent 31 3 2 2 3 4" xfId="28494"/>
    <cellStyle name="Percent 31 4 2 2 3 4" xfId="28495"/>
    <cellStyle name="Percent 31 5 2 3 4" xfId="28496"/>
    <cellStyle name="Percent 32 2 3 3 4" xfId="28497"/>
    <cellStyle name="Percent 32 2 2 2 3 4" xfId="28498"/>
    <cellStyle name="Percent 32 3 3 3 4" xfId="28499"/>
    <cellStyle name="Percent 32 3 2 2 3 4" xfId="28500"/>
    <cellStyle name="Percent 32 4 2 2 3 4" xfId="28501"/>
    <cellStyle name="Percent 32 5 2 3 4" xfId="28502"/>
    <cellStyle name="Percent 33 2 3 3 4" xfId="28503"/>
    <cellStyle name="Percent 33 2 2 2 3 4" xfId="28504"/>
    <cellStyle name="Percent 33 3 3 3 4" xfId="28505"/>
    <cellStyle name="Percent 33 3 2 2 3 4" xfId="28506"/>
    <cellStyle name="Percent 33 4 2 2 3 4" xfId="28507"/>
    <cellStyle name="Percent 33 5 2 3 4" xfId="28508"/>
    <cellStyle name="Percent 34 2 3 3 4" xfId="28509"/>
    <cellStyle name="Percent 34 2 2 2 3 4" xfId="28510"/>
    <cellStyle name="Percent 34 3 3 3 4" xfId="28511"/>
    <cellStyle name="Percent 34 3 2 2 3 4" xfId="28512"/>
    <cellStyle name="Percent 34 4 2 2 3 4" xfId="28513"/>
    <cellStyle name="Percent 34 5 2 3 4" xfId="28514"/>
    <cellStyle name="Percent 35 2 3 3 4" xfId="28515"/>
    <cellStyle name="Percent 35 2 2 2 3 4" xfId="28516"/>
    <cellStyle name="Percent 35 3 3 3 4" xfId="28517"/>
    <cellStyle name="Percent 35 3 2 2 3 4" xfId="28518"/>
    <cellStyle name="Percent 35 4 2 2 3 4" xfId="28519"/>
    <cellStyle name="Percent 35 5 2 3 4" xfId="28520"/>
    <cellStyle name="Currency 5 4 2 3 4" xfId="28521"/>
    <cellStyle name="Comma 5 7 2 3 4" xfId="28522"/>
    <cellStyle name="Percent 5 4 2 3 4" xfId="28523"/>
    <cellStyle name="Comma 6 5 2 3 4" xfId="28524"/>
    <cellStyle name="Currency 5 2 4 2 3 4" xfId="28525"/>
    <cellStyle name="Comma 5 2 4 2 3 4" xfId="28526"/>
    <cellStyle name="Percent 5 2 4 2 3 4" xfId="28527"/>
    <cellStyle name="Comma 6 2 3 2 3 4" xfId="28528"/>
    <cellStyle name="Currency 5 3 2 2 3 4" xfId="28529"/>
    <cellStyle name="Comma 5 3 2 2 3 4" xfId="28530"/>
    <cellStyle name="Percent 5 3 2 2 3 4" xfId="28531"/>
    <cellStyle name="Comma 6 3 4 2 3 4" xfId="28532"/>
    <cellStyle name="Normal 11 2 2 2 3 4" xfId="28533"/>
    <cellStyle name="Currency 5 2 2 2 2 3 4" xfId="28534"/>
    <cellStyle name="Comma 5 2 2 2 2 3 4" xfId="28535"/>
    <cellStyle name="Percent 5 2 2 2 2 3 4" xfId="28536"/>
    <cellStyle name="Comma 6 2 2 2 2 3 4" xfId="28537"/>
    <cellStyle name="Normal 52 2 4" xfId="28538"/>
    <cellStyle name="Comma 205 2 4" xfId="28539"/>
    <cellStyle name="Comma 206 2 4" xfId="28540"/>
    <cellStyle name="Currency 5 7 2 4" xfId="28541"/>
    <cellStyle name="Normal 8 27 2 4" xfId="28542"/>
    <cellStyle name="Comma 5 10 2 4 2" xfId="28543"/>
    <cellStyle name="Percent 5 7 2 4 2" xfId="28544"/>
    <cellStyle name="Comma 6 8 2 4" xfId="28545"/>
    <cellStyle name="Normal 11 6 2 4" xfId="28546"/>
    <cellStyle name="Currency 5 2 7 2 4" xfId="28547"/>
    <cellStyle name="Normal 8 2 8 2 4" xfId="28548"/>
    <cellStyle name="Comma 5 2 7 2 4" xfId="28549"/>
    <cellStyle name="Percent 5 2 7 2 4" xfId="28550"/>
    <cellStyle name="Comma 6 2 6 2 4" xfId="28551"/>
    <cellStyle name="Currency 5 3 5 2 4" xfId="28552"/>
    <cellStyle name="Normal 8 3 8 2 4" xfId="28553"/>
    <cellStyle name="Comma 5 3 5 2 4" xfId="28554"/>
    <cellStyle name="Percent 5 3 5 2 4" xfId="28555"/>
    <cellStyle name="Comma 6 3 7 2 4" xfId="28556"/>
    <cellStyle name="Normal 11 2 5 2 4" xfId="28557"/>
    <cellStyle name="Currency 5 2 2 5 2 4" xfId="28558"/>
    <cellStyle name="Normal 8 2 2 4 2 4" xfId="28559"/>
    <cellStyle name="Comma 5 2 2 5 2 4" xfId="28560"/>
    <cellStyle name="Percent 5 2 2 5 2 4" xfId="28561"/>
    <cellStyle name="Comma 6 2 2 4 2 4" xfId="28562"/>
    <cellStyle name="Normal 50 3 2 4" xfId="28563"/>
    <cellStyle name="Comma 186 3 2 4" xfId="28564"/>
    <cellStyle name="Percent 162 3 2 4" xfId="28565"/>
    <cellStyle name="Normal 2 24 3 2 4" xfId="28566"/>
    <cellStyle name="20% - Accent1 2 3 2 4" xfId="28567"/>
    <cellStyle name="20% - Accent1 3 3 2 4" xfId="28568"/>
    <cellStyle name="20% - Accent1 4 3 2 4" xfId="28569"/>
    <cellStyle name="20% - Accent1 5 3 2 4" xfId="28570"/>
    <cellStyle name="20% - Accent2 2 3 2 4" xfId="28571"/>
    <cellStyle name="20% - Accent2 3 3 2 4" xfId="28572"/>
    <cellStyle name="20% - Accent2 4 3 2 4" xfId="28573"/>
    <cellStyle name="20% - Accent2 5 3 2 4" xfId="28574"/>
    <cellStyle name="20% - Accent3 2 3 2 4" xfId="28575"/>
    <cellStyle name="20% - Accent3 3 3 2 4" xfId="28576"/>
    <cellStyle name="20% - Accent3 4 3 2 4" xfId="28577"/>
    <cellStyle name="20% - Accent3 5 3 2 4" xfId="28578"/>
    <cellStyle name="20% - Accent4 2 3 2 4" xfId="28579"/>
    <cellStyle name="20% - Accent4 3 3 2 4" xfId="28580"/>
    <cellStyle name="20% - Accent4 4 3 2 4" xfId="28581"/>
    <cellStyle name="20% - Accent4 5 3 2 4" xfId="28582"/>
    <cellStyle name="20% - Accent5 2 3 2 4" xfId="28583"/>
    <cellStyle name="20% - Accent5 3 3 2 4" xfId="28584"/>
    <cellStyle name="20% - Accent5 4 3 2 4" xfId="28585"/>
    <cellStyle name="20% - Accent6 2 3 2 4" xfId="28586"/>
    <cellStyle name="20% - Accent6 3 3 2 4" xfId="28587"/>
    <cellStyle name="20% - Accent6 4 3 2 4" xfId="28588"/>
    <cellStyle name="40% - Accent1 2 3 2 4" xfId="28589"/>
    <cellStyle name="40% - Accent1 3 3 2 4" xfId="28590"/>
    <cellStyle name="40% - Accent1 4 3 2 4" xfId="28591"/>
    <cellStyle name="40% - Accent1 5 3 2 4" xfId="28592"/>
    <cellStyle name="40% - Accent2 2 3 2 4" xfId="28593"/>
    <cellStyle name="40% - Accent2 3 3 2 4" xfId="28594"/>
    <cellStyle name="40% - Accent2 4 3 2 4" xfId="28595"/>
    <cellStyle name="40% - Accent3 2 3 2 4" xfId="28596"/>
    <cellStyle name="40% - Accent3 3 3 2 4" xfId="28597"/>
    <cellStyle name="40% - Accent3 4 3 2 4" xfId="28598"/>
    <cellStyle name="40% - Accent3 5 3 2 4" xfId="28599"/>
    <cellStyle name="40% - Accent4 2 3 2 4" xfId="28600"/>
    <cellStyle name="40% - Accent4 3 3 2 4" xfId="28601"/>
    <cellStyle name="40% - Accent4 4 3 2 4" xfId="28602"/>
    <cellStyle name="40% - Accent4 5 3 2 4" xfId="28603"/>
    <cellStyle name="40% - Accent5 2 3 2 4" xfId="28604"/>
    <cellStyle name="40% - Accent5 3 3 2 4" xfId="28605"/>
    <cellStyle name="40% - Accent5 4 3 2 4" xfId="28606"/>
    <cellStyle name="40% - Accent6 2 3 2 4" xfId="28607"/>
    <cellStyle name="40% - Accent6 3 3 2 4" xfId="28608"/>
    <cellStyle name="40% - Accent6 4 3 2 4" xfId="28609"/>
    <cellStyle name="40% - Accent6 5 3 2 4" xfId="28610"/>
    <cellStyle name="Comma 143 3 2 4" xfId="28611"/>
    <cellStyle name="Comma 144 3 2 4" xfId="28612"/>
    <cellStyle name="Comma 145 3 2 4" xfId="28613"/>
    <cellStyle name="Comma 146 3 2 4" xfId="28614"/>
    <cellStyle name="Comma 147 3 2 4" xfId="28615"/>
    <cellStyle name="Comma 148 3 2 4" xfId="28616"/>
    <cellStyle name="Comma 149 3 2 4" xfId="28617"/>
    <cellStyle name="Comma 150 3 2 4" xfId="28618"/>
    <cellStyle name="Comma 151 3 2 4" xfId="28619"/>
    <cellStyle name="Comma 152 3 2 4" xfId="28620"/>
    <cellStyle name="Comma 153 3 2 4" xfId="28621"/>
    <cellStyle name="Comma 182 3 2 4" xfId="28622"/>
    <cellStyle name="Comma 2 23 3 2 4" xfId="28623"/>
    <cellStyle name="Comma 2 2 10 3 2 4" xfId="28624"/>
    <cellStyle name="Comma 2 2 11 3 2 4" xfId="28625"/>
    <cellStyle name="Comma 2 2 12 3 2 4" xfId="28626"/>
    <cellStyle name="Comma 2 2 13 3 2 4" xfId="28627"/>
    <cellStyle name="Comma 2 2 14 3 2 4" xfId="28628"/>
    <cellStyle name="Comma 2 2 15 3 2 4" xfId="28629"/>
    <cellStyle name="Comma 2 2 16 3 2 4" xfId="28630"/>
    <cellStyle name="Comma 2 2 17 3 2 4" xfId="28631"/>
    <cellStyle name="Comma 2 2 2 2 7 2 4" xfId="28632"/>
    <cellStyle name="Comma 2 2 2 2 2 3 2 4" xfId="28633"/>
    <cellStyle name="Comma 2 2 2 2 3 3 2 4" xfId="28634"/>
    <cellStyle name="Comma 2 2 2 2 4 3 2 4" xfId="28635"/>
    <cellStyle name="Comma 2 2 2 2 5 3 2 4" xfId="28636"/>
    <cellStyle name="Comma 2 2 2 3 3 2 4" xfId="28637"/>
    <cellStyle name="Comma 2 2 2 4 3 2 4" xfId="28638"/>
    <cellStyle name="Comma 2 2 2 5 3 2 4" xfId="28639"/>
    <cellStyle name="Comma 2 2 2 6 3 2 4" xfId="28640"/>
    <cellStyle name="Comma 2 2 3 7 2 4" xfId="28641"/>
    <cellStyle name="Comma 2 2 3 2 2 3 2 4" xfId="28642"/>
    <cellStyle name="Comma 2 2 3 2 3 3 2 4" xfId="28643"/>
    <cellStyle name="Comma 2 2 3 2 4 3 2 4" xfId="28644"/>
    <cellStyle name="Comma 2 2 3 2 5 3 2 4" xfId="28645"/>
    <cellStyle name="Comma 2 2 3 3 3 2 4" xfId="28646"/>
    <cellStyle name="Comma 2 2 4 2 3 2 4" xfId="28647"/>
    <cellStyle name="Comma 2 2 5 3 2 4" xfId="28648"/>
    <cellStyle name="Comma 2 2 6 3 2 4" xfId="28649"/>
    <cellStyle name="Comma 2 2 7 3 2 4" xfId="28650"/>
    <cellStyle name="Comma 2 2 8 3 2 4" xfId="28651"/>
    <cellStyle name="Comma 2 2 9 3 2 4" xfId="28652"/>
    <cellStyle name="Comma 3 10 3 2 4" xfId="28653"/>
    <cellStyle name="Comma 3 11 3 2 4" xfId="28654"/>
    <cellStyle name="Comma 3 12 3 2 4" xfId="28655"/>
    <cellStyle name="Comma 3 13 3 2 4" xfId="28656"/>
    <cellStyle name="Comma 3 14 3 2 4" xfId="28657"/>
    <cellStyle name="Comma 3 15 3 2 4" xfId="28658"/>
    <cellStyle name="Comma 3 16 3 2 4" xfId="28659"/>
    <cellStyle name="Comma 3 17 3 2 4" xfId="28660"/>
    <cellStyle name="Comma 3 18 3 2 4" xfId="28661"/>
    <cellStyle name="Comma 3 19 3 2 4" xfId="28662"/>
    <cellStyle name="Comma 3 2 2 3 2 4" xfId="28663"/>
    <cellStyle name="Comma 3 2 3 3 2 4" xfId="28664"/>
    <cellStyle name="Comma 3 2 4 3 2 4" xfId="28665"/>
    <cellStyle name="Comma 3 2 5 3 2 4" xfId="28666"/>
    <cellStyle name="Comma 3 20 3 2 4" xfId="28667"/>
    <cellStyle name="Comma 3 21 3 2 4" xfId="28668"/>
    <cellStyle name="Comma 3 3 7 2 4" xfId="28669"/>
    <cellStyle name="Comma 3 3 2 3 2 4" xfId="28670"/>
    <cellStyle name="Comma 3 3 3 3 2 4" xfId="28671"/>
    <cellStyle name="Comma 3 3 4 3 2 4" xfId="28672"/>
    <cellStyle name="Comma 3 3 5 3 2 4" xfId="28673"/>
    <cellStyle name="Comma 3 4 4 2 4" xfId="28674"/>
    <cellStyle name="Comma 3 4 2 3 2 4" xfId="28675"/>
    <cellStyle name="Comma 3 5 4 2 4" xfId="28676"/>
    <cellStyle name="Comma 3 5 2 3 2 4" xfId="28677"/>
    <cellStyle name="Comma 3 6 4 2 4" xfId="28678"/>
    <cellStyle name="Comma 3 6 2 3 2 4" xfId="28679"/>
    <cellStyle name="Comma 3 7 3 2 4" xfId="28680"/>
    <cellStyle name="Comma 3 8 3 2 4" xfId="28681"/>
    <cellStyle name="Comma 3 9 3 2 4" xfId="28682"/>
    <cellStyle name="Currency 120 3 2 4" xfId="28683"/>
    <cellStyle name="Currency 121 3 2 4" xfId="28684"/>
    <cellStyle name="Currency 122 3 2 4" xfId="28685"/>
    <cellStyle name="Currency 123 3 2 4" xfId="28686"/>
    <cellStyle name="Currency 124 3 2 4" xfId="28687"/>
    <cellStyle name="Currency 125 3 2 4" xfId="28688"/>
    <cellStyle name="Currency 126 3 2 4" xfId="28689"/>
    <cellStyle name="Currency 127 3 2 4" xfId="28690"/>
    <cellStyle name="Currency 128 3 2 4" xfId="28691"/>
    <cellStyle name="Currency 129 3 2 4" xfId="28692"/>
    <cellStyle name="Currency 130 3 2 4" xfId="28693"/>
    <cellStyle name="Currency 159 3 2 4" xfId="28694"/>
    <cellStyle name="Currency 2 27 3 2 4" xfId="28695"/>
    <cellStyle name="Currency 2 2 20 3 2 4" xfId="28696"/>
    <cellStyle name="Currency 2 2 10 3 2 4" xfId="28697"/>
    <cellStyle name="Currency 2 2 11 3 2 4" xfId="28698"/>
    <cellStyle name="Currency 2 2 12 3 2 4" xfId="28699"/>
    <cellStyle name="Currency 2 2 13 3 2 4" xfId="28700"/>
    <cellStyle name="Currency 2 2 14 3 2 4" xfId="28701"/>
    <cellStyle name="Currency 2 2 15 3 2 4" xfId="28702"/>
    <cellStyle name="Currency 2 2 16 3 2 4" xfId="28703"/>
    <cellStyle name="Currency 2 2 17 3 2 4" xfId="28704"/>
    <cellStyle name="Currency 2 2 18 3 2 4" xfId="28705"/>
    <cellStyle name="Currency 2 2 2 2 3 2 4" xfId="28706"/>
    <cellStyle name="Currency 2 2 2 3 3 2 4" xfId="28707"/>
    <cellStyle name="Currency 2 2 2 4 3 2 4" xfId="28708"/>
    <cellStyle name="Currency 2 2 2 5 3 2 4" xfId="28709"/>
    <cellStyle name="Currency 2 2 3 7 2 4" xfId="28710"/>
    <cellStyle name="Currency 2 2 3 2 3 2 4" xfId="28711"/>
    <cellStyle name="Currency 2 2 3 3 3 2 4" xfId="28712"/>
    <cellStyle name="Currency 2 2 3 4 3 2 4" xfId="28713"/>
    <cellStyle name="Currency 2 2 3 5 3 2 4" xfId="28714"/>
    <cellStyle name="Currency 2 2 4 3 2 4" xfId="28715"/>
    <cellStyle name="Currency 2 2 5 3 2 4" xfId="28716"/>
    <cellStyle name="Currency 2 2 6 3 2 4" xfId="28717"/>
    <cellStyle name="Currency 2 2 7 3 2 4" xfId="28718"/>
    <cellStyle name="Currency 2 2 8 3 2 4" xfId="28719"/>
    <cellStyle name="Currency 2 2 9 3 2 4" xfId="28720"/>
    <cellStyle name="Currency 3 10 3 2 4" xfId="28721"/>
    <cellStyle name="Currency 3 11 3 2 4" xfId="28722"/>
    <cellStyle name="Currency 3 12 3 2 4" xfId="28723"/>
    <cellStyle name="Currency 3 13 3 2 4" xfId="28724"/>
    <cellStyle name="Currency 3 14 3 2 4" xfId="28725"/>
    <cellStyle name="Currency 3 15 3 2 4" xfId="28726"/>
    <cellStyle name="Currency 3 16 3 2 4" xfId="28727"/>
    <cellStyle name="Currency 3 17 3 2 4" xfId="28728"/>
    <cellStyle name="Currency 3 18 3 2 4" xfId="28729"/>
    <cellStyle name="Currency 3 19 3 2 4" xfId="28730"/>
    <cellStyle name="Currency 3 2 2 3 2 4" xfId="28731"/>
    <cellStyle name="Currency 3 2 3 3 2 4" xfId="28732"/>
    <cellStyle name="Currency 3 2 4 3 2 4" xfId="28733"/>
    <cellStyle name="Currency 3 2 5 3 2 4" xfId="28734"/>
    <cellStyle name="Currency 3 20 3 2 4" xfId="28735"/>
    <cellStyle name="Currency 3 21 3 2 4" xfId="28736"/>
    <cellStyle name="Currency 3 3 9 2 4" xfId="28737"/>
    <cellStyle name="Currency 3 3 2 3 2 4" xfId="28738"/>
    <cellStyle name="Currency 3 3 3 3 2 4" xfId="28739"/>
    <cellStyle name="Currency 3 3 4 3 2 4" xfId="28740"/>
    <cellStyle name="Currency 3 3 5 3 2 4" xfId="28741"/>
    <cellStyle name="Currency 3 3 6 3 2 4" xfId="28742"/>
    <cellStyle name="Currency 3 4 4 2 4" xfId="28743"/>
    <cellStyle name="Currency 3 4 2 3 2 4" xfId="28744"/>
    <cellStyle name="Currency 3 5 4 2 4" xfId="28745"/>
    <cellStyle name="Currency 3 5 2 3 2 4" xfId="28746"/>
    <cellStyle name="Currency 3 6 4 2 4" xfId="28747"/>
    <cellStyle name="Currency 3 6 2 3 2 4" xfId="28748"/>
    <cellStyle name="Currency 3 7 3 2 4" xfId="28749"/>
    <cellStyle name="Currency 3 8 3 2 4" xfId="28750"/>
    <cellStyle name="Currency 3 9 3 2 4" xfId="28751"/>
    <cellStyle name="Normal 10 3 7 2 4" xfId="28752"/>
    <cellStyle name="Normal 10 3 2 6 2 4" xfId="28753"/>
    <cellStyle name="Normal 10 3 2 2 4 2 4" xfId="28754"/>
    <cellStyle name="Normal 10 3 2 2 2 3 2 4" xfId="28755"/>
    <cellStyle name="Normal 10 3 2 3 4 2 4" xfId="28756"/>
    <cellStyle name="Normal 10 3 2 3 2 3 2 4" xfId="28757"/>
    <cellStyle name="Normal 10 3 2 4 3 2 4" xfId="28758"/>
    <cellStyle name="Normal 10 3 3 4 2 4" xfId="28759"/>
    <cellStyle name="Normal 10 3 3 2 3 2 4" xfId="28760"/>
    <cellStyle name="Normal 10 3 4 4 2 4" xfId="28761"/>
    <cellStyle name="Normal 10 3 4 2 3 2 4" xfId="28762"/>
    <cellStyle name="Normal 10 3 5 3 2 4" xfId="28763"/>
    <cellStyle name="Normal 10 4 6 2 4" xfId="28764"/>
    <cellStyle name="Normal 10 4 2 4 2 4" xfId="28765"/>
    <cellStyle name="Normal 10 4 2 2 3 2 4" xfId="28766"/>
    <cellStyle name="Normal 10 4 3 4 2 4" xfId="28767"/>
    <cellStyle name="Normal 10 4 3 2 3 2 4" xfId="28768"/>
    <cellStyle name="Normal 10 4 4 3 2 4" xfId="28769"/>
    <cellStyle name="Normal 10 5 6 2 4" xfId="28770"/>
    <cellStyle name="Normal 10 5 2 4 2 4" xfId="28771"/>
    <cellStyle name="Normal 10 5 2 2 3 2 4" xfId="28772"/>
    <cellStyle name="Normal 10 5 3 4 2 4" xfId="28773"/>
    <cellStyle name="Normal 10 5 3 2 3 2 4" xfId="28774"/>
    <cellStyle name="Normal 10 5 4 3 2 4" xfId="28775"/>
    <cellStyle name="Normal 10 6 4 2 4" xfId="28776"/>
    <cellStyle name="Normal 10 6 2 3 2 4" xfId="28777"/>
    <cellStyle name="Normal 10 7 4 2 4" xfId="28778"/>
    <cellStyle name="Normal 10 7 2 3 2 4" xfId="28779"/>
    <cellStyle name="Normal 10 8 2 3 2 4" xfId="28780"/>
    <cellStyle name="Normal 10 9 3 2 4" xfId="28781"/>
    <cellStyle name="Normal 11 4 3 2 4" xfId="28782"/>
    <cellStyle name="Normal 11 3 3 2 4" xfId="28783"/>
    <cellStyle name="Normal 12 9 2 4" xfId="28784"/>
    <cellStyle name="Normal 12 2 2 6 2 4" xfId="28785"/>
    <cellStyle name="Normal 12 2 2 2 4 2 4" xfId="28786"/>
    <cellStyle name="Normal 12 2 2 2 2 3 2 4" xfId="28787"/>
    <cellStyle name="Normal 12 2 2 3 4 2 4" xfId="28788"/>
    <cellStyle name="Normal 12 2 2 3 2 3 2 4" xfId="28789"/>
    <cellStyle name="Normal 12 2 2 4 3 2 4" xfId="28790"/>
    <cellStyle name="Normal 12 2 3 4 2 4" xfId="28791"/>
    <cellStyle name="Normal 12 2 3 2 3 2 4" xfId="28792"/>
    <cellStyle name="Normal 12 2 4 4 2 4" xfId="28793"/>
    <cellStyle name="Normal 12 2 4 2 3 2 4" xfId="28794"/>
    <cellStyle name="Normal 12 2 5 2 3 2 4" xfId="28795"/>
    <cellStyle name="Normal 12 2 6 3 2 4" xfId="28796"/>
    <cellStyle name="Normal 12 3 6 2 4" xfId="28797"/>
    <cellStyle name="Normal 12 3 2 4 2 4" xfId="28798"/>
    <cellStyle name="Normal 12 3 2 2 3 2 4" xfId="28799"/>
    <cellStyle name="Normal 12 3 3 4 2 4" xfId="28800"/>
    <cellStyle name="Normal 12 3 3 2 3 2 4" xfId="28801"/>
    <cellStyle name="Normal 12 3 4 3 2 4" xfId="28802"/>
    <cellStyle name="Normal 12 4 6 2 4" xfId="28803"/>
    <cellStyle name="Normal 12 4 2 4 2 4" xfId="28804"/>
    <cellStyle name="Normal 12 4 2 2 3 2 4" xfId="28805"/>
    <cellStyle name="Normal 12 4 3 4 2 4" xfId="28806"/>
    <cellStyle name="Normal 12 4 3 2 3 2 4" xfId="28807"/>
    <cellStyle name="Normal 12 4 4 3 2 4" xfId="28808"/>
    <cellStyle name="Normal 12 5 4 2 4" xfId="28809"/>
    <cellStyle name="Normal 12 5 2 3 2 4" xfId="28810"/>
    <cellStyle name="Normal 12 6 4 2 4" xfId="28811"/>
    <cellStyle name="Normal 12 6 2 3 2 4" xfId="28812"/>
    <cellStyle name="Normal 12 7 3 2 4" xfId="28813"/>
    <cellStyle name="Normal 15 7 2 4" xfId="28814"/>
    <cellStyle name="Normal 15 3 3 2 4" xfId="28815"/>
    <cellStyle name="Normal 16 2 6 2 4" xfId="28816"/>
    <cellStyle name="Normal 16 2 2 4 2 4" xfId="28817"/>
    <cellStyle name="Normal 16 2 2 2 3 2 4" xfId="28818"/>
    <cellStyle name="Normal 16 2 3 4 2 4" xfId="28819"/>
    <cellStyle name="Normal 16 2 3 2 3 2 4" xfId="28820"/>
    <cellStyle name="Normal 16 2 4 3 2 4" xfId="28821"/>
    <cellStyle name="Normal 16 3 4 2 4" xfId="28822"/>
    <cellStyle name="Normal 16 3 2 3 2 4" xfId="28823"/>
    <cellStyle name="Normal 16 4 4 2 4" xfId="28824"/>
    <cellStyle name="Normal 16 4 2 3 2 4" xfId="28825"/>
    <cellStyle name="Normal 16 5 2 3 2 4" xfId="28826"/>
    <cellStyle name="Normal 16 6 3 2 4" xfId="28827"/>
    <cellStyle name="Normal 17 2 6 2 4" xfId="28828"/>
    <cellStyle name="Normal 17 2 2 4 2 4" xfId="28829"/>
    <cellStyle name="Normal 17 2 2 2 3 2 4" xfId="28830"/>
    <cellStyle name="Normal 17 2 3 4 2 4" xfId="28831"/>
    <cellStyle name="Normal 17 2 3 2 3 2 4" xfId="28832"/>
    <cellStyle name="Normal 17 2 4 3 2 4" xfId="28833"/>
    <cellStyle name="Normal 17 3 4 2 4" xfId="28834"/>
    <cellStyle name="Normal 17 3 2 3 2 4" xfId="28835"/>
    <cellStyle name="Normal 17 4 4 2 4" xfId="28836"/>
    <cellStyle name="Normal 17 4 2 3 2 4" xfId="28837"/>
    <cellStyle name="Normal 17 5 2 3 2 4" xfId="28838"/>
    <cellStyle name="Normal 17 6 3 2 4" xfId="28839"/>
    <cellStyle name="Normal 2 10 3 3 2 4" xfId="28840"/>
    <cellStyle name="Normal 2 11 3 3 2 4" xfId="28841"/>
    <cellStyle name="Normal 2 12 3 3 2 4" xfId="28842"/>
    <cellStyle name="Normal 2 13 3 3 2 4" xfId="28843"/>
    <cellStyle name="Normal 2 14 3 3 2 4" xfId="28844"/>
    <cellStyle name="Normal 2 15 3 3 2 4" xfId="28845"/>
    <cellStyle name="Normal 2 16 3 3 2 4" xfId="28846"/>
    <cellStyle name="Normal 2 17 3 3 2 4" xfId="28847"/>
    <cellStyle name="Normal 2 18 3 3 2 4" xfId="28848"/>
    <cellStyle name="Normal 2 19 3 3 2 4" xfId="28849"/>
    <cellStyle name="Normal 2 2 10 3 2 4" xfId="28850"/>
    <cellStyle name="Normal 2 2 11 3 2 4" xfId="28851"/>
    <cellStyle name="Normal 2 2 12 3 2 4" xfId="28852"/>
    <cellStyle name="Normal 2 2 13 3 2 4" xfId="28853"/>
    <cellStyle name="Normal 2 2 14 3 2 4" xfId="28854"/>
    <cellStyle name="Normal 2 2 15 3 2 4" xfId="28855"/>
    <cellStyle name="Normal 2 2 16 3 2 4" xfId="28856"/>
    <cellStyle name="Normal 2 2 17 3 2 4" xfId="28857"/>
    <cellStyle name="Normal 2 2 18 3 2 4" xfId="28858"/>
    <cellStyle name="Normal 2 2 19 3 2 4" xfId="28859"/>
    <cellStyle name="Normal 2 2 2 2 7 2 4" xfId="28860"/>
    <cellStyle name="Normal 2 2 2 2 2 4 2 4" xfId="28861"/>
    <cellStyle name="Normal 2 2 2 2 2 2 3 2 4" xfId="28862"/>
    <cellStyle name="Normal 2 2 2 2 3 3 2 4" xfId="28863"/>
    <cellStyle name="Normal 2 2 2 2 4 3 2 4" xfId="28864"/>
    <cellStyle name="Normal 2 2 2 2 5 3 2 4" xfId="28865"/>
    <cellStyle name="Normal 2 2 20 3 2 4" xfId="28866"/>
    <cellStyle name="Normal 2 2 21 3 2 4" xfId="28867"/>
    <cellStyle name="Normal 2 2 22 3 2 4" xfId="28868"/>
    <cellStyle name="Normal 2 2 3 10 2 4" xfId="28869"/>
    <cellStyle name="Normal 2 2 3 2 3 2 4" xfId="28870"/>
    <cellStyle name="Normal 2 2 3 3 3 2 4" xfId="28871"/>
    <cellStyle name="Normal 2 2 3 4 3 2 4" xfId="28872"/>
    <cellStyle name="Normal 2 2 3 5 3 2 4" xfId="28873"/>
    <cellStyle name="Normal 2 2 3 6 3 2 4" xfId="28874"/>
    <cellStyle name="Normal 2 2 4 6 2 4" xfId="28875"/>
    <cellStyle name="Normal 2 2 4 2 3 2 4" xfId="28876"/>
    <cellStyle name="Normal 2 2 5 5 2 4" xfId="28877"/>
    <cellStyle name="Normal 2 2 5 2 3 2 4" xfId="28878"/>
    <cellStyle name="Normal 2 2 6 3 2 4" xfId="28879"/>
    <cellStyle name="Normal 2 2 7 3 2 4" xfId="28880"/>
    <cellStyle name="Normal 2 2 8 3 2 4" xfId="28881"/>
    <cellStyle name="Normal 2 2 9 3 2 4" xfId="28882"/>
    <cellStyle name="Normal 2 20 3 2 4" xfId="28883"/>
    <cellStyle name="Normal 2 3 2 4 2 4" xfId="28884"/>
    <cellStyle name="Normal 2 3 3 3 2 4" xfId="28885"/>
    <cellStyle name="Normal 2 3 4 3 2 4" xfId="28886"/>
    <cellStyle name="Normal 2 3 5 3 2 4" xfId="28887"/>
    <cellStyle name="Normal 2 3 6 3 2 4" xfId="28888"/>
    <cellStyle name="Normal 2 4 5 3 2 4" xfId="28889"/>
    <cellStyle name="Normal 2 4 2 3 2 4" xfId="28890"/>
    <cellStyle name="Normal 2 5 3 3 2 4" xfId="28891"/>
    <cellStyle name="Normal 2 6 3 3 2 4" xfId="28892"/>
    <cellStyle name="Normal 2 7 3 3 2 4" xfId="28893"/>
    <cellStyle name="Normal 2 8 3 3 2 4" xfId="28894"/>
    <cellStyle name="Normal 2 9 3 3 2 4" xfId="28895"/>
    <cellStyle name="Normal 21 10 2 4" xfId="28896"/>
    <cellStyle name="Normal 21 2 8 2 4" xfId="28897"/>
    <cellStyle name="Normal 21 2 2 3 2 4" xfId="28898"/>
    <cellStyle name="Normal 21 2 3 3 2 4" xfId="28899"/>
    <cellStyle name="Normal 21 2 4 3 2 4" xfId="28900"/>
    <cellStyle name="Normal 21 2 5 3 2 4" xfId="28901"/>
    <cellStyle name="Normal 21 2 6 3 2 4" xfId="28902"/>
    <cellStyle name="Normal 21 3 4 2 4" xfId="28903"/>
    <cellStyle name="Normal 21 3 2 3 2 4" xfId="28904"/>
    <cellStyle name="Normal 21 4 3 2 4" xfId="28905"/>
    <cellStyle name="Normal 21 5 3 2 4" xfId="28906"/>
    <cellStyle name="Normal 21 6 3 2 4" xfId="28907"/>
    <cellStyle name="Normal 21 8 3 2 4" xfId="28908"/>
    <cellStyle name="Normal 22 9 2 4" xfId="28909"/>
    <cellStyle name="Normal 22 2 8 2 4" xfId="28910"/>
    <cellStyle name="Normal 22 2 2 3 2 4" xfId="28911"/>
    <cellStyle name="Normal 22 2 3 3 2 4" xfId="28912"/>
    <cellStyle name="Normal 22 2 4 3 2 4" xfId="28913"/>
    <cellStyle name="Normal 22 2 5 3 2 4" xfId="28914"/>
    <cellStyle name="Normal 22 3 3 2 4" xfId="28915"/>
    <cellStyle name="Normal 22 4 3 2 4" xfId="28916"/>
    <cellStyle name="Normal 22 5 3 2 4" xfId="28917"/>
    <cellStyle name="Normal 22 6 3 2 4" xfId="28918"/>
    <cellStyle name="Normal 23 9 2 4" xfId="28919"/>
    <cellStyle name="Normal 23 2 7 2 4" xfId="28920"/>
    <cellStyle name="Normal 23 2 2 3 2 4" xfId="28921"/>
    <cellStyle name="Normal 23 2 3 3 2 4" xfId="28922"/>
    <cellStyle name="Normal 23 2 4 3 2 4" xfId="28923"/>
    <cellStyle name="Normal 23 2 5 3 2 4" xfId="28924"/>
    <cellStyle name="Normal 23 3 3 2 4" xfId="28925"/>
    <cellStyle name="Normal 23 4 3 2 4" xfId="28926"/>
    <cellStyle name="Normal 23 5 3 2 4" xfId="28927"/>
    <cellStyle name="Normal 23 6 3 2 4" xfId="28928"/>
    <cellStyle name="Normal 24 9 2 4" xfId="28929"/>
    <cellStyle name="Normal 24 2 7 2 4" xfId="28930"/>
    <cellStyle name="Normal 24 2 2 3 2 4" xfId="28931"/>
    <cellStyle name="Normal 24 2 3 3 2 4" xfId="28932"/>
    <cellStyle name="Normal 24 2 4 3 2 4" xfId="28933"/>
    <cellStyle name="Normal 24 2 5 3 2 4" xfId="28934"/>
    <cellStyle name="Normal 24 3 3 2 4" xfId="28935"/>
    <cellStyle name="Normal 24 4 3 2 4" xfId="28936"/>
    <cellStyle name="Normal 24 5 3 2 4" xfId="28937"/>
    <cellStyle name="Normal 24 6 3 2 4" xfId="28938"/>
    <cellStyle name="Normal 26 9 2 4" xfId="28939"/>
    <cellStyle name="Normal 26 2 7 2 4" xfId="28940"/>
    <cellStyle name="Normal 26 2 2 3 2 4" xfId="28941"/>
    <cellStyle name="Normal 26 2 3 3 2 4" xfId="28942"/>
    <cellStyle name="Normal 26 2 4 3 2 4" xfId="28943"/>
    <cellStyle name="Normal 26 2 5 3 2 4" xfId="28944"/>
    <cellStyle name="Normal 26 3 3 2 4" xfId="28945"/>
    <cellStyle name="Normal 26 4 3 2 4" xfId="28946"/>
    <cellStyle name="Normal 26 5 3 2 4" xfId="28947"/>
    <cellStyle name="Normal 26 6 3 2 4" xfId="28948"/>
    <cellStyle name="Normal 3 10 3 2 4" xfId="28949"/>
    <cellStyle name="Normal 3 11 3 2 4" xfId="28950"/>
    <cellStyle name="Normal 3 12 3 2 4" xfId="28951"/>
    <cellStyle name="Normal 3 13 3 2 4" xfId="28952"/>
    <cellStyle name="Normal 3 14 3 2 4" xfId="28953"/>
    <cellStyle name="Normal 3 15 3 2 4" xfId="28954"/>
    <cellStyle name="Normal 3 16 3 2 4" xfId="28955"/>
    <cellStyle name="Normal 3 17 3 2 4" xfId="28956"/>
    <cellStyle name="Normal 3 18 3 2 4" xfId="28957"/>
    <cellStyle name="Normal 3 19 3 2 4" xfId="28958"/>
    <cellStyle name="Normal 3 2 2 3 2 4" xfId="28959"/>
    <cellStyle name="Normal 3 2 3 3 2 4" xfId="28960"/>
    <cellStyle name="Normal 3 2 4 3 2 4" xfId="28961"/>
    <cellStyle name="Normal 3 2 5 3 2 4" xfId="28962"/>
    <cellStyle name="Normal 3 2 6 3 2 4" xfId="28963"/>
    <cellStyle name="Normal 3 20 3 2 4" xfId="28964"/>
    <cellStyle name="Normal 3 21 3 2 4" xfId="28965"/>
    <cellStyle name="Normal 3 22 3 2 4" xfId="28966"/>
    <cellStyle name="Normal 3 23 3 2 4" xfId="28967"/>
    <cellStyle name="Normal 3 24 3 2 4" xfId="28968"/>
    <cellStyle name="Normal 3 3 6 2 4" xfId="28969"/>
    <cellStyle name="Normal 3 3 2 3 2 4" xfId="28970"/>
    <cellStyle name="Normal 3 3 3 3 2 4" xfId="28971"/>
    <cellStyle name="Normal 3 4 4 2 4" xfId="28972"/>
    <cellStyle name="Normal 3 4 2 3 2 4" xfId="28973"/>
    <cellStyle name="Normal 3 5 4 2 4" xfId="28974"/>
    <cellStyle name="Normal 3 5 2 3 2 4" xfId="28975"/>
    <cellStyle name="Normal 3 6 3 2 4" xfId="28976"/>
    <cellStyle name="Normal 3 7 3 2 4" xfId="28977"/>
    <cellStyle name="Normal 3 8 3 2 4" xfId="28978"/>
    <cellStyle name="Normal 3 9 3 2 4" xfId="28979"/>
    <cellStyle name="Normal 4 2 10 3 2 4" xfId="28980"/>
    <cellStyle name="Normal 4 2 11 3 2 4" xfId="28981"/>
    <cellStyle name="Normal 4 2 12 3 2 4" xfId="28982"/>
    <cellStyle name="Normal 4 2 13 3 2 4" xfId="28983"/>
    <cellStyle name="Normal 4 2 14 3 2 4" xfId="28984"/>
    <cellStyle name="Normal 4 2 15 3 2 4" xfId="28985"/>
    <cellStyle name="Normal 4 2 16 3 2 4" xfId="28986"/>
    <cellStyle name="Normal 4 2 17 3 2 4" xfId="28987"/>
    <cellStyle name="Normal 4 2 18 3 2 4" xfId="28988"/>
    <cellStyle name="Normal 4 2 19 3 2 4" xfId="28989"/>
    <cellStyle name="Normal 4 2 2 7 2 4" xfId="28990"/>
    <cellStyle name="Normal 4 2 2 2 3 2 4" xfId="28991"/>
    <cellStyle name="Normal 4 2 2 3 3 2 4" xfId="28992"/>
    <cellStyle name="Normal 4 2 2 4 3 2 4" xfId="28993"/>
    <cellStyle name="Normal 4 2 2 5 3 2 4" xfId="28994"/>
    <cellStyle name="Normal 4 2 20 3 2 4" xfId="28995"/>
    <cellStyle name="Normal 4 2 21 3 2 4" xfId="28996"/>
    <cellStyle name="Normal 4 2 22 3 2 4" xfId="28997"/>
    <cellStyle name="Normal 4 2 23 3 2 4" xfId="28998"/>
    <cellStyle name="Normal 4 2 24 3 2 4" xfId="28999"/>
    <cellStyle name="Normal 4 2 3 4 2 4" xfId="29000"/>
    <cellStyle name="Normal 4 2 3 2 3 2 4" xfId="29001"/>
    <cellStyle name="Normal 4 2 4 4 2 4" xfId="29002"/>
    <cellStyle name="Normal 4 2 4 2 3 2 4" xfId="29003"/>
    <cellStyle name="Normal 4 2 5 4 2 4" xfId="29004"/>
    <cellStyle name="Normal 4 2 5 2 3 2 4" xfId="29005"/>
    <cellStyle name="Normal 4 2 6 3 2 4" xfId="29006"/>
    <cellStyle name="Normal 4 2 7 3 2 4" xfId="29007"/>
    <cellStyle name="Normal 4 2 8 3 2 4" xfId="29008"/>
    <cellStyle name="Normal 4 2 9 3 2 4" xfId="29009"/>
    <cellStyle name="Normal 4 3 8 2 4" xfId="29010"/>
    <cellStyle name="Normal 4 3 2 7 2 4" xfId="29011"/>
    <cellStyle name="Normal 4 3 2 2 6 2 4" xfId="29012"/>
    <cellStyle name="Normal 4 3 2 2 2 4 2 4" xfId="29013"/>
    <cellStyle name="Normal 4 3 2 2 2 2 3 2 4" xfId="29014"/>
    <cellStyle name="Normal 4 3 2 2 3 4 2 4" xfId="29015"/>
    <cellStyle name="Normal 4 3 2 2 3 2 3 2 4" xfId="29016"/>
    <cellStyle name="Normal 4 3 2 2 4 3 2 4" xfId="29017"/>
    <cellStyle name="Normal 4 3 2 3 4 2 4" xfId="29018"/>
    <cellStyle name="Normal 4 3 2 3 2 3 2 4" xfId="29019"/>
    <cellStyle name="Normal 4 3 2 4 4 2 4" xfId="29020"/>
    <cellStyle name="Normal 4 3 2 4 2 3 2 4" xfId="29021"/>
    <cellStyle name="Normal 4 3 2 5 3 2 4" xfId="29022"/>
    <cellStyle name="Normal 4 3 3 6 2 4" xfId="29023"/>
    <cellStyle name="Normal 4 3 3 2 4 2 4" xfId="29024"/>
    <cellStyle name="Normal 4 3 3 2 2 3 2 4" xfId="29025"/>
    <cellStyle name="Normal 4 3 3 3 4 2 4" xfId="29026"/>
    <cellStyle name="Normal 4 3 3 3 2 3 2 4" xfId="29027"/>
    <cellStyle name="Normal 4 3 3 4 3 2 4" xfId="29028"/>
    <cellStyle name="Normal 4 3 4 4 2 4" xfId="29029"/>
    <cellStyle name="Normal 4 3 4 2 3 2 4" xfId="29030"/>
    <cellStyle name="Normal 4 3 5 4 2 4" xfId="29031"/>
    <cellStyle name="Normal 4 3 5 2 3 2 4" xfId="29032"/>
    <cellStyle name="Normal 4 3 6 3 2 4" xfId="29033"/>
    <cellStyle name="Normal 4 4 5 2 4" xfId="29034"/>
    <cellStyle name="Normal 4 4 2 3 2 4" xfId="29035"/>
    <cellStyle name="Normal 4 5 3 2 4" xfId="29036"/>
    <cellStyle name="Normal 4 6 3 2 4" xfId="29037"/>
    <cellStyle name="Normal 4 7 3 2 4" xfId="29038"/>
    <cellStyle name="Normal 4 8 3 2 4" xfId="29039"/>
    <cellStyle name="Normal 41 2 3 2 4" xfId="29040"/>
    <cellStyle name="Normal 46 3 2 4" xfId="29041"/>
    <cellStyle name="Normal 5 28 3 2 4" xfId="29042"/>
    <cellStyle name="Normal 5 2 8 2 4" xfId="29043"/>
    <cellStyle name="Normal 5 2 2 2 2 3 2 4" xfId="29044"/>
    <cellStyle name="Normal 5 2 2 3 3 2 4" xfId="29045"/>
    <cellStyle name="Normal 5 2 3 2 2 3 2 4" xfId="29046"/>
    <cellStyle name="Normal 5 2 3 3 3 2 4" xfId="29047"/>
    <cellStyle name="Normal 5 2 4 2 3 2 4" xfId="29048"/>
    <cellStyle name="Normal 5 2 6 3 2 4" xfId="29049"/>
    <cellStyle name="Normal 5 24 3 2 4" xfId="29050"/>
    <cellStyle name="Normal 5 3 4 2 4" xfId="29051"/>
    <cellStyle name="Normal 5 4 4 2 4" xfId="29052"/>
    <cellStyle name="Normal 5 5 4 2 4" xfId="29053"/>
    <cellStyle name="Normal 5 6 4 2 4" xfId="29054"/>
    <cellStyle name="Normal 5 7 4 2 4" xfId="29055"/>
    <cellStyle name="Normal 7 25 3 2 4" xfId="29056"/>
    <cellStyle name="Normal 7 10 3 2 4" xfId="29057"/>
    <cellStyle name="Normal 7 11 3 2 4" xfId="29058"/>
    <cellStyle name="Normal 7 12 3 2 4" xfId="29059"/>
    <cellStyle name="Normal 7 13 3 2 4" xfId="29060"/>
    <cellStyle name="Normal 7 14 3 2 4" xfId="29061"/>
    <cellStyle name="Normal 7 15 3 2 4" xfId="29062"/>
    <cellStyle name="Normal 7 16 3 2 4" xfId="29063"/>
    <cellStyle name="Normal 7 17 3 2 4" xfId="29064"/>
    <cellStyle name="Normal 7 18 3 2 4" xfId="29065"/>
    <cellStyle name="Normal 7 19 3 2 4" xfId="29066"/>
    <cellStyle name="Normal 7 2 7 2 4" xfId="29067"/>
    <cellStyle name="Normal 7 2 2 3 2 4" xfId="29068"/>
    <cellStyle name="Normal 7 2 3 3 2 4" xfId="29069"/>
    <cellStyle name="Normal 7 2 4 3 2 4" xfId="29070"/>
    <cellStyle name="Normal 7 2 5 3 2 4" xfId="29071"/>
    <cellStyle name="Normal 7 20 3 2 4" xfId="29072"/>
    <cellStyle name="Normal 7 22 3 2 4" xfId="29073"/>
    <cellStyle name="Normal 7 3 7 2 4" xfId="29074"/>
    <cellStyle name="Normal 7 3 2 3 2 4" xfId="29075"/>
    <cellStyle name="Normal 7 3 3 3 2 4" xfId="29076"/>
    <cellStyle name="Normal 7 3 4 3 2 4" xfId="29077"/>
    <cellStyle name="Normal 7 3 5 3 2 4" xfId="29078"/>
    <cellStyle name="Normal 7 4 3 2 4" xfId="29079"/>
    <cellStyle name="Normal 7 5 3 2 4" xfId="29080"/>
    <cellStyle name="Normal 7 6 3 2 4" xfId="29081"/>
    <cellStyle name="Normal 7 7 3 2 4" xfId="29082"/>
    <cellStyle name="Normal 7 8 3 2 4" xfId="29083"/>
    <cellStyle name="Normal 7 9 3 2 4" xfId="29084"/>
    <cellStyle name="Normal 8 25 3 2 4" xfId="29085"/>
    <cellStyle name="Normal 8 10 3 2 4" xfId="29086"/>
    <cellStyle name="Normal 8 11 3 2 4" xfId="29087"/>
    <cellStyle name="Normal 8 12 3 2 4" xfId="29088"/>
    <cellStyle name="Normal 8 13 3 2 4" xfId="29089"/>
    <cellStyle name="Normal 8 14 3 2 4" xfId="29090"/>
    <cellStyle name="Normal 8 15 3 2 4" xfId="29091"/>
    <cellStyle name="Normal 8 16 3 2 4" xfId="29092"/>
    <cellStyle name="Normal 8 17 3 2 4" xfId="29093"/>
    <cellStyle name="Normal 8 18 3 2 4" xfId="29094"/>
    <cellStyle name="Normal 8 19 3 2 4" xfId="29095"/>
    <cellStyle name="Normal 8 2 6 3 2 4" xfId="29096"/>
    <cellStyle name="Normal 8 2 2 2 3 2 4" xfId="29097"/>
    <cellStyle name="Normal 8 2 3 3 2 4" xfId="29098"/>
    <cellStyle name="Normal 8 2 4 3 2 4" xfId="29099"/>
    <cellStyle name="Normal 8 2 5 3 2 4" xfId="29100"/>
    <cellStyle name="Normal 8 20 3 2 4" xfId="29101"/>
    <cellStyle name="Normal 8 22 3 2 4" xfId="29102"/>
    <cellStyle name="Normal 8 3 6 3 2 4" xfId="29103"/>
    <cellStyle name="Normal 8 3 2 3 2 4" xfId="29104"/>
    <cellStyle name="Normal 8 3 3 3 2 4" xfId="29105"/>
    <cellStyle name="Normal 8 3 4 3 2 4" xfId="29106"/>
    <cellStyle name="Normal 8 3 5 3 2 4" xfId="29107"/>
    <cellStyle name="Normal 8 4 3 2 4" xfId="29108"/>
    <cellStyle name="Normal 8 5 3 2 4" xfId="29109"/>
    <cellStyle name="Normal 8 6 3 2 4" xfId="29110"/>
    <cellStyle name="Normal 8 7 3 2 4" xfId="29111"/>
    <cellStyle name="Normal 8 8 3 2 4" xfId="29112"/>
    <cellStyle name="Normal 8 9 3 2 4" xfId="29113"/>
    <cellStyle name="Normal 9 25 3 2 4" xfId="29114"/>
    <cellStyle name="Normal 9 10 3 2 4" xfId="29115"/>
    <cellStyle name="Normal 9 11 3 2 4" xfId="29116"/>
    <cellStyle name="Normal 9 12 3 2 4" xfId="29117"/>
    <cellStyle name="Normal 9 13 3 2 4" xfId="29118"/>
    <cellStyle name="Normal 9 14 3 2 4" xfId="29119"/>
    <cellStyle name="Normal 9 15 3 2 4" xfId="29120"/>
    <cellStyle name="Normal 9 16 3 2 4" xfId="29121"/>
    <cellStyle name="Normal 9 17 3 2 4" xfId="29122"/>
    <cellStyle name="Normal 9 18 3 2 4" xfId="29123"/>
    <cellStyle name="Normal 9 19 3 2 4" xfId="29124"/>
    <cellStyle name="Normal 9 2 7 2 4" xfId="29125"/>
    <cellStyle name="Normal 9 2 2 3 2 4" xfId="29126"/>
    <cellStyle name="Normal 9 2 3 3 2 4" xfId="29127"/>
    <cellStyle name="Normal 9 2 4 3 2 4" xfId="29128"/>
    <cellStyle name="Normal 9 2 5 3 2 4" xfId="29129"/>
    <cellStyle name="Normal 9 20 3 2 4" xfId="29130"/>
    <cellStyle name="Normal 9 22 3 2 4" xfId="29131"/>
    <cellStyle name="Normal 9 3 7 2 4" xfId="29132"/>
    <cellStyle name="Normal 9 3 2 3 2 4" xfId="29133"/>
    <cellStyle name="Normal 9 3 3 3 2 4" xfId="29134"/>
    <cellStyle name="Normal 9 3 4 3 2 4" xfId="29135"/>
    <cellStyle name="Normal 9 3 5 3 2 4" xfId="29136"/>
    <cellStyle name="Normal 9 4 3 2 4" xfId="29137"/>
    <cellStyle name="Normal 9 5 3 2 4" xfId="29138"/>
    <cellStyle name="Normal 9 6 3 2 4" xfId="29139"/>
    <cellStyle name="Normal 9 7 3 2 4" xfId="29140"/>
    <cellStyle name="Normal 9 8 3 2 4" xfId="29141"/>
    <cellStyle name="Normal 9 9 3 2 4" xfId="29142"/>
    <cellStyle name="Note 2 3 2 4 2" xfId="29143"/>
    <cellStyle name="Note 3 3 2 4" xfId="29144"/>
    <cellStyle name="Note 4 3 2 4" xfId="29145"/>
    <cellStyle name="Note 7 3 2 4" xfId="29146"/>
    <cellStyle name="Percent 120 3 2 4" xfId="29147"/>
    <cellStyle name="Percent 121 3 2 4" xfId="29148"/>
    <cellStyle name="Percent 122 3 2 4" xfId="29149"/>
    <cellStyle name="Percent 123 3 2 4" xfId="29150"/>
    <cellStyle name="Percent 124 3 2 4" xfId="29151"/>
    <cellStyle name="Percent 125 3 2 4" xfId="29152"/>
    <cellStyle name="Percent 126 3 2 4" xfId="29153"/>
    <cellStyle name="Percent 127 3 2 4" xfId="29154"/>
    <cellStyle name="Percent 128 3 2 4" xfId="29155"/>
    <cellStyle name="Percent 129 3 2 4" xfId="29156"/>
    <cellStyle name="Percent 130 3 2 4" xfId="29157"/>
    <cellStyle name="Percent 159 3 2 4" xfId="29158"/>
    <cellStyle name="Percent 2 22 3 2 4" xfId="29159"/>
    <cellStyle name="Percent 25 2 4 2 4" xfId="29160"/>
    <cellStyle name="Percent 25 2 2 3 2 4" xfId="29161"/>
    <cellStyle name="Percent 25 3 4 2 4" xfId="29162"/>
    <cellStyle name="Percent 25 3 2 3 2 4" xfId="29163"/>
    <cellStyle name="Percent 25 4 2 3 2 4" xfId="29164"/>
    <cellStyle name="Percent 25 5 3 2 4" xfId="29165"/>
    <cellStyle name="Percent 26 2 4 2 4" xfId="29166"/>
    <cellStyle name="Percent 26 2 2 3 2 4" xfId="29167"/>
    <cellStyle name="Percent 26 3 4 2 4" xfId="29168"/>
    <cellStyle name="Percent 26 3 2 3 2 4" xfId="29169"/>
    <cellStyle name="Percent 26 4 2 3 2 4" xfId="29170"/>
    <cellStyle name="Percent 26 5 3 2 4" xfId="29171"/>
    <cellStyle name="Percent 27 2 4 2 4" xfId="29172"/>
    <cellStyle name="Percent 27 2 2 3 2 4" xfId="29173"/>
    <cellStyle name="Percent 27 3 4 2 4" xfId="29174"/>
    <cellStyle name="Percent 27 3 2 3 2 4" xfId="29175"/>
    <cellStyle name="Percent 27 4 2 3 2 4" xfId="29176"/>
    <cellStyle name="Percent 27 5 3 2 4" xfId="29177"/>
    <cellStyle name="Percent 28 2 4 2 4" xfId="29178"/>
    <cellStyle name="Percent 28 2 2 3 2 4" xfId="29179"/>
    <cellStyle name="Percent 28 3 4 2 4" xfId="29180"/>
    <cellStyle name="Percent 28 3 2 3 2 4" xfId="29181"/>
    <cellStyle name="Percent 28 4 2 3 2 4" xfId="29182"/>
    <cellStyle name="Percent 28 5 3 2 4" xfId="29183"/>
    <cellStyle name="Percent 29 2 4 2 4" xfId="29184"/>
    <cellStyle name="Percent 29 2 2 3 2 4" xfId="29185"/>
    <cellStyle name="Percent 29 3 4 2 4" xfId="29186"/>
    <cellStyle name="Percent 29 3 2 3 2 4" xfId="29187"/>
    <cellStyle name="Percent 29 4 2 3 2 4" xfId="29188"/>
    <cellStyle name="Percent 29 5 3 2 4" xfId="29189"/>
    <cellStyle name="Percent 3 10 3 2 4" xfId="29190"/>
    <cellStyle name="Percent 3 11 3 2 4" xfId="29191"/>
    <cellStyle name="Percent 3 12 3 2 4" xfId="29192"/>
    <cellStyle name="Percent 3 13 3 2 4" xfId="29193"/>
    <cellStyle name="Percent 3 14 3 2 4" xfId="29194"/>
    <cellStyle name="Percent 3 15 3 2 4" xfId="29195"/>
    <cellStyle name="Percent 3 16 3 2 4" xfId="29196"/>
    <cellStyle name="Percent 3 17 3 2 4" xfId="29197"/>
    <cellStyle name="Percent 3 18 3 2 4" xfId="29198"/>
    <cellStyle name="Percent 3 19 3 2 4" xfId="29199"/>
    <cellStyle name="Percent 3 2 24 2 4" xfId="29200"/>
    <cellStyle name="Percent 3 2 10 3 2 4" xfId="29201"/>
    <cellStyle name="Percent 3 2 11 3 2 4" xfId="29202"/>
    <cellStyle name="Percent 3 2 12 3 2 4" xfId="29203"/>
    <cellStyle name="Percent 3 2 13 3 2 4" xfId="29204"/>
    <cellStyle name="Percent 3 2 14 3 2 4" xfId="29205"/>
    <cellStyle name="Percent 3 2 15 3 2 4" xfId="29206"/>
    <cellStyle name="Percent 3 2 16 3 2 4" xfId="29207"/>
    <cellStyle name="Percent 3 2 17 3 2 4" xfId="29208"/>
    <cellStyle name="Percent 3 2 18 3 2 4" xfId="29209"/>
    <cellStyle name="Percent 3 2 19 3 2 4" xfId="29210"/>
    <cellStyle name="Percent 3 2 2 2 3 2 4" xfId="29211"/>
    <cellStyle name="Percent 3 2 2 3 3 2 4" xfId="29212"/>
    <cellStyle name="Percent 3 2 2 4 3 2 4" xfId="29213"/>
    <cellStyle name="Percent 3 2 2 5 3 2 4" xfId="29214"/>
    <cellStyle name="Percent 3 2 20 3 2 4" xfId="29215"/>
    <cellStyle name="Percent 3 2 21 2 3 2 4" xfId="29216"/>
    <cellStyle name="Percent 3 2 3 7 2 4" xfId="29217"/>
    <cellStyle name="Percent 3 2 3 2 3 2 4" xfId="29218"/>
    <cellStyle name="Percent 3 2 3 3 3 2 4" xfId="29219"/>
    <cellStyle name="Percent 3 2 3 4 3 2 4" xfId="29220"/>
    <cellStyle name="Percent 3 2 3 5 3 2 4" xfId="29221"/>
    <cellStyle name="Percent 3 2 4 4 2 4" xfId="29222"/>
    <cellStyle name="Percent 3 2 4 2 3 2 4" xfId="29223"/>
    <cellStyle name="Percent 3 2 5 4 2 4" xfId="29224"/>
    <cellStyle name="Percent 3 2 5 2 3 2 4" xfId="29225"/>
    <cellStyle name="Percent 3 2 6 4 2 4" xfId="29226"/>
    <cellStyle name="Percent 3 2 6 2 3 2 4" xfId="29227"/>
    <cellStyle name="Percent 3 2 7 3 2 4" xfId="29228"/>
    <cellStyle name="Percent 3 2 8 3 2 4" xfId="29229"/>
    <cellStyle name="Percent 3 2 9 3 2 4" xfId="29230"/>
    <cellStyle name="Percent 3 20 3 2 4" xfId="29231"/>
    <cellStyle name="Percent 3 21 3 2 4" xfId="29232"/>
    <cellStyle name="Percent 3 3 2 3 2 4" xfId="29233"/>
    <cellStyle name="Percent 3 3 3 3 2 4" xfId="29234"/>
    <cellStyle name="Percent 3 3 4 3 2 4" xfId="29235"/>
    <cellStyle name="Percent 3 3 5 3 2 4" xfId="29236"/>
    <cellStyle name="Percent 3 4 7 2 4" xfId="29237"/>
    <cellStyle name="Percent 3 4 2 3 2 4" xfId="29238"/>
    <cellStyle name="Percent 3 4 3 3 2 4" xfId="29239"/>
    <cellStyle name="Percent 3 4 4 3 2 4" xfId="29240"/>
    <cellStyle name="Percent 3 4 5 3 2 4" xfId="29241"/>
    <cellStyle name="Percent 3 5 4 2 4" xfId="29242"/>
    <cellStyle name="Percent 3 5 2 3 2 4" xfId="29243"/>
    <cellStyle name="Percent 3 6 4 2 4" xfId="29244"/>
    <cellStyle name="Percent 3 6 2 3 2 4" xfId="29245"/>
    <cellStyle name="Percent 3 7 4 2 4" xfId="29246"/>
    <cellStyle name="Percent 3 7 2 3 2 4" xfId="29247"/>
    <cellStyle name="Percent 3 8 3 2 4" xfId="29248"/>
    <cellStyle name="Percent 3 9 3 2 4" xfId="29249"/>
    <cellStyle name="Percent 30 2 4 2 4" xfId="29250"/>
    <cellStyle name="Percent 30 2 2 3 2 4" xfId="29251"/>
    <cellStyle name="Percent 30 3 4 2 4" xfId="29252"/>
    <cellStyle name="Percent 30 3 2 3 2 4" xfId="29253"/>
    <cellStyle name="Percent 30 4 2 3 2 4" xfId="29254"/>
    <cellStyle name="Percent 30 5 3 2 4" xfId="29255"/>
    <cellStyle name="Percent 31 2 4 2 4" xfId="29256"/>
    <cellStyle name="Percent 31 2 2 3 2 4" xfId="29257"/>
    <cellStyle name="Percent 31 3 4 2 4" xfId="29258"/>
    <cellStyle name="Percent 31 3 2 3 2 4" xfId="29259"/>
    <cellStyle name="Percent 31 4 2 3 2 4" xfId="29260"/>
    <cellStyle name="Percent 31 5 3 2 4" xfId="29261"/>
    <cellStyle name="Percent 32 2 4 2 4" xfId="29262"/>
    <cellStyle name="Percent 32 2 2 3 2 4" xfId="29263"/>
    <cellStyle name="Percent 32 3 4 2 4" xfId="29264"/>
    <cellStyle name="Percent 32 3 2 3 2 4" xfId="29265"/>
    <cellStyle name="Percent 32 4 2 3 2 4" xfId="29266"/>
    <cellStyle name="Percent 32 5 3 2 4" xfId="29267"/>
    <cellStyle name="Percent 33 2 4 2 4" xfId="29268"/>
    <cellStyle name="Percent 33 2 2 3 2 4" xfId="29269"/>
    <cellStyle name="Percent 33 3 4 2 4" xfId="29270"/>
    <cellStyle name="Percent 33 3 2 3 2 4" xfId="29271"/>
    <cellStyle name="Percent 33 4 2 3 2 4" xfId="29272"/>
    <cellStyle name="Percent 33 5 3 2 4" xfId="29273"/>
    <cellStyle name="Percent 34 2 4 2 4" xfId="29274"/>
    <cellStyle name="Percent 34 2 2 3 2 4" xfId="29275"/>
    <cellStyle name="Percent 34 3 4 2 4" xfId="29276"/>
    <cellStyle name="Percent 34 3 2 3 2 4" xfId="29277"/>
    <cellStyle name="Percent 34 4 2 3 2 4" xfId="29278"/>
    <cellStyle name="Percent 34 5 3 2 4" xfId="29279"/>
    <cellStyle name="Percent 35 2 4 2 4" xfId="29280"/>
    <cellStyle name="Percent 35 2 2 3 2 4" xfId="29281"/>
    <cellStyle name="Percent 35 3 4 2 4" xfId="29282"/>
    <cellStyle name="Percent 35 3 2 3 2 4" xfId="29283"/>
    <cellStyle name="Percent 35 4 2 3 2 4" xfId="29284"/>
    <cellStyle name="Percent 35 5 3 2 4" xfId="29285"/>
    <cellStyle name="Currency 5 4 3 2 4" xfId="29286"/>
    <cellStyle name="Comma 5 7 3 2 4" xfId="29287"/>
    <cellStyle name="Percent 5 4 3 2 4" xfId="29288"/>
    <cellStyle name="Comma 6 5 3 2 4" xfId="29289"/>
    <cellStyle name="Currency 5 2 4 3 2 4" xfId="29290"/>
    <cellStyle name="Comma 5 2 4 3 2 4" xfId="29291"/>
    <cellStyle name="Percent 5 2 4 3 2 4" xfId="29292"/>
    <cellStyle name="Comma 6 2 3 3 2 4" xfId="29293"/>
    <cellStyle name="Currency 5 3 2 3 2 4" xfId="29294"/>
    <cellStyle name="Comma 5 3 2 3 2 4" xfId="29295"/>
    <cellStyle name="Percent 5 3 2 3 2 4" xfId="29296"/>
    <cellStyle name="Comma 6 3 4 3 2 4" xfId="29297"/>
    <cellStyle name="Normal 11 2 2 3 2 4" xfId="29298"/>
    <cellStyle name="Currency 5 2 2 2 3 2 4" xfId="29299"/>
    <cellStyle name="Comma 5 2 2 2 3 2 4" xfId="29300"/>
    <cellStyle name="Percent 5 2 2 2 3 2 4" xfId="29301"/>
    <cellStyle name="Comma 6 2 2 2 3 2 4" xfId="29302"/>
    <cellStyle name="Normal 51 3 2 4" xfId="29303"/>
    <cellStyle name="Comma 187 3 2 4" xfId="29304"/>
    <cellStyle name="Percent 163 3 2 4" xfId="29305"/>
    <cellStyle name="Currency 162 3 2 4" xfId="29306"/>
    <cellStyle name="Currency 5 6 2 2 4" xfId="29307"/>
    <cellStyle name="Currency 179 2 2 4" xfId="29308"/>
    <cellStyle name="Percent 180 2 2 4" xfId="29309"/>
    <cellStyle name="Comma 204 2 2 4" xfId="29310"/>
    <cellStyle name="Normal 8 26 2 2 4" xfId="29311"/>
    <cellStyle name="Comma 5 9 2 2 4" xfId="29312"/>
    <cellStyle name="Percent 5 6 2 2 4" xfId="29313"/>
    <cellStyle name="Comma 6 7 2 2 4" xfId="29314"/>
    <cellStyle name="Normal 11 5 2 2 4" xfId="29315"/>
    <cellStyle name="Currency 5 2 6 2 2 4" xfId="29316"/>
    <cellStyle name="Normal 8 2 7 2 2 4" xfId="29317"/>
    <cellStyle name="Comma 5 2 6 2 2 4" xfId="29318"/>
    <cellStyle name="Percent 5 2 6 2 2 4" xfId="29319"/>
    <cellStyle name="Comma 6 2 5 2 2 4" xfId="29320"/>
    <cellStyle name="Currency 5 3 4 2 2 4" xfId="29321"/>
    <cellStyle name="Normal 8 3 7 2 2 4" xfId="29322"/>
    <cellStyle name="Comma 5 3 4 2 2 4" xfId="29323"/>
    <cellStyle name="Percent 5 3 4 2 2 4" xfId="29324"/>
    <cellStyle name="Comma 6 3 6 2 2 4" xfId="29325"/>
    <cellStyle name="Normal 11 2 4 2 2 4" xfId="29326"/>
    <cellStyle name="Currency 5 2 2 4 2 2 4" xfId="29327"/>
    <cellStyle name="Normal 8 2 2 3 2 2 4" xfId="29328"/>
    <cellStyle name="Comma 5 2 2 4 2 2 4" xfId="29329"/>
    <cellStyle name="Percent 5 2 2 4 2 2 4" xfId="29330"/>
    <cellStyle name="Comma 6 2 2 3 2 2 4" xfId="29331"/>
    <cellStyle name="Normal 50 2 2 2 4" xfId="29332"/>
    <cellStyle name="Comma 186 2 2 2 4" xfId="29333"/>
    <cellStyle name="Percent 162 2 2 2 4" xfId="29334"/>
    <cellStyle name="Normal 2 24 2 2 2 4" xfId="29335"/>
    <cellStyle name="20% - Accent1 2 2 2 2 4" xfId="29336"/>
    <cellStyle name="20% - Accent1 3 2 2 2 4" xfId="29337"/>
    <cellStyle name="20% - Accent1 4 2 2 2 4" xfId="29338"/>
    <cellStyle name="20% - Accent1 5 2 2 2 4" xfId="29339"/>
    <cellStyle name="20% - Accent2 2 2 2 2 4" xfId="29340"/>
    <cellStyle name="20% - Accent2 3 2 2 2 4" xfId="29341"/>
    <cellStyle name="20% - Accent2 4 2 2 2 4" xfId="29342"/>
    <cellStyle name="20% - Accent2 5 2 2 2 4" xfId="29343"/>
    <cellStyle name="20% - Accent3 2 2 2 2 4" xfId="29344"/>
    <cellStyle name="20% - Accent3 3 2 2 2 4" xfId="29345"/>
    <cellStyle name="20% - Accent3 4 2 2 2 4" xfId="29346"/>
    <cellStyle name="20% - Accent3 5 2 2 2 4" xfId="29347"/>
    <cellStyle name="20% - Accent4 2 2 2 2 4" xfId="29348"/>
    <cellStyle name="20% - Accent4 3 2 2 2 4" xfId="29349"/>
    <cellStyle name="20% - Accent4 4 2 2 2 4" xfId="29350"/>
    <cellStyle name="20% - Accent4 5 2 2 2 4" xfId="29351"/>
    <cellStyle name="20% - Accent5 2 2 2 2 4" xfId="29352"/>
    <cellStyle name="20% - Accent5 3 2 2 2 4" xfId="29353"/>
    <cellStyle name="20% - Accent5 4 2 2 2 4" xfId="29354"/>
    <cellStyle name="20% - Accent6 2 2 2 2 4" xfId="29355"/>
    <cellStyle name="20% - Accent6 3 2 2 2 4" xfId="29356"/>
    <cellStyle name="20% - Accent6 4 2 2 2 4" xfId="29357"/>
    <cellStyle name="40% - Accent1 2 2 2 2 4" xfId="29358"/>
    <cellStyle name="40% - Accent1 3 2 2 2 4" xfId="29359"/>
    <cellStyle name="40% - Accent1 4 2 2 2 4" xfId="29360"/>
    <cellStyle name="40% - Accent1 5 2 2 2 4" xfId="29361"/>
    <cellStyle name="40% - Accent2 2 2 2 2 4" xfId="29362"/>
    <cellStyle name="40% - Accent2 3 2 2 2 4" xfId="29363"/>
    <cellStyle name="40% - Accent2 4 2 2 2 4" xfId="29364"/>
    <cellStyle name="40% - Accent3 2 2 2 2 4" xfId="29365"/>
    <cellStyle name="40% - Accent3 3 2 2 2 4" xfId="29366"/>
    <cellStyle name="40% - Accent3 4 2 2 2 4" xfId="29367"/>
    <cellStyle name="40% - Accent3 5 2 2 2 4" xfId="29368"/>
    <cellStyle name="40% - Accent4 2 2 2 2 4" xfId="29369"/>
    <cellStyle name="40% - Accent4 3 2 2 2 4" xfId="29370"/>
    <cellStyle name="40% - Accent4 4 2 2 2 4" xfId="29371"/>
    <cellStyle name="40% - Accent4 5 2 2 2 4" xfId="29372"/>
    <cellStyle name="40% - Accent5 2 2 2 2 4" xfId="29373"/>
    <cellStyle name="40% - Accent5 3 2 2 2 4" xfId="29374"/>
    <cellStyle name="40% - Accent5 4 2 2 2 4" xfId="29375"/>
    <cellStyle name="40% - Accent6 2 2 2 2 4" xfId="29376"/>
    <cellStyle name="40% - Accent6 3 2 2 2 4" xfId="29377"/>
    <cellStyle name="40% - Accent6 4 2 2 2 4" xfId="29378"/>
    <cellStyle name="40% - Accent6 5 2 2 2 4" xfId="29379"/>
    <cellStyle name="Comma 143 2 2 2 4" xfId="29380"/>
    <cellStyle name="Comma 144 2 2 2 4" xfId="29381"/>
    <cellStyle name="Comma 145 2 2 2 4" xfId="29382"/>
    <cellStyle name="Comma 146 2 2 2 4" xfId="29383"/>
    <cellStyle name="Comma 147 2 2 2 4" xfId="29384"/>
    <cellStyle name="Comma 148 2 2 2 4" xfId="29385"/>
    <cellStyle name="Comma 149 2 2 2 4" xfId="29386"/>
    <cellStyle name="Comma 150 2 2 2 4" xfId="29387"/>
    <cellStyle name="Comma 151 2 2 2 4" xfId="29388"/>
    <cellStyle name="Comma 152 2 2 2 4" xfId="29389"/>
    <cellStyle name="Comma 153 2 2 2 4" xfId="29390"/>
    <cellStyle name="Comma 182 2 2 2 4" xfId="29391"/>
    <cellStyle name="Comma 2 23 2 2 2 4" xfId="29392"/>
    <cellStyle name="Comma 2 2 10 2 2 2 4" xfId="29393"/>
    <cellStyle name="Comma 2 2 11 2 2 2 4" xfId="29394"/>
    <cellStyle name="Comma 2 2 12 2 2 2 4" xfId="29395"/>
    <cellStyle name="Comma 2 2 13 2 2 2 4" xfId="29396"/>
    <cellStyle name="Comma 2 2 14 2 2 2 4" xfId="29397"/>
    <cellStyle name="Comma 2 2 15 2 2 2 4" xfId="29398"/>
    <cellStyle name="Comma 2 2 16 2 2 2 4" xfId="29399"/>
    <cellStyle name="Comma 2 2 17 2 2 2 4" xfId="29400"/>
    <cellStyle name="Comma 2 2 2 2 6 2 2 4" xfId="29401"/>
    <cellStyle name="Comma 2 2 2 2 2 2 2 2 4" xfId="29402"/>
    <cellStyle name="Comma 2 2 2 2 3 2 2 2 4" xfId="29403"/>
    <cellStyle name="Comma 2 2 2 2 4 2 2 2 4" xfId="29404"/>
    <cellStyle name="Comma 2 2 2 2 5 2 2 2 4" xfId="29405"/>
    <cellStyle name="Comma 2 2 2 3 2 2 2 4" xfId="29406"/>
    <cellStyle name="Comma 2 2 2 4 2 2 2 4" xfId="29407"/>
    <cellStyle name="Comma 2 2 2 5 2 2 2 4" xfId="29408"/>
    <cellStyle name="Comma 2 2 2 6 2 2 2 4" xfId="29409"/>
    <cellStyle name="Comma 2 2 3 6 2 2 4" xfId="29410"/>
    <cellStyle name="Comma 2 2 3 2 2 2 2 2 4" xfId="29411"/>
    <cellStyle name="Comma 2 2 3 2 3 2 2 2 4" xfId="29412"/>
    <cellStyle name="Comma 2 2 3 2 4 2 2 2 4" xfId="29413"/>
    <cellStyle name="Comma 2 2 3 2 5 2 2 2 4" xfId="29414"/>
    <cellStyle name="Comma 2 2 3 3 2 2 2 4" xfId="29415"/>
    <cellStyle name="Comma 2 2 4 2 2 2 2 4" xfId="29416"/>
    <cellStyle name="Comma 2 2 5 2 2 2 4" xfId="29417"/>
    <cellStyle name="Comma 2 2 6 2 2 2 4" xfId="29418"/>
    <cellStyle name="Comma 2 2 7 2 2 2 4" xfId="29419"/>
    <cellStyle name="Comma 2 2 8 2 2 2 4" xfId="29420"/>
    <cellStyle name="Comma 2 2 9 2 2 2 4" xfId="29421"/>
    <cellStyle name="Comma 3 10 2 2 2 4" xfId="29422"/>
    <cellStyle name="Comma 3 11 2 2 2 4" xfId="29423"/>
    <cellStyle name="Comma 3 12 2 2 2 4" xfId="29424"/>
    <cellStyle name="Comma 3 13 2 2 2 4" xfId="29425"/>
    <cellStyle name="Comma 3 14 2 2 2 4" xfId="29426"/>
    <cellStyle name="Comma 3 15 2 2 2 4" xfId="29427"/>
    <cellStyle name="Comma 3 16 2 2 2 4" xfId="29428"/>
    <cellStyle name="Comma 3 17 2 2 2 4" xfId="29429"/>
    <cellStyle name="Comma 3 18 2 2 2 4" xfId="29430"/>
    <cellStyle name="Comma 3 19 2 2 2 4" xfId="29431"/>
    <cellStyle name="Comma 3 2 2 2 2 2 4" xfId="29432"/>
    <cellStyle name="Comma 3 2 3 2 2 2 4" xfId="29433"/>
    <cellStyle name="Comma 3 2 4 2 2 2 4" xfId="29434"/>
    <cellStyle name="Comma 3 2 5 2 2 2 4" xfId="29435"/>
    <cellStyle name="Comma 3 20 2 2 2 4" xfId="29436"/>
    <cellStyle name="Comma 3 21 2 2 2 4" xfId="29437"/>
    <cellStyle name="Comma 3 3 6 2 2 4" xfId="29438"/>
    <cellStyle name="Comma 3 3 2 2 2 2 4" xfId="29439"/>
    <cellStyle name="Comma 3 3 3 2 2 2 4" xfId="29440"/>
    <cellStyle name="Comma 3 3 4 2 2 2 4" xfId="29441"/>
    <cellStyle name="Comma 3 3 5 2 2 2 4" xfId="29442"/>
    <cellStyle name="Comma 3 4 3 2 2 4" xfId="29443"/>
    <cellStyle name="Comma 3 4 2 2 2 2 4" xfId="29444"/>
    <cellStyle name="Comma 3 5 3 2 2 4" xfId="29445"/>
    <cellStyle name="Comma 3 5 2 2 2 2 4" xfId="29446"/>
    <cellStyle name="Comma 3 6 3 2 2 4" xfId="29447"/>
    <cellStyle name="Comma 3 6 2 2 2 2 4" xfId="29448"/>
    <cellStyle name="Comma 3 7 2 2 2 4" xfId="29449"/>
    <cellStyle name="Comma 3 8 2 2 2 4" xfId="29450"/>
    <cellStyle name="Comma 3 9 2 2 2 4" xfId="29451"/>
    <cellStyle name="Currency 120 2 2 2 4" xfId="29452"/>
    <cellStyle name="Currency 121 2 2 2 4" xfId="29453"/>
    <cellStyle name="Currency 122 2 2 2 4" xfId="29454"/>
    <cellStyle name="Currency 123 2 2 2 4" xfId="29455"/>
    <cellStyle name="Currency 124 2 2 2 4" xfId="29456"/>
    <cellStyle name="Currency 125 2 2 2 4" xfId="29457"/>
    <cellStyle name="Currency 126 2 2 2 4" xfId="29458"/>
    <cellStyle name="Currency 127 2 2 2 4" xfId="29459"/>
    <cellStyle name="Currency 128 2 2 2 4" xfId="29460"/>
    <cellStyle name="Currency 129 2 2 2 4" xfId="29461"/>
    <cellStyle name="Currency 130 2 2 2 4" xfId="29462"/>
    <cellStyle name="Currency 159 2 2 2 4" xfId="29463"/>
    <cellStyle name="Currency 2 27 2 2 2 4" xfId="29464"/>
    <cellStyle name="Currency 2 2 20 2 2 2 4" xfId="29465"/>
    <cellStyle name="Currency 2 2 10 2 2 2 4" xfId="29466"/>
    <cellStyle name="Currency 2 2 11 2 2 2 4" xfId="29467"/>
    <cellStyle name="Currency 2 2 12 2 2 2 4" xfId="29468"/>
    <cellStyle name="Currency 2 2 13 2 2 2 4" xfId="29469"/>
    <cellStyle name="Currency 2 2 14 2 2 2 4" xfId="29470"/>
    <cellStyle name="Currency 2 2 15 2 2 2 4" xfId="29471"/>
    <cellStyle name="Currency 2 2 16 2 2 2 4" xfId="29472"/>
    <cellStyle name="Currency 2 2 17 2 2 2 4" xfId="29473"/>
    <cellStyle name="Currency 2 2 18 2 2 2 4" xfId="29474"/>
    <cellStyle name="Currency 2 2 2 2 2 2 2 4" xfId="29475"/>
    <cellStyle name="Currency 2 2 2 3 2 2 2 4" xfId="29476"/>
    <cellStyle name="Currency 2 2 2 4 2 2 2 4" xfId="29477"/>
    <cellStyle name="Currency 2 2 2 5 2 2 2 4" xfId="29478"/>
    <cellStyle name="Currency 2 2 3 6 2 2 4" xfId="29479"/>
    <cellStyle name="Currency 2 2 3 2 2 2 2 4" xfId="29480"/>
    <cellStyle name="Currency 2 2 3 3 2 2 2 4" xfId="29481"/>
    <cellStyle name="Currency 2 2 3 4 2 2 2 4" xfId="29482"/>
    <cellStyle name="Currency 2 2 3 5 2 2 2 4" xfId="29483"/>
    <cellStyle name="Currency 2 2 4 2 2 2 4" xfId="29484"/>
    <cellStyle name="Currency 2 2 5 2 2 2 4" xfId="29485"/>
    <cellStyle name="Currency 2 2 6 2 2 2 4" xfId="29486"/>
    <cellStyle name="Currency 2 2 7 2 2 2 4" xfId="29487"/>
    <cellStyle name="Currency 2 2 8 2 2 2 4" xfId="29488"/>
    <cellStyle name="Currency 2 2 9 2 2 2 4" xfId="29489"/>
    <cellStyle name="Currency 3 10 2 2 2 4" xfId="29490"/>
    <cellStyle name="Currency 3 11 2 2 2 4" xfId="29491"/>
    <cellStyle name="Currency 3 12 2 2 2 4" xfId="29492"/>
    <cellStyle name="Currency 3 13 2 2 2 4" xfId="29493"/>
    <cellStyle name="Currency 3 14 2 2 2 4" xfId="29494"/>
    <cellStyle name="Currency 3 15 2 2 2 4" xfId="29495"/>
    <cellStyle name="Currency 3 16 2 2 2 4" xfId="29496"/>
    <cellStyle name="Currency 3 17 2 2 2 4" xfId="29497"/>
    <cellStyle name="Currency 3 18 2 2 2 4" xfId="29498"/>
    <cellStyle name="Currency 3 19 2 2 2 4" xfId="29499"/>
    <cellStyle name="Currency 3 2 2 2 2 2 4" xfId="29500"/>
    <cellStyle name="Currency 3 2 3 2 2 2 4" xfId="29501"/>
    <cellStyle name="Currency 3 2 4 2 2 2 4" xfId="29502"/>
    <cellStyle name="Currency 3 2 5 2 2 2 4" xfId="29503"/>
    <cellStyle name="Currency 3 20 2 2 2 4" xfId="29504"/>
    <cellStyle name="Currency 3 21 2 2 2 4" xfId="29505"/>
    <cellStyle name="Currency 3 3 8 2 2 4" xfId="29506"/>
    <cellStyle name="Currency 3 3 2 2 2 2 4" xfId="29507"/>
    <cellStyle name="Currency 3 3 3 2 2 2 4" xfId="29508"/>
    <cellStyle name="Currency 3 3 4 2 2 2 4" xfId="29509"/>
    <cellStyle name="Currency 3 3 5 2 2 2 4" xfId="29510"/>
    <cellStyle name="Currency 3 3 6 2 2 2 4" xfId="29511"/>
    <cellStyle name="Currency 3 4 3 2 2 4" xfId="29512"/>
    <cellStyle name="Currency 3 4 2 2 2 2 4" xfId="29513"/>
    <cellStyle name="Currency 3 5 3 2 2 4" xfId="29514"/>
    <cellStyle name="Currency 3 5 2 2 2 2 4" xfId="29515"/>
    <cellStyle name="Currency 3 6 3 2 2 4" xfId="29516"/>
    <cellStyle name="Currency 3 6 2 2 2 2 4" xfId="29517"/>
    <cellStyle name="Currency 3 7 2 2 2 4" xfId="29518"/>
    <cellStyle name="Currency 3 8 2 2 2 4" xfId="29519"/>
    <cellStyle name="Currency 3 9 2 2 2 4" xfId="29520"/>
    <cellStyle name="Normal 10 3 6 2 2 4" xfId="29521"/>
    <cellStyle name="Normal 10 3 2 5 2 2 4" xfId="29522"/>
    <cellStyle name="Normal 10 3 2 2 3 2 2 4" xfId="29523"/>
    <cellStyle name="Normal 10 3 2 2 2 2 2 2 4" xfId="29524"/>
    <cellStyle name="Normal 10 3 2 3 3 2 2 4" xfId="29525"/>
    <cellStyle name="Normal 10 3 2 3 2 2 2 2 4" xfId="29526"/>
    <cellStyle name="Normal 10 3 2 4 2 2 2 4" xfId="29527"/>
    <cellStyle name="Normal 10 3 3 3 2 2 4" xfId="29528"/>
    <cellStyle name="Normal 10 3 3 2 2 2 2 4" xfId="29529"/>
    <cellStyle name="Normal 10 3 4 3 2 2 4" xfId="29530"/>
    <cellStyle name="Normal 10 3 4 2 2 2 2 4" xfId="29531"/>
    <cellStyle name="Normal 10 3 5 2 2 2 4" xfId="29532"/>
    <cellStyle name="Normal 10 4 5 2 2 4" xfId="29533"/>
    <cellStyle name="Normal 10 4 2 3 2 2 4" xfId="29534"/>
    <cellStyle name="Normal 10 4 2 2 2 2 2 4" xfId="29535"/>
    <cellStyle name="Normal 10 4 3 3 2 2 4" xfId="29536"/>
    <cellStyle name="Normal 10 4 3 2 2 2 2 4" xfId="29537"/>
    <cellStyle name="Normal 10 4 4 2 2 2 4" xfId="29538"/>
    <cellStyle name="Normal 10 5 5 2 2 4" xfId="29539"/>
    <cellStyle name="Normal 10 5 2 3 2 2 4" xfId="29540"/>
    <cellStyle name="Normal 10 5 2 2 2 2 2 4" xfId="29541"/>
    <cellStyle name="Normal 10 5 3 3 2 2 4" xfId="29542"/>
    <cellStyle name="Normal 10 5 3 2 2 2 2 4" xfId="29543"/>
    <cellStyle name="Normal 10 5 4 2 2 2 4" xfId="29544"/>
    <cellStyle name="Normal 10 6 3 2 2 4" xfId="29545"/>
    <cellStyle name="Normal 10 6 2 2 2 2 4" xfId="29546"/>
    <cellStyle name="Normal 10 7 3 2 2 4" xfId="29547"/>
    <cellStyle name="Normal 10 7 2 2 2 2 4" xfId="29548"/>
    <cellStyle name="Normal 10 8 2 2 2 2 4" xfId="29549"/>
    <cellStyle name="Normal 10 9 2 2 2 4" xfId="29550"/>
    <cellStyle name="Normal 11 4 2 2 2 4" xfId="29551"/>
    <cellStyle name="Normal 11 3 2 2 2 4" xfId="29552"/>
    <cellStyle name="Normal 12 8 2 2 4" xfId="29553"/>
    <cellStyle name="Normal 12 2 2 5 2 2 4" xfId="29554"/>
    <cellStyle name="Normal 12 2 2 2 3 2 2 4" xfId="29555"/>
    <cellStyle name="Normal 12 2 2 2 2 2 2 2 4" xfId="29556"/>
    <cellStyle name="Normal 12 2 2 3 3 2 2 4" xfId="29557"/>
    <cellStyle name="Normal 12 2 2 3 2 2 2 2 4" xfId="29558"/>
    <cellStyle name="Normal 12 2 2 4 2 2 2 4" xfId="29559"/>
    <cellStyle name="Normal 12 2 3 3 2 2 4" xfId="29560"/>
    <cellStyle name="Normal 12 2 3 2 2 2 2 4" xfId="29561"/>
    <cellStyle name="Normal 12 2 4 3 2 2 4" xfId="29562"/>
    <cellStyle name="Normal 12 2 4 2 2 2 2 4" xfId="29563"/>
    <cellStyle name="Normal 12 2 5 2 2 2 2 4" xfId="29564"/>
    <cellStyle name="Normal 12 2 6 2 2 2 4" xfId="29565"/>
    <cellStyle name="Normal 12 3 5 2 2 4" xfId="29566"/>
    <cellStyle name="Normal 12 3 2 3 2 2 4" xfId="29567"/>
    <cellStyle name="Normal 12 3 2 2 2 2 2 4" xfId="29568"/>
    <cellStyle name="Normal 12 3 3 3 2 2 4" xfId="29569"/>
    <cellStyle name="Normal 12 3 3 2 2 2 2 4" xfId="29570"/>
    <cellStyle name="Normal 12 3 4 2 2 2 4" xfId="29571"/>
    <cellStyle name="Normal 12 4 5 2 2 4" xfId="29572"/>
    <cellStyle name="Normal 12 4 2 3 2 2 4" xfId="29573"/>
    <cellStyle name="Normal 12 4 2 2 2 2 2 4" xfId="29574"/>
    <cellStyle name="Normal 12 4 3 3 2 2 4" xfId="29575"/>
    <cellStyle name="Normal 12 4 3 2 2 2 2 4" xfId="29576"/>
    <cellStyle name="Normal 12 4 4 2 2 2 4" xfId="29577"/>
    <cellStyle name="Normal 12 5 3 2 2 4" xfId="29578"/>
    <cellStyle name="Normal 12 5 2 2 2 2 4" xfId="29579"/>
    <cellStyle name="Normal 12 6 3 2 2 4" xfId="29580"/>
    <cellStyle name="Normal 12 6 2 2 2 2 4" xfId="29581"/>
    <cellStyle name="Normal 12 7 2 2 2 4" xfId="29582"/>
    <cellStyle name="Normal 15 6 2 2 4" xfId="29583"/>
    <cellStyle name="Normal 15 3 2 2 2 4" xfId="29584"/>
    <cellStyle name="Normal 16 2 5 2 2 4" xfId="29585"/>
    <cellStyle name="Normal 16 2 2 3 2 2 4" xfId="29586"/>
    <cellStyle name="Normal 16 2 2 2 2 2 2 4" xfId="29587"/>
    <cellStyle name="Normal 16 2 3 3 2 2 4" xfId="29588"/>
    <cellStyle name="Normal 16 2 3 2 2 2 2 4" xfId="29589"/>
    <cellStyle name="Normal 16 2 4 2 2 2 4" xfId="29590"/>
    <cellStyle name="Normal 16 3 3 2 2 4" xfId="29591"/>
    <cellStyle name="Normal 16 3 2 2 2 2 4" xfId="29592"/>
    <cellStyle name="Normal 16 4 3 2 2 4" xfId="29593"/>
    <cellStyle name="Normal 16 4 2 2 2 2 4" xfId="29594"/>
    <cellStyle name="Normal 16 5 2 2 2 2 4" xfId="29595"/>
    <cellStyle name="Normal 16 6 2 2 2 4" xfId="29596"/>
    <cellStyle name="Normal 17 2 5 2 2 4" xfId="29597"/>
    <cellStyle name="Normal 17 2 2 3 2 2 4" xfId="29598"/>
    <cellStyle name="Normal 17 2 2 2 2 2 2 4" xfId="29599"/>
    <cellStyle name="Normal 17 2 3 3 2 2 4" xfId="29600"/>
    <cellStyle name="Normal 17 2 3 2 2 2 2 4" xfId="29601"/>
    <cellStyle name="Normal 17 2 4 2 2 2 4" xfId="29602"/>
    <cellStyle name="Normal 17 3 3 2 2 4" xfId="29603"/>
    <cellStyle name="Normal 17 3 2 2 2 2 4" xfId="29604"/>
    <cellStyle name="Normal 17 4 3 2 2 4" xfId="29605"/>
    <cellStyle name="Normal 17 4 2 2 2 2 4" xfId="29606"/>
    <cellStyle name="Normal 17 5 2 2 2 2 4" xfId="29607"/>
    <cellStyle name="Normal 17 6 2 2 2 4" xfId="29608"/>
    <cellStyle name="Normal 2 10 3 2 2 2 4" xfId="29609"/>
    <cellStyle name="Normal 2 11 3 2 2 2 4" xfId="29610"/>
    <cellStyle name="Normal 2 12 3 2 2 2 4" xfId="29611"/>
    <cellStyle name="Normal 2 13 3 2 2 2 4" xfId="29612"/>
    <cellStyle name="Normal 2 14 3 2 2 2 4" xfId="29613"/>
    <cellStyle name="Normal 2 15 3 2 2 2 4" xfId="29614"/>
    <cellStyle name="Normal 2 16 3 2 2 2 4" xfId="29615"/>
    <cellStyle name="Normal 2 17 3 2 2 2 4" xfId="29616"/>
    <cellStyle name="Normal 2 18 3 2 2 2 4" xfId="29617"/>
    <cellStyle name="Normal 2 19 3 2 2 2 4" xfId="29618"/>
    <cellStyle name="Normal 2 2 10 2 2 2 4" xfId="29619"/>
    <cellStyle name="Normal 2 2 11 2 2 2 4" xfId="29620"/>
    <cellStyle name="Normal 2 2 12 2 2 2 4" xfId="29621"/>
    <cellStyle name="Normal 2 2 13 2 2 2 4" xfId="29622"/>
    <cellStyle name="Normal 2 2 14 2 2 2 4" xfId="29623"/>
    <cellStyle name="Normal 2 2 15 2 2 2 4" xfId="29624"/>
    <cellStyle name="Normal 2 2 16 2 2 2 4" xfId="29625"/>
    <cellStyle name="Normal 2 2 17 2 2 2 4" xfId="29626"/>
    <cellStyle name="Normal 2 2 18 2 2 2 4" xfId="29627"/>
    <cellStyle name="Normal 2 2 19 2 2 2 4" xfId="29628"/>
    <cellStyle name="Normal 2 2 2 2 6 2 2 4" xfId="29629"/>
    <cellStyle name="Normal 2 2 2 2 2 3 2 2 4" xfId="29630"/>
    <cellStyle name="Normal 2 2 2 2 2 2 2 2 2 4" xfId="29631"/>
    <cellStyle name="Normal 2 2 2 2 3 2 2 2 4" xfId="29632"/>
    <cellStyle name="Normal 2 2 2 2 4 2 2 2 4" xfId="29633"/>
    <cellStyle name="Normal 2 2 2 2 5 2 2 2 4" xfId="29634"/>
    <cellStyle name="Normal 2 2 20 2 2 2 4" xfId="29635"/>
    <cellStyle name="Normal 2 2 21 2 2 2 4" xfId="29636"/>
    <cellStyle name="Normal 2 2 22 2 2 2 4" xfId="29637"/>
    <cellStyle name="Normal 2 2 3 9 2 2 4" xfId="29638"/>
    <cellStyle name="Normal 2 2 3 2 2 2 2 4" xfId="29639"/>
    <cellStyle name="Normal 2 2 3 3 2 2 2 4" xfId="29640"/>
    <cellStyle name="Normal 2 2 3 4 2 2 2 4" xfId="29641"/>
    <cellStyle name="Normal 2 2 3 5 2 2 2 4" xfId="29642"/>
    <cellStyle name="Normal 2 2 3 6 2 2 2 4" xfId="29643"/>
    <cellStyle name="Normal 2 2 4 5 2 2 4" xfId="29644"/>
    <cellStyle name="Normal 2 2 4 2 2 2 2 4" xfId="29645"/>
    <cellStyle name="Normal 2 2 5 4 2 2 4" xfId="29646"/>
    <cellStyle name="Normal 2 2 5 2 2 2 2 4" xfId="29647"/>
    <cellStyle name="Normal 2 2 6 2 2 2 4" xfId="29648"/>
    <cellStyle name="Normal 2 2 7 2 2 2 4" xfId="29649"/>
    <cellStyle name="Normal 2 2 8 2 2 2 4" xfId="29650"/>
    <cellStyle name="Normal 2 2 9 2 2 2 4" xfId="29651"/>
    <cellStyle name="Normal 2 20 2 2 2 4" xfId="29652"/>
    <cellStyle name="Normal 2 3 2 3 2 2 4" xfId="29653"/>
    <cellStyle name="Normal 2 3 3 2 2 2 4" xfId="29654"/>
    <cellStyle name="Normal 2 3 4 2 2 2 4" xfId="29655"/>
    <cellStyle name="Normal 2 3 5 2 2 2 4" xfId="29656"/>
    <cellStyle name="Normal 2 3 6 2 2 2 4" xfId="29657"/>
    <cellStyle name="Normal 2 4 5 2 2 2 4" xfId="29658"/>
    <cellStyle name="Normal 2 4 2 2 2 2 4" xfId="29659"/>
    <cellStyle name="Normal 2 5 3 2 2 2 4" xfId="29660"/>
    <cellStyle name="Normal 2 6 3 2 2 2 4" xfId="29661"/>
    <cellStyle name="Normal 2 7 3 2 2 2 4" xfId="29662"/>
    <cellStyle name="Normal 2 8 3 2 2 2 4" xfId="29663"/>
    <cellStyle name="Normal 2 9 3 2 2 2 4" xfId="29664"/>
    <cellStyle name="Normal 21 9 2 2 4" xfId="29665"/>
    <cellStyle name="Normal 21 2 7 2 2 4" xfId="29666"/>
    <cellStyle name="Normal 21 2 2 2 2 2 4" xfId="29667"/>
    <cellStyle name="Normal 21 2 3 2 2 2 4" xfId="29668"/>
    <cellStyle name="Normal 21 2 4 2 2 2 4" xfId="29669"/>
    <cellStyle name="Normal 21 2 5 2 2 2 4" xfId="29670"/>
    <cellStyle name="Normal 21 2 6 2 2 2 4" xfId="29671"/>
    <cellStyle name="Normal 21 3 3 2 2 4" xfId="29672"/>
    <cellStyle name="Normal 21 3 2 2 2 2 4" xfId="29673"/>
    <cellStyle name="Normal 21 4 2 2 2 4" xfId="29674"/>
    <cellStyle name="Normal 21 5 2 2 2 4" xfId="29675"/>
    <cellStyle name="Normal 21 6 2 2 2 4" xfId="29676"/>
    <cellStyle name="Normal 21 8 2 2 2 4" xfId="29677"/>
    <cellStyle name="Normal 22 8 2 2 4" xfId="29678"/>
    <cellStyle name="Normal 22 2 7 2 2 4" xfId="29679"/>
    <cellStyle name="Normal 22 2 2 2 2 2 4" xfId="29680"/>
    <cellStyle name="Normal 22 2 3 2 2 2 4" xfId="29681"/>
    <cellStyle name="Normal 22 2 4 2 2 2 4" xfId="29682"/>
    <cellStyle name="Normal 22 2 5 2 2 2 4" xfId="29683"/>
    <cellStyle name="Normal 22 3 2 2 2 4" xfId="29684"/>
    <cellStyle name="Normal 22 4 2 2 2 4" xfId="29685"/>
    <cellStyle name="Normal 22 5 2 2 2 4" xfId="29686"/>
    <cellStyle name="Normal 22 6 2 2 2 4" xfId="29687"/>
    <cellStyle name="Normal 23 8 2 2 4" xfId="29688"/>
    <cellStyle name="Normal 23 2 6 2 2 4" xfId="29689"/>
    <cellStyle name="Normal 23 2 2 2 2 2 4" xfId="29690"/>
    <cellStyle name="Normal 23 2 3 2 2 2 4" xfId="29691"/>
    <cellStyle name="Normal 23 2 4 2 2 2 4" xfId="29692"/>
    <cellStyle name="Normal 23 2 5 2 2 2 4" xfId="29693"/>
    <cellStyle name="Normal 23 3 2 2 2 4" xfId="29694"/>
    <cellStyle name="Normal 23 4 2 2 2 4" xfId="29695"/>
    <cellStyle name="Normal 23 5 2 2 2 4" xfId="29696"/>
    <cellStyle name="Normal 23 6 2 2 2 4" xfId="29697"/>
    <cellStyle name="Normal 24 8 2 2 4" xfId="29698"/>
    <cellStyle name="Normal 24 2 6 2 2 4" xfId="29699"/>
    <cellStyle name="Normal 24 2 2 2 2 2 4" xfId="29700"/>
    <cellStyle name="Normal 24 2 3 2 2 2 4" xfId="29701"/>
    <cellStyle name="Normal 24 2 4 2 2 2 4" xfId="29702"/>
    <cellStyle name="Normal 24 2 5 2 2 2 4" xfId="29703"/>
    <cellStyle name="Normal 24 3 2 2 2 4" xfId="29704"/>
    <cellStyle name="Normal 24 4 2 2 2 4" xfId="29705"/>
    <cellStyle name="Normal 24 5 2 2 2 4" xfId="29706"/>
    <cellStyle name="Normal 24 6 2 2 2 4" xfId="29707"/>
    <cellStyle name="Normal 26 8 2 2 4" xfId="29708"/>
    <cellStyle name="Normal 26 2 6 2 2 4" xfId="29709"/>
    <cellStyle name="Normal 26 2 2 2 2 2 4" xfId="29710"/>
    <cellStyle name="Normal 26 2 3 2 2 2 4" xfId="29711"/>
    <cellStyle name="Normal 26 2 4 2 2 2 4" xfId="29712"/>
    <cellStyle name="Normal 26 2 5 2 2 2 4" xfId="29713"/>
    <cellStyle name="Normal 26 3 2 2 2 4" xfId="29714"/>
    <cellStyle name="Normal 26 4 2 2 2 4" xfId="29715"/>
    <cellStyle name="Normal 26 5 2 2 2 4" xfId="29716"/>
    <cellStyle name="Normal 26 6 2 2 2 4" xfId="29717"/>
    <cellStyle name="Normal 3 10 2 2 2 4" xfId="29718"/>
    <cellStyle name="Normal 3 11 2 2 2 4" xfId="29719"/>
    <cellStyle name="Normal 3 12 2 2 2 4" xfId="29720"/>
    <cellStyle name="Normal 3 13 2 2 2 4" xfId="29721"/>
    <cellStyle name="Normal 3 14 2 2 2 4" xfId="29722"/>
    <cellStyle name="Normal 3 15 2 2 2 4" xfId="29723"/>
    <cellStyle name="Normal 3 16 2 2 2 4" xfId="29724"/>
    <cellStyle name="Normal 3 17 2 2 2 4" xfId="29725"/>
    <cellStyle name="Normal 3 18 2 2 2 4" xfId="29726"/>
    <cellStyle name="Normal 3 19 2 2 2 4" xfId="29727"/>
    <cellStyle name="Normal 3 2 2 2 2 2 4" xfId="29728"/>
    <cellStyle name="Normal 3 2 3 2 2 2 4" xfId="29729"/>
    <cellStyle name="Normal 3 2 4 2 2 2 4" xfId="29730"/>
    <cellStyle name="Normal 3 2 5 2 2 2 4" xfId="29731"/>
    <cellStyle name="Normal 3 2 6 2 2 2 4" xfId="29732"/>
    <cellStyle name="Normal 3 20 2 2 2 4" xfId="29733"/>
    <cellStyle name="Normal 3 21 2 2 2 4" xfId="29734"/>
    <cellStyle name="Normal 3 22 2 2 2 4" xfId="29735"/>
    <cellStyle name="Normal 3 23 2 2 2 4" xfId="29736"/>
    <cellStyle name="Normal 3 24 2 2 2 4" xfId="29737"/>
    <cellStyle name="Normal 3 3 5 2 2 4" xfId="29738"/>
    <cellStyle name="Normal 3 3 2 2 2 2 4" xfId="29739"/>
    <cellStyle name="Normal 3 3 3 2 2 2 4" xfId="29740"/>
    <cellStyle name="Normal 3 4 3 2 2 4" xfId="29741"/>
    <cellStyle name="Normal 3 4 2 2 2 2 4" xfId="29742"/>
    <cellStyle name="Normal 3 5 3 2 2 4" xfId="29743"/>
    <cellStyle name="Normal 3 5 2 2 2 2 4" xfId="29744"/>
    <cellStyle name="Normal 3 6 2 2 2 4" xfId="29745"/>
    <cellStyle name="Normal 3 7 2 2 2 4" xfId="29746"/>
    <cellStyle name="Normal 3 8 2 2 2 4" xfId="29747"/>
    <cellStyle name="Normal 3 9 2 2 2 4" xfId="29748"/>
    <cellStyle name="Normal 4 2 10 2 2 2 4" xfId="29749"/>
    <cellStyle name="Normal 4 2 11 2 2 2 4" xfId="29750"/>
    <cellStyle name="Normal 4 2 12 2 2 2 4" xfId="29751"/>
    <cellStyle name="Normal 4 2 13 2 2 2 4" xfId="29752"/>
    <cellStyle name="Normal 4 2 14 2 2 2 4" xfId="29753"/>
    <cellStyle name="Normal 4 2 15 2 2 2 4" xfId="29754"/>
    <cellStyle name="Normal 4 2 16 2 2 2 4" xfId="29755"/>
    <cellStyle name="Normal 4 2 17 2 2 2 4" xfId="29756"/>
    <cellStyle name="Normal 4 2 18 2 2 2 4" xfId="29757"/>
    <cellStyle name="Normal 4 2 19 2 2 2 4" xfId="29758"/>
    <cellStyle name="Normal 4 2 2 6 2 2 4" xfId="29759"/>
    <cellStyle name="Normal 4 2 2 2 2 2 2 4" xfId="29760"/>
    <cellStyle name="Normal 4 2 2 3 2 2 2 4" xfId="29761"/>
    <cellStyle name="Normal 4 2 2 4 2 2 2 4" xfId="29762"/>
    <cellStyle name="Normal 4 2 2 5 2 2 2 4" xfId="29763"/>
    <cellStyle name="Normal 4 2 20 2 2 2 4" xfId="29764"/>
    <cellStyle name="Normal 4 2 21 2 2 2 4" xfId="29765"/>
    <cellStyle name="Normal 4 2 22 2 2 2 4" xfId="29766"/>
    <cellStyle name="Normal 4 2 23 2 2 2 4" xfId="29767"/>
    <cellStyle name="Normal 4 2 24 2 2 2 4" xfId="29768"/>
    <cellStyle name="Normal 4 2 3 3 2 2 4" xfId="29769"/>
    <cellStyle name="Normal 4 2 3 2 2 2 2 4" xfId="29770"/>
    <cellStyle name="Normal 4 2 4 3 2 2 4" xfId="29771"/>
    <cellStyle name="Normal 4 2 4 2 2 2 2 4" xfId="29772"/>
    <cellStyle name="Normal 4 2 5 3 2 2 4" xfId="29773"/>
    <cellStyle name="Normal 4 2 5 2 2 2 2 4" xfId="29774"/>
    <cellStyle name="Normal 4 2 6 2 2 2 4" xfId="29775"/>
    <cellStyle name="Normal 4 2 7 2 2 2 4" xfId="29776"/>
    <cellStyle name="Normal 4 2 8 2 2 2 4" xfId="29777"/>
    <cellStyle name="Normal 4 2 9 2 2 2 4" xfId="29778"/>
    <cellStyle name="Normal 4 3 7 2 2 4" xfId="29779"/>
    <cellStyle name="Normal 4 3 2 6 2 2 4" xfId="29780"/>
    <cellStyle name="Normal 4 3 2 2 5 2 2 4" xfId="29781"/>
    <cellStyle name="Normal 4 3 2 2 2 3 2 2 4" xfId="29782"/>
    <cellStyle name="Normal 4 3 2 2 2 2 2 2 2 4" xfId="29783"/>
    <cellStyle name="Normal 4 3 2 2 3 3 2 2 4" xfId="29784"/>
    <cellStyle name="Normal 4 3 2 2 3 2 2 2 2 4" xfId="29785"/>
    <cellStyle name="Normal 4 3 2 2 4 2 2 2 4" xfId="29786"/>
    <cellStyle name="Normal 4 3 2 3 3 2 2 4" xfId="29787"/>
    <cellStyle name="Normal 4 3 2 3 2 2 2 2 4" xfId="29788"/>
    <cellStyle name="Normal 4 3 2 4 3 2 2 4" xfId="29789"/>
    <cellStyle name="Normal 4 3 2 4 2 2 2 2 4" xfId="29790"/>
    <cellStyle name="Normal 4 3 2 5 2 2 2 4" xfId="29791"/>
    <cellStyle name="Normal 4 3 3 5 2 2 4" xfId="29792"/>
    <cellStyle name="Normal 4 3 3 2 3 2 2 4" xfId="29793"/>
    <cellStyle name="Normal 4 3 3 2 2 2 2 2 4" xfId="29794"/>
    <cellStyle name="Normal 4 3 3 3 3 2 2 4" xfId="29795"/>
    <cellStyle name="Normal 4 3 3 3 2 2 2 2 4" xfId="29796"/>
    <cellStyle name="Normal 4 3 3 4 2 2 2 4" xfId="29797"/>
    <cellStyle name="Normal 4 3 4 3 2 2 4" xfId="29798"/>
    <cellStyle name="Normal 4 3 4 2 2 2 2 4" xfId="29799"/>
    <cellStyle name="Normal 4 3 5 3 2 2 4" xfId="29800"/>
    <cellStyle name="Normal 4 3 5 2 2 2 2 4" xfId="29801"/>
    <cellStyle name="Normal 4 3 6 2 2 2 4" xfId="29802"/>
    <cellStyle name="Normal 4 4 4 2 2 4" xfId="29803"/>
    <cellStyle name="Normal 4 4 2 2 2 2 4" xfId="29804"/>
    <cellStyle name="Normal 4 5 2 2 2 4" xfId="29805"/>
    <cellStyle name="Normal 4 6 2 2 2 4" xfId="29806"/>
    <cellStyle name="Normal 4 7 2 2 2 4" xfId="29807"/>
    <cellStyle name="Normal 4 8 2 2 2 4" xfId="29808"/>
    <cellStyle name="Normal 41 2 2 2 2 4" xfId="29809"/>
    <cellStyle name="Normal 46 2 2 2 4" xfId="29810"/>
    <cellStyle name="Normal 5 28 2 2 2 4" xfId="29811"/>
    <cellStyle name="Normal 5 2 7 2 2 4" xfId="29812"/>
    <cellStyle name="Normal 5 2 2 2 2 2 2 2 4" xfId="29813"/>
    <cellStyle name="Normal 5 2 2 3 2 2 2 4" xfId="29814"/>
    <cellStyle name="Normal 5 2 3 2 2 2 2 2 4" xfId="29815"/>
    <cellStyle name="Normal 5 2 3 3 2 2 2 4" xfId="29816"/>
    <cellStyle name="Normal 5 2 4 2 2 2 2 4" xfId="29817"/>
    <cellStyle name="Normal 5 2 6 2 2 2 4" xfId="29818"/>
    <cellStyle name="Normal 5 24 2 2 2 4" xfId="29819"/>
    <cellStyle name="Normal 5 3 3 2 2 4" xfId="29820"/>
    <cellStyle name="Normal 5 4 3 2 2 4" xfId="29821"/>
    <cellStyle name="Normal 5 5 3 2 2 4" xfId="29822"/>
    <cellStyle name="Normal 5 6 3 2 2 4" xfId="29823"/>
    <cellStyle name="Normal 5 7 3 2 2 4" xfId="29824"/>
    <cellStyle name="Normal 7 25 2 2 2 4" xfId="29825"/>
    <cellStyle name="Normal 7 10 2 2 2 4" xfId="29826"/>
    <cellStyle name="Normal 7 11 2 2 2 4" xfId="29827"/>
    <cellStyle name="Normal 7 12 2 2 2 4" xfId="29828"/>
    <cellStyle name="Normal 7 13 2 2 2 4" xfId="29829"/>
    <cellStyle name="Normal 7 14 2 2 2 4" xfId="29830"/>
    <cellStyle name="Normal 7 15 2 2 2 4" xfId="29831"/>
    <cellStyle name="Normal 7 16 2 2 2 4" xfId="29832"/>
    <cellStyle name="Normal 7 17 2 2 2 4" xfId="29833"/>
    <cellStyle name="Normal 7 18 2 2 2 4" xfId="29834"/>
    <cellStyle name="Normal 7 19 2 2 2 4" xfId="29835"/>
    <cellStyle name="Normal 7 2 6 2 2 4" xfId="29836"/>
    <cellStyle name="Normal 7 2 2 2 2 2 4" xfId="29837"/>
    <cellStyle name="Normal 7 2 3 2 2 2 4" xfId="29838"/>
    <cellStyle name="Normal 7 2 4 2 2 2 4" xfId="29839"/>
    <cellStyle name="Normal 7 2 5 2 2 2 4" xfId="29840"/>
    <cellStyle name="Normal 7 20 2 2 2 4" xfId="29841"/>
    <cellStyle name="Normal 7 22 2 2 2 4" xfId="29842"/>
    <cellStyle name="Normal 7 3 6 2 2 4" xfId="29843"/>
    <cellStyle name="Normal 7 3 2 2 2 2 4" xfId="29844"/>
    <cellStyle name="Normal 7 3 3 2 2 2 4" xfId="29845"/>
    <cellStyle name="Normal 7 3 4 2 2 2 4" xfId="29846"/>
    <cellStyle name="Normal 7 3 5 2 2 2 4" xfId="29847"/>
    <cellStyle name="Normal 7 4 2 2 2 4" xfId="29848"/>
    <cellStyle name="Normal 7 5 2 2 2 4" xfId="29849"/>
    <cellStyle name="Normal 7 6 2 2 2 4" xfId="29850"/>
    <cellStyle name="Normal 7 7 2 2 2 4" xfId="29851"/>
    <cellStyle name="Normal 7 8 2 2 2 4" xfId="29852"/>
    <cellStyle name="Normal 7 9 2 2 2 4" xfId="29853"/>
    <cellStyle name="Normal 8 25 2 2 2 4" xfId="29854"/>
    <cellStyle name="Normal 8 10 2 2 2 4" xfId="29855"/>
    <cellStyle name="Normal 8 11 2 2 2 4" xfId="29856"/>
    <cellStyle name="Normal 8 12 2 2 2 4" xfId="29857"/>
    <cellStyle name="Normal 8 13 2 2 2 4" xfId="29858"/>
    <cellStyle name="Normal 8 14 2 2 2 4" xfId="29859"/>
    <cellStyle name="Normal 8 15 2 2 2 4" xfId="29860"/>
    <cellStyle name="Normal 8 16 2 2 2 4" xfId="29861"/>
    <cellStyle name="Normal 8 17 2 2 2 4" xfId="29862"/>
    <cellStyle name="Normal 8 18 2 2 2 4" xfId="29863"/>
    <cellStyle name="Normal 8 19 2 2 2 4" xfId="29864"/>
    <cellStyle name="Normal 8 2 6 2 2 2 4" xfId="29865"/>
    <cellStyle name="Normal 8 2 2 2 2 2 2 4" xfId="29866"/>
    <cellStyle name="Normal 8 2 3 2 2 2 4" xfId="29867"/>
    <cellStyle name="Normal 8 2 4 2 2 2 4" xfId="29868"/>
    <cellStyle name="Normal 8 2 5 2 2 2 4" xfId="29869"/>
    <cellStyle name="Normal 8 20 2 2 2 4" xfId="29870"/>
    <cellStyle name="Normal 8 22 2 2 2 4" xfId="29871"/>
    <cellStyle name="Normal 8 3 6 2 2 2 4" xfId="29872"/>
    <cellStyle name="Normal 8 3 2 2 2 2 4" xfId="29873"/>
    <cellStyle name="Normal 8 3 3 2 2 2 4" xfId="29874"/>
    <cellStyle name="Normal 8 3 4 2 2 2 4" xfId="29875"/>
    <cellStyle name="Normal 8 3 5 2 2 2 4" xfId="29876"/>
    <cellStyle name="Normal 8 4 2 2 2 4" xfId="29877"/>
    <cellStyle name="Normal 8 5 2 2 2 4" xfId="29878"/>
    <cellStyle name="Normal 8 6 2 2 2 4" xfId="29879"/>
    <cellStyle name="Normal 8 7 2 2 2 4" xfId="29880"/>
    <cellStyle name="Normal 8 8 2 2 2 4" xfId="29881"/>
    <cellStyle name="Normal 8 9 2 2 2 4" xfId="29882"/>
    <cellStyle name="Normal 9 25 2 2 2 4" xfId="29883"/>
    <cellStyle name="Normal 9 10 2 2 2 4" xfId="29884"/>
    <cellStyle name="Normal 9 11 2 2 2 4" xfId="29885"/>
    <cellStyle name="Normal 9 12 2 2 2 4" xfId="29886"/>
    <cellStyle name="Normal 9 13 2 2 2 4" xfId="29887"/>
    <cellStyle name="Normal 9 14 2 2 2 4" xfId="29888"/>
    <cellStyle name="Normal 9 15 2 2 2 4" xfId="29889"/>
    <cellStyle name="Normal 9 16 2 2 2 4" xfId="29890"/>
    <cellStyle name="Normal 9 17 2 2 2 4" xfId="29891"/>
    <cellStyle name="Normal 9 18 2 2 2 4" xfId="29892"/>
    <cellStyle name="Normal 9 19 2 2 2 4" xfId="29893"/>
    <cellStyle name="Normal 9 2 6 2 2 4" xfId="29894"/>
    <cellStyle name="Normal 9 2 2 2 2 2 4" xfId="29895"/>
    <cellStyle name="Normal 9 2 3 2 2 2 4" xfId="29896"/>
    <cellStyle name="Normal 9 2 4 2 2 2 4" xfId="29897"/>
    <cellStyle name="Normal 9 2 5 2 2 2 4" xfId="29898"/>
    <cellStyle name="Normal 9 20 2 2 2 4" xfId="29899"/>
    <cellStyle name="Normal 9 22 2 2 2 4" xfId="29900"/>
    <cellStyle name="Normal 9 3 6 2 2 4" xfId="29901"/>
    <cellStyle name="Normal 9 3 2 2 2 2 4" xfId="29902"/>
    <cellStyle name="Normal 9 3 3 2 2 2 4" xfId="29903"/>
    <cellStyle name="Normal 9 3 4 2 2 2 4" xfId="29904"/>
    <cellStyle name="Normal 9 3 5 2 2 2 4" xfId="29905"/>
    <cellStyle name="Normal 9 4 2 2 2 4" xfId="29906"/>
    <cellStyle name="Normal 9 5 2 2 2 4" xfId="29907"/>
    <cellStyle name="Normal 9 6 2 2 2 4" xfId="29908"/>
    <cellStyle name="Normal 9 7 2 2 2 4" xfId="29909"/>
    <cellStyle name="Normal 9 8 2 2 2 4" xfId="29910"/>
    <cellStyle name="Normal 9 9 2 2 2 4" xfId="29911"/>
    <cellStyle name="Note 2 2 2 2 4" xfId="29912"/>
    <cellStyle name="Note 3 2 2 2 4" xfId="29913"/>
    <cellStyle name="Note 4 2 2 2 4" xfId="29914"/>
    <cellStyle name="Note 7 2 2 2 4" xfId="29915"/>
    <cellStyle name="Percent 120 2 2 2 4" xfId="29916"/>
    <cellStyle name="Percent 121 2 2 2 4" xfId="29917"/>
    <cellStyle name="Percent 122 2 2 2 4" xfId="29918"/>
    <cellStyle name="Percent 123 2 2 2 4" xfId="29919"/>
    <cellStyle name="Percent 124 2 2 2 4" xfId="29920"/>
    <cellStyle name="Percent 125 2 2 2 4" xfId="29921"/>
    <cellStyle name="Percent 126 2 2 2 4" xfId="29922"/>
    <cellStyle name="Percent 127 2 2 2 4" xfId="29923"/>
    <cellStyle name="Percent 128 2 2 2 4" xfId="29924"/>
    <cellStyle name="Percent 129 2 2 2 4" xfId="29925"/>
    <cellStyle name="Percent 130 2 2 2 4" xfId="29926"/>
    <cellStyle name="Percent 159 2 2 2 4" xfId="29927"/>
    <cellStyle name="Percent 2 22 2 2 2 4" xfId="29928"/>
    <cellStyle name="Percent 25 2 3 2 2 4" xfId="29929"/>
    <cellStyle name="Percent 25 2 2 2 2 2 4" xfId="29930"/>
    <cellStyle name="Percent 25 3 3 2 2 4" xfId="29931"/>
    <cellStyle name="Percent 25 3 2 2 2 2 4" xfId="29932"/>
    <cellStyle name="Percent 25 4 2 2 2 2 4" xfId="29933"/>
    <cellStyle name="Percent 25 5 2 2 2 4" xfId="29934"/>
    <cellStyle name="Percent 26 2 3 2 2 4" xfId="29935"/>
    <cellStyle name="Percent 26 2 2 2 2 2 4" xfId="29936"/>
    <cellStyle name="Percent 26 3 3 2 2 4" xfId="29937"/>
    <cellStyle name="Percent 26 3 2 2 2 2 4" xfId="29938"/>
    <cellStyle name="Percent 26 4 2 2 2 2 4" xfId="29939"/>
    <cellStyle name="Percent 26 5 2 2 2 4" xfId="29940"/>
    <cellStyle name="Percent 27 2 3 2 2 4" xfId="29941"/>
    <cellStyle name="Percent 27 2 2 2 2 2 4" xfId="29942"/>
    <cellStyle name="Percent 27 3 3 2 2 4" xfId="29943"/>
    <cellStyle name="Percent 27 3 2 2 2 2 4" xfId="29944"/>
    <cellStyle name="Percent 27 4 2 2 2 2 4" xfId="29945"/>
    <cellStyle name="Percent 27 5 2 2 2 4" xfId="29946"/>
    <cellStyle name="Percent 28 2 3 2 2 4" xfId="29947"/>
    <cellStyle name="Percent 28 2 2 2 2 2 4" xfId="29948"/>
    <cellStyle name="Percent 28 3 3 2 2 4" xfId="29949"/>
    <cellStyle name="Percent 28 3 2 2 2 2 4" xfId="29950"/>
    <cellStyle name="Percent 28 4 2 2 2 2 4" xfId="29951"/>
    <cellStyle name="Percent 28 5 2 2 2 4" xfId="29952"/>
    <cellStyle name="Percent 29 2 3 2 2 4" xfId="29953"/>
    <cellStyle name="Percent 29 2 2 2 2 2 4" xfId="29954"/>
    <cellStyle name="Percent 29 3 3 2 2 4" xfId="29955"/>
    <cellStyle name="Percent 29 3 2 2 2 2 4" xfId="29956"/>
    <cellStyle name="Percent 29 4 2 2 2 2 4" xfId="29957"/>
    <cellStyle name="Percent 29 5 2 2 2 4" xfId="29958"/>
    <cellStyle name="Percent 3 10 2 2 2 4" xfId="29959"/>
    <cellStyle name="Percent 3 11 2 2 2 4" xfId="29960"/>
    <cellStyle name="Percent 3 12 2 2 2 4" xfId="29961"/>
    <cellStyle name="Percent 3 13 2 2 2 4" xfId="29962"/>
    <cellStyle name="Percent 3 14 2 2 2 4" xfId="29963"/>
    <cellStyle name="Percent 3 15 2 2 2 4" xfId="29964"/>
    <cellStyle name="Percent 3 16 2 2 2 4" xfId="29965"/>
    <cellStyle name="Percent 3 17 2 2 2 4" xfId="29966"/>
    <cellStyle name="Percent 3 18 2 2 2 4" xfId="29967"/>
    <cellStyle name="Percent 3 19 2 2 2 4" xfId="29968"/>
    <cellStyle name="Percent 3 2 23 2 2 4" xfId="29969"/>
    <cellStyle name="Percent 3 2 10 2 2 2 4" xfId="29970"/>
    <cellStyle name="Percent 3 2 11 2 2 2 4" xfId="29971"/>
    <cellStyle name="Percent 3 2 12 2 2 2 4" xfId="29972"/>
    <cellStyle name="Percent 3 2 13 2 2 2 4" xfId="29973"/>
    <cellStyle name="Percent 3 2 14 2 2 2 4" xfId="29974"/>
    <cellStyle name="Percent 3 2 15 2 2 2 4" xfId="29975"/>
    <cellStyle name="Percent 3 2 16 2 2 2 4" xfId="29976"/>
    <cellStyle name="Percent 3 2 17 2 2 2 4" xfId="29977"/>
    <cellStyle name="Percent 3 2 18 2 2 2 4" xfId="29978"/>
    <cellStyle name="Percent 3 2 19 2 2 2 4" xfId="29979"/>
    <cellStyle name="Percent 3 2 2 2 2 2 2 4" xfId="29980"/>
    <cellStyle name="Percent 3 2 2 3 2 2 2 4" xfId="29981"/>
    <cellStyle name="Percent 3 2 2 4 2 2 2 4" xfId="29982"/>
    <cellStyle name="Percent 3 2 2 5 2 2 2 4" xfId="29983"/>
    <cellStyle name="Percent 3 2 20 2 2 2 4" xfId="29984"/>
    <cellStyle name="Percent 3 2 21 2 2 2 2 4" xfId="29985"/>
    <cellStyle name="Percent 3 2 3 6 2 2 4" xfId="29986"/>
    <cellStyle name="Percent 3 2 3 2 2 2 2 4" xfId="29987"/>
    <cellStyle name="Percent 3 2 3 3 2 2 2 4" xfId="29988"/>
    <cellStyle name="Percent 3 2 3 4 2 2 2 4" xfId="29989"/>
    <cellStyle name="Percent 3 2 3 5 2 2 2 4" xfId="29990"/>
    <cellStyle name="Percent 3 2 4 3 2 2 4" xfId="29991"/>
    <cellStyle name="Percent 3 2 4 2 2 2 2 4" xfId="29992"/>
    <cellStyle name="Percent 3 2 5 3 2 2 4" xfId="29993"/>
    <cellStyle name="Percent 3 2 5 2 2 2 2 4" xfId="29994"/>
    <cellStyle name="Percent 3 2 6 3 2 2 4" xfId="29995"/>
    <cellStyle name="Percent 3 2 6 2 2 2 2 4" xfId="29996"/>
    <cellStyle name="Percent 3 2 7 2 2 2 4" xfId="29997"/>
    <cellStyle name="Percent 3 2 8 2 2 2 4" xfId="29998"/>
    <cellStyle name="Percent 3 2 9 2 2 2 4" xfId="29999"/>
    <cellStyle name="Percent 3 20 2 2 2 4" xfId="30000"/>
    <cellStyle name="Percent 3 21 2 2 2 4" xfId="30001"/>
    <cellStyle name="Percent 3 3 2 2 2 2 4" xfId="30002"/>
    <cellStyle name="Percent 3 3 3 2 2 2 4" xfId="30003"/>
    <cellStyle name="Percent 3 3 4 2 2 2 4" xfId="30004"/>
    <cellStyle name="Percent 3 3 5 2 2 2 4" xfId="30005"/>
    <cellStyle name="Percent 3 4 6 2 2 4" xfId="30006"/>
    <cellStyle name="Percent 3 4 2 2 2 2 4" xfId="30007"/>
    <cellStyle name="Percent 3 4 3 2 2 2 4" xfId="30008"/>
    <cellStyle name="Percent 3 4 4 2 2 2 4" xfId="30009"/>
    <cellStyle name="Percent 3 4 5 2 2 2 4" xfId="30010"/>
    <cellStyle name="Percent 3 5 3 2 2 4" xfId="30011"/>
    <cellStyle name="Percent 3 5 2 2 2 2 4" xfId="30012"/>
    <cellStyle name="Percent 3 6 3 2 2 4" xfId="30013"/>
    <cellStyle name="Percent 3 6 2 2 2 2 4" xfId="30014"/>
    <cellStyle name="Percent 3 7 3 2 2 4" xfId="30015"/>
    <cellStyle name="Percent 3 7 2 2 2 2 4" xfId="30016"/>
    <cellStyle name="Percent 3 8 2 2 2 4" xfId="30017"/>
    <cellStyle name="Percent 3 9 2 2 2 4" xfId="30018"/>
    <cellStyle name="Percent 30 2 3 2 2 4" xfId="30019"/>
    <cellStyle name="Percent 30 2 2 2 2 2 4" xfId="30020"/>
    <cellStyle name="Percent 30 3 3 2 2 4" xfId="30021"/>
    <cellStyle name="Percent 30 3 2 2 2 2 4" xfId="30022"/>
    <cellStyle name="Percent 30 4 2 2 2 2 4" xfId="30023"/>
    <cellStyle name="Percent 30 5 2 2 2 4" xfId="30024"/>
    <cellStyle name="Percent 31 2 3 2 2 4" xfId="30025"/>
    <cellStyle name="Percent 31 2 2 2 2 2 4" xfId="30026"/>
    <cellStyle name="Percent 31 3 3 2 2 4" xfId="30027"/>
    <cellStyle name="Percent 31 3 2 2 2 2 4" xfId="30028"/>
    <cellStyle name="Percent 31 4 2 2 2 2 4" xfId="30029"/>
    <cellStyle name="Percent 31 5 2 2 2 4" xfId="30030"/>
    <cellStyle name="Percent 32 2 3 2 2 4" xfId="30031"/>
    <cellStyle name="Percent 32 2 2 2 2 2 4" xfId="30032"/>
    <cellStyle name="Percent 32 3 3 2 2 4" xfId="30033"/>
    <cellStyle name="Percent 32 3 2 2 2 2 4" xfId="30034"/>
    <cellStyle name="Percent 32 4 2 2 2 2 4" xfId="30035"/>
    <cellStyle name="Percent 32 5 2 2 2 4" xfId="30036"/>
    <cellStyle name="Percent 33 2 3 2 2 4" xfId="30037"/>
    <cellStyle name="Percent 33 2 2 2 2 2 4" xfId="30038"/>
    <cellStyle name="Percent 33 3 3 2 2 4" xfId="30039"/>
    <cellStyle name="Percent 33 3 2 2 2 2 4" xfId="30040"/>
    <cellStyle name="Percent 33 4 2 2 2 2 4" xfId="30041"/>
    <cellStyle name="Percent 33 5 2 2 2 4" xfId="30042"/>
    <cellStyle name="Percent 34 2 3 2 2 4" xfId="30043"/>
    <cellStyle name="Percent 34 2 2 2 2 2 4" xfId="30044"/>
    <cellStyle name="Percent 34 3 3 2 2 4" xfId="30045"/>
    <cellStyle name="Percent 34 3 2 2 2 2 4" xfId="30046"/>
    <cellStyle name="Percent 34 4 2 2 2 2 4" xfId="30047"/>
    <cellStyle name="Percent 34 5 2 2 2 4" xfId="30048"/>
    <cellStyle name="Percent 35 2 3 2 2 4" xfId="30049"/>
    <cellStyle name="Percent 35 2 2 2 2 2 4" xfId="30050"/>
    <cellStyle name="Percent 35 3 3 2 2 4" xfId="30051"/>
    <cellStyle name="Percent 35 3 2 2 2 2 4" xfId="30052"/>
    <cellStyle name="Percent 35 4 2 2 2 2 4" xfId="30053"/>
    <cellStyle name="Percent 35 5 2 2 2 4" xfId="30054"/>
    <cellStyle name="Currency 5 4 2 2 2 4" xfId="30055"/>
    <cellStyle name="Comma 5 7 2 2 2 4" xfId="30056"/>
    <cellStyle name="Percent 5 4 2 2 2 4" xfId="30057"/>
    <cellStyle name="Comma 6 5 2 2 2 4" xfId="30058"/>
    <cellStyle name="Currency 5 2 4 2 2 2 4" xfId="30059"/>
    <cellStyle name="Comma 5 2 4 2 2 2 4" xfId="30060"/>
    <cellStyle name="Percent 5 2 4 2 2 2 4" xfId="30061"/>
    <cellStyle name="Comma 6 2 3 2 2 2 4" xfId="30062"/>
    <cellStyle name="Currency 5 3 2 2 2 2 4" xfId="30063"/>
    <cellStyle name="Comma 5 3 2 2 2 2 4" xfId="30064"/>
    <cellStyle name="Percent 5 3 2 2 2 2 4" xfId="30065"/>
    <cellStyle name="Comma 6 3 4 2 2 2 4" xfId="30066"/>
    <cellStyle name="Normal 11 2 2 2 2 2 4" xfId="30067"/>
    <cellStyle name="Currency 5 2 2 2 2 2 2 4" xfId="30068"/>
    <cellStyle name="Comma 5 2 2 2 2 2 2 4" xfId="30069"/>
    <cellStyle name="Percent 5 2 2 2 2 2 2 4" xfId="30070"/>
    <cellStyle name="Comma 6 2 2 2 2 2 2 4" xfId="30071"/>
    <cellStyle name="Comma 4 7 4 2" xfId="30072"/>
    <cellStyle name="Currency 4 7 4" xfId="30073"/>
    <cellStyle name="Currency 4 2 3 4" xfId="30074"/>
    <cellStyle name="Currency 7 6 4" xfId="30075"/>
    <cellStyle name="Normal 7 26 4" xfId="30076"/>
    <cellStyle name="Percent 5 9 4 2" xfId="30077"/>
    <cellStyle name="Percent 5 2 9 4" xfId="30078"/>
    <cellStyle name="Percent 5 2 2 7 4" xfId="30079"/>
    <cellStyle name="Percent 8 3 4" xfId="30080"/>
    <cellStyle name="Comma 4 2 3 4" xfId="30081"/>
    <cellStyle name="Currency 4 3 5 4" xfId="30082"/>
    <cellStyle name="Currency 4 2 2 4" xfId="30083"/>
    <cellStyle name="Currency 7 2 4 4" xfId="30084"/>
    <cellStyle name="Normal 7 2 9 4" xfId="30085"/>
    <cellStyle name="Percent 5 3 7 4" xfId="30086"/>
    <cellStyle name="Percent 5 2 3 2 4" xfId="30087"/>
    <cellStyle name="Percent 5 2 2 2 5 4" xfId="30088"/>
    <cellStyle name="Percent 8 2 4 4" xfId="30089"/>
    <cellStyle name="Normal 12 11 4" xfId="30090"/>
    <cellStyle name="Comma 6 10 4" xfId="30091"/>
    <cellStyle name="Comma 6 2 8 4" xfId="30092"/>
    <cellStyle name="Normal 57 2" xfId="30093"/>
    <cellStyle name="Currency 5 9 2" xfId="30094"/>
    <cellStyle name="Normal 8 29 2" xfId="30095"/>
    <cellStyle name="Comma 5 12 3 2" xfId="30096"/>
    <cellStyle name="Percent 5 10 3 2" xfId="30097"/>
    <cellStyle name="Comma 6 11 2" xfId="30098"/>
    <cellStyle name="Normal 11 8 2" xfId="30099"/>
    <cellStyle name="Currency 5 2 9 2" xfId="30100"/>
    <cellStyle name="Normal 8 2 10 2" xfId="30101"/>
    <cellStyle name="Comma 5 2 9 2" xfId="30102"/>
    <cellStyle name="Percent 5 2 10 2" xfId="30103"/>
    <cellStyle name="Comma 6 2 9 2" xfId="30104"/>
    <cellStyle name="Currency 5 3 7 2" xfId="30105"/>
    <cellStyle name="Normal 8 3 10 2" xfId="30106"/>
    <cellStyle name="Comma 5 3 7 2" xfId="30107"/>
    <cellStyle name="Percent 5 3 8 2" xfId="30108"/>
    <cellStyle name="Comma 6 3 9 2" xfId="30109"/>
    <cellStyle name="Normal 11 2 7 2" xfId="30110"/>
    <cellStyle name="Currency 5 2 2 7 2" xfId="30111"/>
    <cellStyle name="Normal 8 2 2 6 2" xfId="30112"/>
    <cellStyle name="Comma 5 2 2 7 2" xfId="30113"/>
    <cellStyle name="Percent 5 2 2 8 2" xfId="30114"/>
    <cellStyle name="Comma 6 2 2 6 2" xfId="30115"/>
    <cellStyle name="Normal 50 5 2" xfId="30116"/>
    <cellStyle name="Comma 186 5 2" xfId="30117"/>
    <cellStyle name="Percent 162 5 2" xfId="30118"/>
    <cellStyle name="Normal 2 24 5 2" xfId="30119"/>
    <cellStyle name="20% - Accent1 2 5 2" xfId="30120"/>
    <cellStyle name="20% - Accent1 3 5 2" xfId="30121"/>
    <cellStyle name="20% - Accent1 4 5 2" xfId="30122"/>
    <cellStyle name="20% - Accent1 5 5 2" xfId="30123"/>
    <cellStyle name="20% - Accent2 2 5 2" xfId="30124"/>
    <cellStyle name="20% - Accent2 3 5 2" xfId="30125"/>
    <cellStyle name="20% - Accent2 4 5 2" xfId="30126"/>
    <cellStyle name="20% - Accent2 5 5 2" xfId="30127"/>
    <cellStyle name="20% - Accent3 2 5 2" xfId="30128"/>
    <cellStyle name="20% - Accent3 3 5 2" xfId="30129"/>
    <cellStyle name="20% - Accent3 4 5 2" xfId="30130"/>
    <cellStyle name="20% - Accent3 5 5 2" xfId="30131"/>
    <cellStyle name="20% - Accent4 2 5 2" xfId="30132"/>
    <cellStyle name="20% - Accent4 3 5 2" xfId="30133"/>
    <cellStyle name="20% - Accent4 4 5 2" xfId="30134"/>
    <cellStyle name="20% - Accent4 5 5 2" xfId="30135"/>
    <cellStyle name="20% - Accent5 2 5 2" xfId="30136"/>
    <cellStyle name="20% - Accent5 3 5 2" xfId="30137"/>
    <cellStyle name="20% - Accent5 4 5 2" xfId="30138"/>
    <cellStyle name="20% - Accent6 2 5 2" xfId="30139"/>
    <cellStyle name="20% - Accent6 3 5 2" xfId="30140"/>
    <cellStyle name="20% - Accent6 4 5 2" xfId="30141"/>
    <cellStyle name="40% - Accent1 2 5 2" xfId="30142"/>
    <cellStyle name="40% - Accent1 3 5 2" xfId="30143"/>
    <cellStyle name="40% - Accent1 4 5 2" xfId="30144"/>
    <cellStyle name="40% - Accent1 5 5 2" xfId="30145"/>
    <cellStyle name="40% - Accent2 2 5 2" xfId="30146"/>
    <cellStyle name="40% - Accent2 3 5 2" xfId="30147"/>
    <cellStyle name="40% - Accent2 4 5 2" xfId="30148"/>
    <cellStyle name="40% - Accent3 2 5 2" xfId="30149"/>
    <cellStyle name="40% - Accent3 3 5 2" xfId="30150"/>
    <cellStyle name="40% - Accent3 4 5 2" xfId="30151"/>
    <cellStyle name="40% - Accent3 5 5 2" xfId="30152"/>
    <cellStyle name="40% - Accent4 2 5 2" xfId="30153"/>
    <cellStyle name="40% - Accent4 3 5 2" xfId="30154"/>
    <cellStyle name="40% - Accent4 4 5 2" xfId="30155"/>
    <cellStyle name="40% - Accent4 5 5 2" xfId="30156"/>
    <cellStyle name="40% - Accent5 2 5 2" xfId="30157"/>
    <cellStyle name="40% - Accent5 3 5 2" xfId="30158"/>
    <cellStyle name="40% - Accent5 4 5 2" xfId="30159"/>
    <cellStyle name="40% - Accent6 2 5 2" xfId="30160"/>
    <cellStyle name="40% - Accent6 3 5 2" xfId="30161"/>
    <cellStyle name="40% - Accent6 4 5 2" xfId="30162"/>
    <cellStyle name="40% - Accent6 5 5 2" xfId="30163"/>
    <cellStyle name="Comma 143 5 2" xfId="30164"/>
    <cellStyle name="Comma 144 5 2" xfId="30165"/>
    <cellStyle name="Comma 145 5 2" xfId="30166"/>
    <cellStyle name="Comma 146 5 2" xfId="30167"/>
    <cellStyle name="Comma 147 5 2" xfId="30168"/>
    <cellStyle name="Comma 148 5 2" xfId="30169"/>
    <cellStyle name="Comma 149 5 2" xfId="30170"/>
    <cellStyle name="Comma 150 5 2" xfId="30171"/>
    <cellStyle name="Comma 151 5 2" xfId="30172"/>
    <cellStyle name="Comma 152 5 2" xfId="30173"/>
    <cellStyle name="Comma 153 5 2" xfId="30174"/>
    <cellStyle name="Comma 182 5 2" xfId="30175"/>
    <cellStyle name="Comma 2 23 5 2" xfId="30176"/>
    <cellStyle name="Comma 2 2 10 5 2" xfId="30177"/>
    <cellStyle name="Comma 2 2 11 5 2" xfId="30178"/>
    <cellStyle name="Comma 2 2 12 5 2" xfId="30179"/>
    <cellStyle name="Comma 2 2 13 5 2" xfId="30180"/>
    <cellStyle name="Comma 2 2 14 5 2" xfId="30181"/>
    <cellStyle name="Comma 2 2 15 5 2" xfId="30182"/>
    <cellStyle name="Comma 2 2 16 5 2" xfId="30183"/>
    <cellStyle name="Comma 2 2 17 5 2" xfId="30184"/>
    <cellStyle name="Comma 2 2 2 2 9 2" xfId="30185"/>
    <cellStyle name="Comma 2 2 2 2 2 5 2" xfId="30186"/>
    <cellStyle name="Comma 2 2 2 2 3 5 2" xfId="30187"/>
    <cellStyle name="Comma 2 2 2 2 4 5 2" xfId="30188"/>
    <cellStyle name="Comma 2 2 2 2 5 5 2" xfId="30189"/>
    <cellStyle name="Comma 2 2 2 3 5 2" xfId="30190"/>
    <cellStyle name="Comma 2 2 2 4 5 2" xfId="30191"/>
    <cellStyle name="Comma 2 2 2 5 5 2" xfId="30192"/>
    <cellStyle name="Comma 2 2 2 6 5 2" xfId="30193"/>
    <cellStyle name="Comma 2 2 3 9 2" xfId="30194"/>
    <cellStyle name="Comma 2 2 3 2 2 5 2" xfId="30195"/>
    <cellStyle name="Comma 2 2 3 2 3 5 2" xfId="30196"/>
    <cellStyle name="Comma 2 2 3 2 4 5 2" xfId="30197"/>
    <cellStyle name="Comma 2 2 3 2 5 5 2" xfId="30198"/>
    <cellStyle name="Comma 2 2 3 3 5 2" xfId="30199"/>
    <cellStyle name="Comma 2 2 4 2 5 2" xfId="30200"/>
    <cellStyle name="Comma 2 2 5 5 2" xfId="30201"/>
    <cellStyle name="Comma 2 2 6 5 2" xfId="30202"/>
    <cellStyle name="Comma 2 2 7 5 2" xfId="30203"/>
    <cellStyle name="Comma 2 2 8 5 2" xfId="30204"/>
    <cellStyle name="Comma 2 2 9 5 2" xfId="30205"/>
    <cellStyle name="Comma 3 10 5 2" xfId="30206"/>
    <cellStyle name="Comma 3 11 5 2" xfId="30207"/>
    <cellStyle name="Comma 3 12 5 2" xfId="30208"/>
    <cellStyle name="Comma 3 13 5 2" xfId="30209"/>
    <cellStyle name="Comma 3 14 5 2" xfId="30210"/>
    <cellStyle name="Comma 3 15 5 2" xfId="30211"/>
    <cellStyle name="Comma 3 16 5 2" xfId="30212"/>
    <cellStyle name="Comma 3 17 5 2" xfId="30213"/>
    <cellStyle name="Comma 3 18 5 2" xfId="30214"/>
    <cellStyle name="Comma 3 19 5 2" xfId="30215"/>
    <cellStyle name="Comma 3 2 2 5 2" xfId="30216"/>
    <cellStyle name="Comma 3 2 3 5 2" xfId="30217"/>
    <cellStyle name="Comma 3 2 4 5 2" xfId="30218"/>
    <cellStyle name="Comma 3 2 5 5 2" xfId="30219"/>
    <cellStyle name="Comma 3 20 5 2" xfId="30220"/>
    <cellStyle name="Comma 3 21 5 2" xfId="30221"/>
    <cellStyle name="Comma 3 3 9 2" xfId="30222"/>
    <cellStyle name="Comma 3 3 2 5 2" xfId="30223"/>
    <cellStyle name="Comma 3 3 3 5 2" xfId="30224"/>
    <cellStyle name="Comma 3 3 4 5 2" xfId="30225"/>
    <cellStyle name="Comma 3 3 5 5 2" xfId="30226"/>
    <cellStyle name="Comma 3 4 6 2" xfId="30227"/>
    <cellStyle name="Comma 3 4 2 5 2" xfId="30228"/>
    <cellStyle name="Comma 3 5 6 2" xfId="30229"/>
    <cellStyle name="Comma 3 5 2 5 2" xfId="30230"/>
    <cellStyle name="Comma 3 6 6 2" xfId="30231"/>
    <cellStyle name="Comma 3 6 2 5 2" xfId="30232"/>
    <cellStyle name="Comma 3 7 5 2" xfId="30233"/>
    <cellStyle name="Comma 3 8 5 2" xfId="30234"/>
    <cellStyle name="Comma 3 9 5 2" xfId="30235"/>
    <cellStyle name="Currency 120 5 2" xfId="30236"/>
    <cellStyle name="Currency 121 5 2" xfId="30237"/>
    <cellStyle name="Currency 122 5 2" xfId="30238"/>
    <cellStyle name="Currency 123 5 2" xfId="30239"/>
    <cellStyle name="Currency 124 5 2" xfId="30240"/>
    <cellStyle name="Currency 125 5 2" xfId="30241"/>
    <cellStyle name="Currency 126 5 2" xfId="30242"/>
    <cellStyle name="Currency 127 5 2" xfId="30243"/>
    <cellStyle name="Currency 128 5 2" xfId="30244"/>
    <cellStyle name="Currency 129 5 2" xfId="30245"/>
    <cellStyle name="Currency 130 5 2" xfId="30246"/>
    <cellStyle name="Currency 159 5 2" xfId="30247"/>
    <cellStyle name="Currency 2 27 5 2" xfId="30248"/>
    <cellStyle name="Currency 2 2 20 5 2" xfId="30249"/>
    <cellStyle name="Currency 2 2 10 5 2" xfId="30250"/>
    <cellStyle name="Currency 2 2 11 5 2" xfId="30251"/>
    <cellStyle name="Currency 2 2 12 5 2" xfId="30252"/>
    <cellStyle name="Currency 2 2 13 5 2" xfId="30253"/>
    <cellStyle name="Currency 2 2 14 5 2" xfId="30254"/>
    <cellStyle name="Currency 2 2 15 5 2" xfId="30255"/>
    <cellStyle name="Currency 2 2 16 5 2" xfId="30256"/>
    <cellStyle name="Currency 2 2 17 5 2" xfId="30257"/>
    <cellStyle name="Currency 2 2 18 5 2" xfId="30258"/>
    <cellStyle name="Currency 2 2 2 2 5 2" xfId="30259"/>
    <cellStyle name="Currency 2 2 2 3 5 2" xfId="30260"/>
    <cellStyle name="Currency 2 2 2 4 5 2" xfId="30261"/>
    <cellStyle name="Currency 2 2 2 5 5 2" xfId="30262"/>
    <cellStyle name="Currency 2 2 3 9 2" xfId="30263"/>
    <cellStyle name="Currency 2 2 3 2 5 2" xfId="30264"/>
    <cellStyle name="Currency 2 2 3 3 5 2" xfId="30265"/>
    <cellStyle name="Currency 2 2 3 4 5 2" xfId="30266"/>
    <cellStyle name="Currency 2 2 3 5 5 2" xfId="30267"/>
    <cellStyle name="Currency 2 2 4 5 2" xfId="30268"/>
    <cellStyle name="Currency 2 2 5 5 2" xfId="30269"/>
    <cellStyle name="Currency 2 2 6 5 2" xfId="30270"/>
    <cellStyle name="Currency 2 2 7 5 2" xfId="30271"/>
    <cellStyle name="Currency 2 2 8 5 2" xfId="30272"/>
    <cellStyle name="Currency 2 2 9 5 2" xfId="30273"/>
    <cellStyle name="Currency 3 10 5 2" xfId="30274"/>
    <cellStyle name="Currency 3 11 5 2" xfId="30275"/>
    <cellStyle name="Currency 3 12 5 2" xfId="30276"/>
    <cellStyle name="Currency 3 13 5 2" xfId="30277"/>
    <cellStyle name="Currency 3 14 5 2" xfId="30278"/>
    <cellStyle name="Currency 3 15 5 2" xfId="30279"/>
    <cellStyle name="Currency 3 16 5 2" xfId="30280"/>
    <cellStyle name="Currency 3 17 5 2" xfId="30281"/>
    <cellStyle name="Currency 3 18 5 2" xfId="30282"/>
    <cellStyle name="Currency 3 19 5 2" xfId="30283"/>
    <cellStyle name="Currency 3 2 2 5 2" xfId="30284"/>
    <cellStyle name="Currency 3 2 3 5 2" xfId="30285"/>
    <cellStyle name="Currency 3 2 4 5 2" xfId="30286"/>
    <cellStyle name="Currency 3 2 5 5 2" xfId="30287"/>
    <cellStyle name="Currency 3 20 5 2" xfId="30288"/>
    <cellStyle name="Currency 3 21 5 2" xfId="30289"/>
    <cellStyle name="Currency 3 3 12 2" xfId="30290"/>
    <cellStyle name="Currency 3 3 2 5 2" xfId="30291"/>
    <cellStyle name="Currency 3 3 3 5 2" xfId="30292"/>
    <cellStyle name="Currency 3 3 4 5 2" xfId="30293"/>
    <cellStyle name="Currency 3 3 5 5 2" xfId="30294"/>
    <cellStyle name="Currency 3 3 6 5 2" xfId="30295"/>
    <cellStyle name="Currency 3 4 6 2" xfId="30296"/>
    <cellStyle name="Currency 3 4 2 5 2" xfId="30297"/>
    <cellStyle name="Currency 3 5 6 2" xfId="30298"/>
    <cellStyle name="Currency 3 5 2 5 2" xfId="30299"/>
    <cellStyle name="Currency 3 6 6 2" xfId="30300"/>
    <cellStyle name="Currency 3 6 2 5 2" xfId="30301"/>
    <cellStyle name="Currency 3 7 5 2" xfId="30302"/>
    <cellStyle name="Currency 3 8 5 2" xfId="30303"/>
    <cellStyle name="Currency 3 9 5 2" xfId="30304"/>
    <cellStyle name="Normal 10 3 9 2" xfId="30305"/>
    <cellStyle name="Normal 10 3 2 8 2" xfId="30306"/>
    <cellStyle name="Normal 10 3 2 2 6 2" xfId="30307"/>
    <cellStyle name="Normal 10 3 2 2 2 5 2" xfId="30308"/>
    <cellStyle name="Normal 10 3 2 3 6 2" xfId="30309"/>
    <cellStyle name="Normal 10 3 2 3 2 5 2" xfId="30310"/>
    <cellStyle name="Normal 10 3 2 4 5 2" xfId="30311"/>
    <cellStyle name="Normal 10 3 3 6 2" xfId="30312"/>
    <cellStyle name="Normal 10 3 3 2 5 2" xfId="30313"/>
    <cellStyle name="Normal 10 3 4 6 2" xfId="30314"/>
    <cellStyle name="Normal 10 3 4 2 5 2" xfId="30315"/>
    <cellStyle name="Normal 10 3 5 5 2" xfId="30316"/>
    <cellStyle name="Normal 10 4 8 2" xfId="30317"/>
    <cellStyle name="Normal 10 4 2 6 2" xfId="30318"/>
    <cellStyle name="Normal 10 4 2 2 5 2" xfId="30319"/>
    <cellStyle name="Normal 10 4 3 6 2" xfId="30320"/>
    <cellStyle name="Normal 10 4 3 2 5 2" xfId="30321"/>
    <cellStyle name="Normal 10 4 4 5 2" xfId="30322"/>
    <cellStyle name="Normal 10 5 8 2" xfId="30323"/>
    <cellStyle name="Normal 10 5 2 6 2" xfId="30324"/>
    <cellStyle name="Normal 10 5 2 2 5 2" xfId="30325"/>
    <cellStyle name="Normal 10 5 3 6 2" xfId="30326"/>
    <cellStyle name="Normal 10 5 3 2 5 2" xfId="30327"/>
    <cellStyle name="Normal 10 5 4 5 2" xfId="30328"/>
    <cellStyle name="Normal 10 6 6 2" xfId="30329"/>
    <cellStyle name="Normal 10 6 2 5 2" xfId="30330"/>
    <cellStyle name="Normal 10 7 6 2" xfId="30331"/>
    <cellStyle name="Normal 10 7 2 5 2" xfId="30332"/>
    <cellStyle name="Normal 10 8 2 5 2" xfId="30333"/>
    <cellStyle name="Normal 10 9 5 2" xfId="30334"/>
    <cellStyle name="Normal 11 4 5 2" xfId="30335"/>
    <cellStyle name="Normal 11 3 5 2" xfId="30336"/>
    <cellStyle name="Normal 12 12 2" xfId="30337"/>
    <cellStyle name="Normal 12 2 2 8 2" xfId="30338"/>
    <cellStyle name="Normal 12 2 2 2 6 2" xfId="30339"/>
    <cellStyle name="Normal 12 2 2 2 2 5 2" xfId="30340"/>
    <cellStyle name="Normal 12 2 2 3 6 2" xfId="30341"/>
    <cellStyle name="Normal 12 2 2 3 2 5 2" xfId="30342"/>
    <cellStyle name="Normal 12 2 2 4 5 2" xfId="30343"/>
    <cellStyle name="Normal 12 2 3 6 2" xfId="30344"/>
    <cellStyle name="Normal 12 2 3 2 5 2" xfId="30345"/>
    <cellStyle name="Normal 12 2 4 6 2" xfId="30346"/>
    <cellStyle name="Normal 12 2 4 2 5 2" xfId="30347"/>
    <cellStyle name="Normal 12 2 5 2 5 2" xfId="30348"/>
    <cellStyle name="Normal 12 2 6 5 2" xfId="30349"/>
    <cellStyle name="Normal 12 3 8 2" xfId="30350"/>
    <cellStyle name="Normal 12 3 2 6 2" xfId="30351"/>
    <cellStyle name="Normal 12 3 2 2 5 2" xfId="30352"/>
    <cellStyle name="Normal 12 3 3 6 2" xfId="30353"/>
    <cellStyle name="Normal 12 3 3 2 5 2" xfId="30354"/>
    <cellStyle name="Normal 12 3 4 5 2" xfId="30355"/>
    <cellStyle name="Normal 12 4 8 2" xfId="30356"/>
    <cellStyle name="Normal 12 4 2 6 2" xfId="30357"/>
    <cellStyle name="Normal 12 4 2 2 5 2" xfId="30358"/>
    <cellStyle name="Normal 12 4 3 6 2" xfId="30359"/>
    <cellStyle name="Normal 12 4 3 2 5 2" xfId="30360"/>
    <cellStyle name="Normal 12 4 4 5 2" xfId="30361"/>
    <cellStyle name="Normal 12 5 6 2" xfId="30362"/>
    <cellStyle name="Normal 12 5 2 5 2" xfId="30363"/>
    <cellStyle name="Normal 12 6 6 2" xfId="30364"/>
    <cellStyle name="Normal 12 6 2 5 2" xfId="30365"/>
    <cellStyle name="Normal 12 7 5 2" xfId="30366"/>
    <cellStyle name="Normal 15 9 2" xfId="30367"/>
    <cellStyle name="Normal 15 3 5 2" xfId="30368"/>
    <cellStyle name="Normal 16 2 8 2" xfId="30369"/>
    <cellStyle name="Normal 16 2 2 6 2" xfId="30370"/>
    <cellStyle name="Normal 16 2 2 2 5 2" xfId="30371"/>
    <cellStyle name="Normal 16 2 3 6 2" xfId="30372"/>
    <cellStyle name="Normal 16 2 3 2 5 2" xfId="30373"/>
    <cellStyle name="Normal 16 2 4 5 2" xfId="30374"/>
    <cellStyle name="Normal 16 3 6 2" xfId="30375"/>
    <cellStyle name="Normal 16 3 2 5 2" xfId="30376"/>
    <cellStyle name="Normal 16 4 6 2" xfId="30377"/>
    <cellStyle name="Normal 16 4 2 5 2" xfId="30378"/>
    <cellStyle name="Normal 16 5 2 5 2" xfId="30379"/>
    <cellStyle name="Normal 16 6 5 2" xfId="30380"/>
    <cellStyle name="Normal 17 2 8 2" xfId="30381"/>
    <cellStyle name="Normal 17 2 2 6 2" xfId="30382"/>
    <cellStyle name="Normal 17 2 2 2 5 2" xfId="30383"/>
    <cellStyle name="Normal 17 2 3 6 2" xfId="30384"/>
    <cellStyle name="Normal 17 2 3 2 5 2" xfId="30385"/>
    <cellStyle name="Normal 17 2 4 5 2" xfId="30386"/>
    <cellStyle name="Normal 17 3 6 2" xfId="30387"/>
    <cellStyle name="Normal 17 3 2 5 2" xfId="30388"/>
    <cellStyle name="Normal 17 4 6 2" xfId="30389"/>
    <cellStyle name="Normal 17 4 2 5 2" xfId="30390"/>
    <cellStyle name="Normal 17 5 2 5 2" xfId="30391"/>
    <cellStyle name="Normal 17 6 5 2" xfId="30392"/>
    <cellStyle name="Normal 2 10 3 5 2" xfId="30393"/>
    <cellStyle name="Normal 2 11 3 5 2" xfId="30394"/>
    <cellStyle name="Normal 2 12 3 5 2" xfId="30395"/>
    <cellStyle name="Normal 2 13 3 5 2" xfId="30396"/>
    <cellStyle name="Normal 2 14 3 5 2" xfId="30397"/>
    <cellStyle name="Normal 2 15 3 5 2" xfId="30398"/>
    <cellStyle name="Normal 2 16 3 5 2" xfId="30399"/>
    <cellStyle name="Normal 2 17 3 5 2" xfId="30400"/>
    <cellStyle name="Normal 2 18 3 5 2" xfId="30401"/>
    <cellStyle name="Normal 2 19 3 5 2" xfId="30402"/>
    <cellStyle name="Normal 2 2 10 5 2" xfId="30403"/>
    <cellStyle name="Normal 2 2 11 5 2" xfId="30404"/>
    <cellStyle name="Normal 2 2 12 5 2" xfId="30405"/>
    <cellStyle name="Normal 2 2 13 5 2" xfId="30406"/>
    <cellStyle name="Normal 2 2 14 5 2" xfId="30407"/>
    <cellStyle name="Normal 2 2 15 5 2" xfId="30408"/>
    <cellStyle name="Normal 2 2 16 5 2" xfId="30409"/>
    <cellStyle name="Normal 2 2 17 5 2" xfId="30410"/>
    <cellStyle name="Normal 2 2 18 5 2" xfId="30411"/>
    <cellStyle name="Normal 2 2 19 5 2" xfId="30412"/>
    <cellStyle name="Normal 2 2 2 2 9 2" xfId="30413"/>
    <cellStyle name="Normal 2 2 2 2 2 6 2" xfId="30414"/>
    <cellStyle name="Normal 2 2 2 2 2 2 5 2" xfId="30415"/>
    <cellStyle name="Normal 2 2 2 2 3 5 2" xfId="30416"/>
    <cellStyle name="Normal 2 2 2 2 4 5 2" xfId="30417"/>
    <cellStyle name="Normal 2 2 2 2 5 5 2" xfId="30418"/>
    <cellStyle name="Normal 2 2 20 5 2" xfId="30419"/>
    <cellStyle name="Normal 2 2 21 5 2" xfId="30420"/>
    <cellStyle name="Normal 2 2 22 5 2" xfId="30421"/>
    <cellStyle name="Normal 2 2 3 12 2" xfId="30422"/>
    <cellStyle name="Normal 2 2 3 2 5 2" xfId="30423"/>
    <cellStyle name="Normal 2 2 3 3 5 2" xfId="30424"/>
    <cellStyle name="Normal 2 2 3 4 5 2" xfId="30425"/>
    <cellStyle name="Normal 2 2 3 5 5 2" xfId="30426"/>
    <cellStyle name="Normal 2 2 3 6 5 2" xfId="30427"/>
    <cellStyle name="Normal 2 2 4 8 2" xfId="30428"/>
    <cellStyle name="Normal 2 2 4 2 5 2" xfId="30429"/>
    <cellStyle name="Normal 2 2 5 7 2" xfId="30430"/>
    <cellStyle name="Normal 2 2 5 2 5 2" xfId="30431"/>
    <cellStyle name="Normal 2 2 6 5 2" xfId="30432"/>
    <cellStyle name="Normal 2 2 7 5 2" xfId="30433"/>
    <cellStyle name="Normal 2 2 8 5 2" xfId="30434"/>
    <cellStyle name="Normal 2 2 9 5 2" xfId="30435"/>
    <cellStyle name="Normal 2 20 5 2" xfId="30436"/>
    <cellStyle name="Normal 2 3 2 6 2" xfId="30437"/>
    <cellStyle name="Normal 2 3 3 5 2" xfId="30438"/>
    <cellStyle name="Normal 2 3 4 5 2" xfId="30439"/>
    <cellStyle name="Normal 2 3 5 5 2" xfId="30440"/>
    <cellStyle name="Normal 2 3 6 5 2" xfId="30441"/>
    <cellStyle name="Normal 2 4 5 5 2" xfId="30442"/>
    <cellStyle name="Normal 2 4 2 5 2" xfId="30443"/>
    <cellStyle name="Normal 2 5 3 5 2" xfId="30444"/>
    <cellStyle name="Normal 2 6 3 5 2" xfId="30445"/>
    <cellStyle name="Normal 2 7 3 5 2" xfId="30446"/>
    <cellStyle name="Normal 2 8 3 5 2" xfId="30447"/>
    <cellStyle name="Normal 2 9 3 5 2" xfId="30448"/>
    <cellStyle name="Normal 21 12 2" xfId="30449"/>
    <cellStyle name="Normal 21 2 10 2" xfId="30450"/>
    <cellStyle name="Normal 21 2 2 5 2" xfId="30451"/>
    <cellStyle name="Normal 21 2 3 5 2" xfId="30452"/>
    <cellStyle name="Normal 21 2 4 5 2" xfId="30453"/>
    <cellStyle name="Normal 21 2 5 5 2" xfId="30454"/>
    <cellStyle name="Normal 21 2 6 5 2" xfId="30455"/>
    <cellStyle name="Normal 21 3 6 2" xfId="30456"/>
    <cellStyle name="Normal 21 3 2 5 2" xfId="30457"/>
    <cellStyle name="Normal 21 4 5 2" xfId="30458"/>
    <cellStyle name="Normal 21 5 5 2" xfId="30459"/>
    <cellStyle name="Normal 21 6 5 2" xfId="30460"/>
    <cellStyle name="Normal 21 8 5 2" xfId="30461"/>
    <cellStyle name="Normal 22 11 2" xfId="30462"/>
    <cellStyle name="Normal 22 2 10 2" xfId="30463"/>
    <cellStyle name="Normal 22 2 2 5 2" xfId="30464"/>
    <cellStyle name="Normal 22 2 3 5 2" xfId="30465"/>
    <cellStyle name="Normal 22 2 4 5 2" xfId="30466"/>
    <cellStyle name="Normal 22 2 5 5 2" xfId="30467"/>
    <cellStyle name="Normal 22 3 5 2" xfId="30468"/>
    <cellStyle name="Normal 22 4 5 2" xfId="30469"/>
    <cellStyle name="Normal 22 5 5 2" xfId="30470"/>
    <cellStyle name="Normal 22 6 5 2" xfId="30471"/>
    <cellStyle name="Normal 23 11 2" xfId="30472"/>
    <cellStyle name="Normal 23 2 9 2" xfId="30473"/>
    <cellStyle name="Normal 23 2 2 5 2" xfId="30474"/>
    <cellStyle name="Normal 23 2 3 5 2" xfId="30475"/>
    <cellStyle name="Normal 23 2 4 5 2" xfId="30476"/>
    <cellStyle name="Normal 23 2 5 5 2" xfId="30477"/>
    <cellStyle name="Normal 23 3 5 2" xfId="30478"/>
    <cellStyle name="Normal 23 4 5 2" xfId="30479"/>
    <cellStyle name="Normal 23 5 5 2" xfId="30480"/>
    <cellStyle name="Normal 23 6 5 2" xfId="30481"/>
    <cellStyle name="Normal 24 11 2" xfId="30482"/>
    <cellStyle name="Normal 24 2 9 2" xfId="30483"/>
    <cellStyle name="Normal 24 2 2 5 2" xfId="30484"/>
    <cellStyle name="Normal 24 2 3 5 2" xfId="30485"/>
    <cellStyle name="Normal 24 2 4 5 2" xfId="30486"/>
    <cellStyle name="Normal 24 2 5 5 2" xfId="30487"/>
    <cellStyle name="Normal 24 3 5 2" xfId="30488"/>
    <cellStyle name="Normal 24 4 5 2" xfId="30489"/>
    <cellStyle name="Normal 24 5 5 2" xfId="30490"/>
    <cellStyle name="Normal 24 6 5 2" xfId="30491"/>
    <cellStyle name="Normal 26 11 2" xfId="30492"/>
    <cellStyle name="Normal 26 2 9 2" xfId="30493"/>
    <cellStyle name="Normal 26 2 2 5 2" xfId="30494"/>
    <cellStyle name="Normal 26 2 3 5 2" xfId="30495"/>
    <cellStyle name="Normal 26 2 4 5 2" xfId="30496"/>
    <cellStyle name="Normal 26 2 5 5 2" xfId="30497"/>
    <cellStyle name="Normal 26 3 5 2" xfId="30498"/>
    <cellStyle name="Normal 26 4 5 2" xfId="30499"/>
    <cellStyle name="Normal 26 5 5 2" xfId="30500"/>
    <cellStyle name="Normal 26 6 5 2" xfId="30501"/>
    <cellStyle name="Normal 3 10 5 2" xfId="30502"/>
    <cellStyle name="Normal 3 11 5 2" xfId="30503"/>
    <cellStyle name="Normal 3 12 5 2" xfId="30504"/>
    <cellStyle name="Normal 3 13 5 2" xfId="30505"/>
    <cellStyle name="Normal 3 14 5 2" xfId="30506"/>
    <cellStyle name="Normal 3 15 5 2" xfId="30507"/>
    <cellStyle name="Normal 3 16 5 2" xfId="30508"/>
    <cellStyle name="Normal 3 17 5 2" xfId="30509"/>
    <cellStyle name="Normal 3 18 5 2" xfId="30510"/>
    <cellStyle name="Normal 3 19 5 2" xfId="30511"/>
    <cellStyle name="Normal 3 2 2 5 2" xfId="30512"/>
    <cellStyle name="Normal 3 2 3 5 2" xfId="30513"/>
    <cellStyle name="Normal 3 2 4 5 2" xfId="30514"/>
    <cellStyle name="Normal 3 2 5 5 2" xfId="30515"/>
    <cellStyle name="Normal 3 2 6 5 2" xfId="30516"/>
    <cellStyle name="Normal 3 20 5 2" xfId="30517"/>
    <cellStyle name="Normal 3 21 5 2" xfId="30518"/>
    <cellStyle name="Normal 3 22 5 2" xfId="30519"/>
    <cellStyle name="Normal 3 23 5 2" xfId="30520"/>
    <cellStyle name="Normal 3 24 5 2" xfId="30521"/>
    <cellStyle name="Normal 3 3 8 2" xfId="30522"/>
    <cellStyle name="Normal 3 3 2 5 2" xfId="30523"/>
    <cellStyle name="Normal 3 3 3 5 2" xfId="30524"/>
    <cellStyle name="Normal 3 4 6 2" xfId="30525"/>
    <cellStyle name="Normal 3 4 2 5 2" xfId="30526"/>
    <cellStyle name="Normal 3 5 6 2" xfId="30527"/>
    <cellStyle name="Normal 3 5 2 5 2" xfId="30528"/>
    <cellStyle name="Normal 3 6 5 2" xfId="30529"/>
    <cellStyle name="Normal 3 7 5 2" xfId="30530"/>
    <cellStyle name="Normal 3 8 5 2" xfId="30531"/>
    <cellStyle name="Normal 3 9 5 2" xfId="30532"/>
    <cellStyle name="Normal 4 2 10 5 2" xfId="30533"/>
    <cellStyle name="Normal 4 2 11 5 2" xfId="30534"/>
    <cellStyle name="Normal 4 2 12 5 2" xfId="30535"/>
    <cellStyle name="Normal 4 2 13 5 2" xfId="30536"/>
    <cellStyle name="Normal 4 2 14 5 2" xfId="30537"/>
    <cellStyle name="Normal 4 2 15 5 2" xfId="30538"/>
    <cellStyle name="Normal 4 2 16 5 2" xfId="30539"/>
    <cellStyle name="Normal 4 2 17 5 2" xfId="30540"/>
    <cellStyle name="Normal 4 2 18 5 2" xfId="30541"/>
    <cellStyle name="Normal 4 2 19 5 2" xfId="30542"/>
    <cellStyle name="Normal 4 2 2 9 2" xfId="30543"/>
    <cellStyle name="Normal 4 2 2 2 5 2" xfId="30544"/>
    <cellStyle name="Normal 4 2 2 3 5 2" xfId="30545"/>
    <cellStyle name="Normal 4 2 2 4 5 2" xfId="30546"/>
    <cellStyle name="Normal 4 2 2 5 5 2" xfId="30547"/>
    <cellStyle name="Normal 4 2 20 5 2" xfId="30548"/>
    <cellStyle name="Normal 4 2 21 5 2" xfId="30549"/>
    <cellStyle name="Normal 4 2 22 5 2" xfId="30550"/>
    <cellStyle name="Normal 4 2 23 5 2" xfId="30551"/>
    <cellStyle name="Normal 4 2 24 5 2" xfId="30552"/>
    <cellStyle name="Normal 4 2 3 6 2" xfId="30553"/>
    <cellStyle name="Normal 4 2 3 2 5 2" xfId="30554"/>
    <cellStyle name="Normal 4 2 4 6 2" xfId="30555"/>
    <cellStyle name="Normal 4 2 4 2 5 2" xfId="30556"/>
    <cellStyle name="Normal 4 2 5 6 2" xfId="30557"/>
    <cellStyle name="Normal 4 2 5 2 5 2" xfId="30558"/>
    <cellStyle name="Normal 4 2 6 5 2" xfId="30559"/>
    <cellStyle name="Normal 4 2 7 5 2" xfId="30560"/>
    <cellStyle name="Normal 4 2 8 5 2" xfId="30561"/>
    <cellStyle name="Normal 4 2 9 5 2" xfId="30562"/>
    <cellStyle name="Normal 4 3 10 2" xfId="30563"/>
    <cellStyle name="Normal 4 3 2 9 2" xfId="30564"/>
    <cellStyle name="Normal 4 3 2 2 8 2" xfId="30565"/>
    <cellStyle name="Normal 4 3 2 2 2 6 2" xfId="30566"/>
    <cellStyle name="Normal 4 3 2 2 2 2 5 2" xfId="30567"/>
    <cellStyle name="Normal 4 3 2 2 3 6 2" xfId="30568"/>
    <cellStyle name="Normal 4 3 2 2 3 2 5 2" xfId="30569"/>
    <cellStyle name="Normal 4 3 2 2 4 5 2" xfId="30570"/>
    <cellStyle name="Normal 4 3 2 3 6 2" xfId="30571"/>
    <cellStyle name="Normal 4 3 2 3 2 5 2" xfId="30572"/>
    <cellStyle name="Normal 4 3 2 4 6 2" xfId="30573"/>
    <cellStyle name="Normal 4 3 2 4 2 5 2" xfId="30574"/>
    <cellStyle name="Normal 4 3 2 5 5 2" xfId="30575"/>
    <cellStyle name="Normal 4 3 3 8 2" xfId="30576"/>
    <cellStyle name="Normal 4 3 3 2 6 2" xfId="30577"/>
    <cellStyle name="Normal 4 3 3 2 2 5 2" xfId="30578"/>
    <cellStyle name="Normal 4 3 3 3 6 2" xfId="30579"/>
    <cellStyle name="Normal 4 3 3 3 2 5 2" xfId="30580"/>
    <cellStyle name="Normal 4 3 3 4 5 2" xfId="30581"/>
    <cellStyle name="Normal 4 3 4 6 2" xfId="30582"/>
    <cellStyle name="Normal 4 3 4 2 5 2" xfId="30583"/>
    <cellStyle name="Normal 4 3 5 6 2" xfId="30584"/>
    <cellStyle name="Normal 4 3 5 2 5 2" xfId="30585"/>
    <cellStyle name="Normal 4 3 6 5 2" xfId="30586"/>
    <cellStyle name="Normal 4 4 7 2" xfId="30587"/>
    <cellStyle name="Normal 4 4 2 5 2" xfId="30588"/>
    <cellStyle name="Normal 4 5 5 2" xfId="30589"/>
    <cellStyle name="Normal 4 6 5 2" xfId="30590"/>
    <cellStyle name="Normal 4 7 5 2" xfId="30591"/>
    <cellStyle name="Normal 4 8 5 2" xfId="30592"/>
    <cellStyle name="Normal 41 2 5 2" xfId="30593"/>
    <cellStyle name="Normal 46 5 2" xfId="30594"/>
    <cellStyle name="Normal 5 28 5 2" xfId="30595"/>
    <cellStyle name="Normal 5 2 10 2" xfId="30596"/>
    <cellStyle name="Normal 5 2 2 2 2 5 2" xfId="30597"/>
    <cellStyle name="Normal 5 2 2 3 5 2" xfId="30598"/>
    <cellStyle name="Normal 5 2 3 2 2 5 2" xfId="30599"/>
    <cellStyle name="Normal 5 2 3 3 5 2" xfId="30600"/>
    <cellStyle name="Normal 5 2 4 2 5 2" xfId="30601"/>
    <cellStyle name="Normal 5 2 6 5 2" xfId="30602"/>
    <cellStyle name="Normal 5 24 5 2" xfId="30603"/>
    <cellStyle name="Normal 5 3 6 2" xfId="30604"/>
    <cellStyle name="Normal 5 4 6 2" xfId="30605"/>
    <cellStyle name="Normal 5 5 6 2" xfId="30606"/>
    <cellStyle name="Normal 5 6 6 2" xfId="30607"/>
    <cellStyle name="Normal 5 7 6 2" xfId="30608"/>
    <cellStyle name="Normal 7 25 5 2" xfId="30609"/>
    <cellStyle name="Normal 7 10 5 2" xfId="30610"/>
    <cellStyle name="Normal 7 11 5 2" xfId="30611"/>
    <cellStyle name="Normal 7 12 5 2" xfId="30612"/>
    <cellStyle name="Normal 7 13 5 2" xfId="30613"/>
    <cellStyle name="Normal 7 14 5 2" xfId="30614"/>
    <cellStyle name="Normal 7 15 5 2" xfId="30615"/>
    <cellStyle name="Normal 7 16 5 2" xfId="30616"/>
    <cellStyle name="Normal 7 17 5 2" xfId="30617"/>
    <cellStyle name="Normal 7 18 5 2" xfId="30618"/>
    <cellStyle name="Normal 7 19 5 2" xfId="30619"/>
    <cellStyle name="Normal 7 2 10 2" xfId="30620"/>
    <cellStyle name="Normal 7 2 2 5 2" xfId="30621"/>
    <cellStyle name="Normal 7 2 3 5 2" xfId="30622"/>
    <cellStyle name="Normal 7 2 4 5 2" xfId="30623"/>
    <cellStyle name="Normal 7 2 5 5 2" xfId="30624"/>
    <cellStyle name="Normal 7 20 5 2" xfId="30625"/>
    <cellStyle name="Normal 7 22 5 2" xfId="30626"/>
    <cellStyle name="Normal 7 3 9 2" xfId="30627"/>
    <cellStyle name="Normal 7 3 2 5 2" xfId="30628"/>
    <cellStyle name="Normal 7 3 3 5 2" xfId="30629"/>
    <cellStyle name="Normal 7 3 4 5 2" xfId="30630"/>
    <cellStyle name="Normal 7 3 5 5 2" xfId="30631"/>
    <cellStyle name="Normal 7 4 5 2" xfId="30632"/>
    <cellStyle name="Normal 7 5 5 2" xfId="30633"/>
    <cellStyle name="Normal 7 6 5 2" xfId="30634"/>
    <cellStyle name="Normal 7 7 5 2" xfId="30635"/>
    <cellStyle name="Normal 7 8 5 2" xfId="30636"/>
    <cellStyle name="Normal 7 9 5 2" xfId="30637"/>
    <cellStyle name="Normal 8 25 5 2" xfId="30638"/>
    <cellStyle name="Normal 8 10 5 2" xfId="30639"/>
    <cellStyle name="Normal 8 11 5 2" xfId="30640"/>
    <cellStyle name="Normal 8 12 5 2" xfId="30641"/>
    <cellStyle name="Normal 8 13 5 2" xfId="30642"/>
    <cellStyle name="Normal 8 14 5 2" xfId="30643"/>
    <cellStyle name="Normal 8 15 5 2" xfId="30644"/>
    <cellStyle name="Normal 8 16 5 2" xfId="30645"/>
    <cellStyle name="Normal 8 17 5 2" xfId="30646"/>
    <cellStyle name="Normal 8 18 5 2" xfId="30647"/>
    <cellStyle name="Normal 8 19 5 2" xfId="30648"/>
    <cellStyle name="Normal 8 2 6 5 2" xfId="30649"/>
    <cellStyle name="Normal 8 2 2 2 5 2" xfId="30650"/>
    <cellStyle name="Normal 8 2 3 5 2" xfId="30651"/>
    <cellStyle name="Normal 8 2 4 5 2" xfId="30652"/>
    <cellStyle name="Normal 8 2 5 5 2" xfId="30653"/>
    <cellStyle name="Normal 8 20 5 2" xfId="30654"/>
    <cellStyle name="Normal 8 22 5 2" xfId="30655"/>
    <cellStyle name="Normal 8 3 6 5 2" xfId="30656"/>
    <cellStyle name="Normal 8 3 2 5 2" xfId="30657"/>
    <cellStyle name="Normal 8 3 3 5 2" xfId="30658"/>
    <cellStyle name="Normal 8 3 4 5 2" xfId="30659"/>
    <cellStyle name="Normal 8 3 5 5 2" xfId="30660"/>
    <cellStyle name="Normal 8 4 5 2" xfId="30661"/>
    <cellStyle name="Normal 8 5 5 2" xfId="30662"/>
    <cellStyle name="Normal 8 6 5 2" xfId="30663"/>
    <cellStyle name="Normal 8 7 5 2" xfId="30664"/>
    <cellStyle name="Normal 8 8 5 2" xfId="30665"/>
    <cellStyle name="Normal 8 9 5 2" xfId="30666"/>
    <cellStyle name="Normal 9 25 5 2" xfId="30667"/>
    <cellStyle name="Normal 9 10 5 2" xfId="30668"/>
    <cellStyle name="Normal 9 11 5 2" xfId="30669"/>
    <cellStyle name="Normal 9 12 5 2" xfId="30670"/>
    <cellStyle name="Normal 9 13 5 2" xfId="30671"/>
    <cellStyle name="Normal 9 14 5 2" xfId="30672"/>
    <cellStyle name="Normal 9 15 5 2" xfId="30673"/>
    <cellStyle name="Normal 9 16 5 2" xfId="30674"/>
    <cellStyle name="Normal 9 17 5 2" xfId="30675"/>
    <cellStyle name="Normal 9 18 5 2" xfId="30676"/>
    <cellStyle name="Normal 9 19 5 2" xfId="30677"/>
    <cellStyle name="Normal 9 2 10 2" xfId="30678"/>
    <cellStyle name="Normal 9 2 2 5 2" xfId="30679"/>
    <cellStyle name="Normal 9 2 3 5 2" xfId="30680"/>
    <cellStyle name="Normal 9 2 4 5 2" xfId="30681"/>
    <cellStyle name="Normal 9 2 5 5 2" xfId="30682"/>
    <cellStyle name="Normal 9 20 5 2" xfId="30683"/>
    <cellStyle name="Normal 9 22 5 2" xfId="30684"/>
    <cellStyle name="Normal 9 3 9 2" xfId="30685"/>
    <cellStyle name="Normal 9 3 2 5 2" xfId="30686"/>
    <cellStyle name="Normal 9 3 3 5 2" xfId="30687"/>
    <cellStyle name="Normal 9 3 4 5 2" xfId="30688"/>
    <cellStyle name="Normal 9 3 5 5 2" xfId="30689"/>
    <cellStyle name="Normal 9 4 5 2" xfId="30690"/>
    <cellStyle name="Normal 9 5 5 2" xfId="30691"/>
    <cellStyle name="Normal 9 6 5 2" xfId="30692"/>
    <cellStyle name="Normal 9 7 5 2" xfId="30693"/>
    <cellStyle name="Normal 9 8 5 2" xfId="30694"/>
    <cellStyle name="Normal 9 9 5 2" xfId="30695"/>
    <cellStyle name="Note 2 5 3 2" xfId="30696"/>
    <cellStyle name="Note 3 5 2" xfId="30697"/>
    <cellStyle name="Note 4 5 2" xfId="30698"/>
    <cellStyle name="Note 7 5 2" xfId="30699"/>
    <cellStyle name="Percent 120 5 2" xfId="30700"/>
    <cellStyle name="Percent 121 5 2" xfId="30701"/>
    <cellStyle name="Percent 122 5 2" xfId="30702"/>
    <cellStyle name="Percent 123 5 2" xfId="30703"/>
    <cellStyle name="Percent 124 5 2" xfId="30704"/>
    <cellStyle name="Percent 125 5 2" xfId="30705"/>
    <cellStyle name="Percent 126 5 2" xfId="30706"/>
    <cellStyle name="Percent 127 5 2" xfId="30707"/>
    <cellStyle name="Percent 128 5 2" xfId="30708"/>
    <cellStyle name="Percent 129 5 2" xfId="30709"/>
    <cellStyle name="Percent 130 5 2" xfId="30710"/>
    <cellStyle name="Percent 159 5 2" xfId="30711"/>
    <cellStyle name="Percent 2 22 5 2" xfId="30712"/>
    <cellStyle name="Percent 25 2 6 2" xfId="30713"/>
    <cellStyle name="Percent 25 2 2 5 2" xfId="30714"/>
    <cellStyle name="Percent 25 3 6 2" xfId="30715"/>
    <cellStyle name="Percent 25 3 2 5 2" xfId="30716"/>
    <cellStyle name="Percent 25 4 2 5 2" xfId="30717"/>
    <cellStyle name="Percent 25 5 5 2" xfId="30718"/>
    <cellStyle name="Percent 26 2 6 2" xfId="30719"/>
    <cellStyle name="Percent 26 2 2 5 2" xfId="30720"/>
    <cellStyle name="Percent 26 3 6 2" xfId="30721"/>
    <cellStyle name="Percent 26 3 2 5 2" xfId="30722"/>
    <cellStyle name="Percent 26 4 2 5 2" xfId="30723"/>
    <cellStyle name="Percent 26 5 5 2" xfId="30724"/>
    <cellStyle name="Percent 27 2 6 2" xfId="30725"/>
    <cellStyle name="Percent 27 2 2 5 2" xfId="30726"/>
    <cellStyle name="Percent 27 3 6 2" xfId="30727"/>
    <cellStyle name="Percent 27 3 2 5 2" xfId="30728"/>
    <cellStyle name="Percent 27 4 2 5 2" xfId="30729"/>
    <cellStyle name="Percent 27 5 5 2" xfId="30730"/>
    <cellStyle name="Percent 28 2 6 2" xfId="30731"/>
    <cellStyle name="Percent 28 2 2 5 2" xfId="30732"/>
    <cellStyle name="Percent 28 3 6 2" xfId="30733"/>
    <cellStyle name="Percent 28 3 2 5 2" xfId="30734"/>
    <cellStyle name="Percent 28 4 2 5 2" xfId="30735"/>
    <cellStyle name="Percent 28 5 5 2" xfId="30736"/>
    <cellStyle name="Percent 29 2 6 2" xfId="30737"/>
    <cellStyle name="Percent 29 2 2 5 2" xfId="30738"/>
    <cellStyle name="Percent 29 3 6 2" xfId="30739"/>
    <cellStyle name="Percent 29 3 2 5 2" xfId="30740"/>
    <cellStyle name="Percent 29 4 2 5 2" xfId="30741"/>
    <cellStyle name="Percent 29 5 5 2" xfId="30742"/>
    <cellStyle name="Percent 3 10 5 2" xfId="30743"/>
    <cellStyle name="Percent 3 11 5 2" xfId="30744"/>
    <cellStyle name="Percent 3 12 5 2" xfId="30745"/>
    <cellStyle name="Percent 3 13 5 2" xfId="30746"/>
    <cellStyle name="Percent 3 14 5 2" xfId="30747"/>
    <cellStyle name="Percent 3 15 5 2" xfId="30748"/>
    <cellStyle name="Percent 3 16 5 2" xfId="30749"/>
    <cellStyle name="Percent 3 17 5 2" xfId="30750"/>
    <cellStyle name="Percent 3 18 5 2" xfId="30751"/>
    <cellStyle name="Percent 3 19 5 2" xfId="30752"/>
    <cellStyle name="Percent 3 2 26 2" xfId="30753"/>
    <cellStyle name="Percent 3 2 10 5 2" xfId="30754"/>
    <cellStyle name="Percent 3 2 11 5 2" xfId="30755"/>
    <cellStyle name="Percent 3 2 12 5 2" xfId="30756"/>
    <cellStyle name="Percent 3 2 13 5 2" xfId="30757"/>
    <cellStyle name="Percent 3 2 14 5 2" xfId="30758"/>
    <cellStyle name="Percent 3 2 15 5 2" xfId="30759"/>
    <cellStyle name="Percent 3 2 16 5 2" xfId="30760"/>
    <cellStyle name="Percent 3 2 17 5 2" xfId="30761"/>
    <cellStyle name="Percent 3 2 18 5 2" xfId="30762"/>
    <cellStyle name="Percent 3 2 19 5 2" xfId="30763"/>
    <cellStyle name="Percent 3 2 2 2 5 2" xfId="30764"/>
    <cellStyle name="Percent 3 2 2 3 5 2" xfId="30765"/>
    <cellStyle name="Percent 3 2 2 4 5 2" xfId="30766"/>
    <cellStyle name="Percent 3 2 2 5 5 2" xfId="30767"/>
    <cellStyle name="Percent 3 2 20 5 2" xfId="30768"/>
    <cellStyle name="Percent 3 2 21 2 5 2" xfId="30769"/>
    <cellStyle name="Percent 3 2 3 9 2" xfId="30770"/>
    <cellStyle name="Percent 3 2 3 2 5 2" xfId="30771"/>
    <cellStyle name="Percent 3 2 3 3 5 2" xfId="30772"/>
    <cellStyle name="Percent 3 2 3 4 5 2" xfId="30773"/>
    <cellStyle name="Percent 3 2 3 5 5 2" xfId="30774"/>
    <cellStyle name="Percent 3 2 4 6 2" xfId="30775"/>
    <cellStyle name="Percent 3 2 4 2 5 2" xfId="30776"/>
    <cellStyle name="Percent 3 2 5 6 2" xfId="30777"/>
    <cellStyle name="Percent 3 2 5 2 5 2" xfId="30778"/>
    <cellStyle name="Percent 3 2 6 6 2" xfId="30779"/>
    <cellStyle name="Percent 3 2 6 2 5 2" xfId="30780"/>
    <cellStyle name="Percent 3 2 7 5 2" xfId="30781"/>
    <cellStyle name="Percent 3 2 8 5 2" xfId="30782"/>
    <cellStyle name="Percent 3 2 9 5 2" xfId="30783"/>
    <cellStyle name="Percent 3 20 5 2" xfId="30784"/>
    <cellStyle name="Percent 3 21 5 2" xfId="30785"/>
    <cellStyle name="Percent 3 3 2 5 2" xfId="30786"/>
    <cellStyle name="Percent 3 3 3 5 2" xfId="30787"/>
    <cellStyle name="Percent 3 3 4 5 2" xfId="30788"/>
    <cellStyle name="Percent 3 3 5 5 2" xfId="30789"/>
    <cellStyle name="Percent 3 4 9 2" xfId="30790"/>
    <cellStyle name="Percent 3 4 2 5 2" xfId="30791"/>
    <cellStyle name="Percent 3 4 3 5 2" xfId="30792"/>
    <cellStyle name="Percent 3 4 4 5 2" xfId="30793"/>
    <cellStyle name="Percent 3 4 5 5 2" xfId="30794"/>
    <cellStyle name="Percent 3 5 6 2" xfId="30795"/>
    <cellStyle name="Percent 3 5 2 5 2" xfId="30796"/>
    <cellStyle name="Percent 3 6 6 2" xfId="30797"/>
    <cellStyle name="Percent 3 6 2 5 2" xfId="30798"/>
    <cellStyle name="Percent 3 7 6 2" xfId="30799"/>
    <cellStyle name="Percent 3 7 2 5 2" xfId="30800"/>
    <cellStyle name="Percent 3 8 5 2" xfId="30801"/>
    <cellStyle name="Percent 3 9 5 2" xfId="30802"/>
    <cellStyle name="Percent 30 2 6 2" xfId="30803"/>
    <cellStyle name="Percent 30 2 2 5 2" xfId="30804"/>
    <cellStyle name="Percent 30 3 6 2" xfId="30805"/>
    <cellStyle name="Percent 30 3 2 5 2" xfId="30806"/>
    <cellStyle name="Percent 30 4 2 5 2" xfId="30807"/>
    <cellStyle name="Percent 30 5 5 2" xfId="30808"/>
    <cellStyle name="Percent 31 2 6 2" xfId="30809"/>
    <cellStyle name="Percent 31 2 2 5 2" xfId="30810"/>
    <cellStyle name="Percent 31 3 6 2" xfId="30811"/>
    <cellStyle name="Percent 31 3 2 5 2" xfId="30812"/>
    <cellStyle name="Percent 31 4 2 5 2" xfId="30813"/>
    <cellStyle name="Percent 31 5 5 2" xfId="30814"/>
    <cellStyle name="Percent 32 2 6 2" xfId="30815"/>
    <cellStyle name="Percent 32 2 2 5 2" xfId="30816"/>
    <cellStyle name="Percent 32 3 6 2" xfId="30817"/>
    <cellStyle name="Percent 32 3 2 5 2" xfId="30818"/>
    <cellStyle name="Percent 32 4 2 5 2" xfId="30819"/>
    <cellStyle name="Percent 32 5 5 2" xfId="30820"/>
    <cellStyle name="Percent 33 2 6 2" xfId="30821"/>
    <cellStyle name="Percent 33 2 2 5 2" xfId="30822"/>
    <cellStyle name="Percent 33 3 6 2" xfId="30823"/>
    <cellStyle name="Percent 33 3 2 5 2" xfId="30824"/>
    <cellStyle name="Percent 33 4 2 5 2" xfId="30825"/>
    <cellStyle name="Percent 33 5 5 2" xfId="30826"/>
    <cellStyle name="Percent 34 2 6 2" xfId="30827"/>
    <cellStyle name="Percent 34 2 2 5 2" xfId="30828"/>
    <cellStyle name="Percent 34 3 6 2" xfId="30829"/>
    <cellStyle name="Percent 34 3 2 5 2" xfId="30830"/>
    <cellStyle name="Percent 34 4 2 5 2" xfId="30831"/>
    <cellStyle name="Percent 34 5 5 2" xfId="30832"/>
    <cellStyle name="Percent 35 2 6 2" xfId="30833"/>
    <cellStyle name="Percent 35 2 2 5 2" xfId="30834"/>
    <cellStyle name="Percent 35 3 6 2" xfId="30835"/>
    <cellStyle name="Percent 35 3 2 5 2" xfId="30836"/>
    <cellStyle name="Percent 35 4 2 5 2" xfId="30837"/>
    <cellStyle name="Percent 35 5 5 2" xfId="30838"/>
    <cellStyle name="Currency 5 4 5 2" xfId="30839"/>
    <cellStyle name="Comma 5 7 5 2" xfId="30840"/>
    <cellStyle name="Percent 5 4 5 2" xfId="30841"/>
    <cellStyle name="Comma 6 5 5 2" xfId="30842"/>
    <cellStyle name="Currency 5 2 4 5 2" xfId="30843"/>
    <cellStyle name="Comma 5 2 4 5 2" xfId="30844"/>
    <cellStyle name="Percent 5 2 4 5 2" xfId="30845"/>
    <cellStyle name="Comma 6 2 3 5 2" xfId="30846"/>
    <cellStyle name="Currency 5 3 2 5 2" xfId="30847"/>
    <cellStyle name="Comma 5 3 2 5 2" xfId="30848"/>
    <cellStyle name="Percent 5 3 2 5 2" xfId="30849"/>
    <cellStyle name="Comma 6 3 4 5 2" xfId="30850"/>
    <cellStyle name="Normal 11 2 2 5 2" xfId="30851"/>
    <cellStyle name="Currency 5 2 2 2 5 2" xfId="30852"/>
    <cellStyle name="Comma 5 2 2 2 5 2" xfId="30853"/>
    <cellStyle name="Percent 5 2 2 2 6 2" xfId="30854"/>
    <cellStyle name="Comma 6 2 2 2 5 2" xfId="30855"/>
    <cellStyle name="Normal 51 5 2" xfId="30856"/>
    <cellStyle name="Comma 187 5 2" xfId="30857"/>
    <cellStyle name="Percent 163 5 2" xfId="30858"/>
    <cellStyle name="Currency 162 5 2" xfId="30859"/>
    <cellStyle name="Currency 5 6 4 2" xfId="30860"/>
    <cellStyle name="Currency 179 4 2" xfId="30861"/>
    <cellStyle name="Percent 180 4 2" xfId="30862"/>
    <cellStyle name="Comma 204 4 2" xfId="30863"/>
    <cellStyle name="Normal 8 26 4 2" xfId="30864"/>
    <cellStyle name="Comma 5 9 4 2" xfId="30865"/>
    <cellStyle name="Percent 5 6 4 2" xfId="30866"/>
    <cellStyle name="Comma 6 7 4 2" xfId="30867"/>
    <cellStyle name="Normal 11 5 4 2" xfId="30868"/>
    <cellStyle name="Currency 5 2 6 4 2" xfId="30869"/>
    <cellStyle name="Normal 8 2 7 4 2" xfId="30870"/>
    <cellStyle name="Comma 5 2 6 4 2" xfId="30871"/>
    <cellStyle name="Percent 5 2 6 4 2" xfId="30872"/>
    <cellStyle name="Comma 6 2 5 4 2" xfId="30873"/>
    <cellStyle name="Currency 5 3 4 4 2" xfId="30874"/>
    <cellStyle name="Normal 8 3 7 4 2" xfId="30875"/>
    <cellStyle name="Comma 5 3 4 4 2" xfId="30876"/>
    <cellStyle name="Percent 5 3 4 4 2" xfId="30877"/>
    <cellStyle name="Comma 6 3 6 4 2" xfId="30878"/>
    <cellStyle name="Normal 11 2 4 4 2" xfId="30879"/>
    <cellStyle name="Currency 5 2 2 4 4 2" xfId="30880"/>
    <cellStyle name="Normal 8 2 2 3 4 2" xfId="30881"/>
    <cellStyle name="Comma 5 2 2 4 4 2" xfId="30882"/>
    <cellStyle name="Percent 5 2 2 4 4 2" xfId="30883"/>
    <cellStyle name="Comma 6 2 2 3 4 2" xfId="30884"/>
    <cellStyle name="Normal 50 2 4 2" xfId="30885"/>
    <cellStyle name="Comma 186 2 4 2" xfId="30886"/>
    <cellStyle name="Percent 162 2 4 2" xfId="30887"/>
    <cellStyle name="Normal 2 24 2 4 2" xfId="30888"/>
    <cellStyle name="20% - Accent1 2 2 4 2" xfId="30889"/>
    <cellStyle name="20% - Accent1 3 2 4 2" xfId="30890"/>
    <cellStyle name="20% - Accent1 4 2 4 2" xfId="30891"/>
    <cellStyle name="20% - Accent1 5 2 4 2" xfId="30892"/>
    <cellStyle name="20% - Accent2 2 2 4 2" xfId="30893"/>
    <cellStyle name="20% - Accent2 3 2 4 2" xfId="30894"/>
    <cellStyle name="20% - Accent2 4 2 4 2" xfId="30895"/>
    <cellStyle name="20% - Accent2 5 2 4 2" xfId="30896"/>
    <cellStyle name="20% - Accent3 2 2 4 2" xfId="30897"/>
    <cellStyle name="20% - Accent3 3 2 4 2" xfId="30898"/>
    <cellStyle name="20% - Accent3 4 2 4 2" xfId="30899"/>
    <cellStyle name="20% - Accent3 5 2 4 2" xfId="30900"/>
    <cellStyle name="20% - Accent4 2 2 4 2" xfId="30901"/>
    <cellStyle name="20% - Accent4 3 2 4 2" xfId="30902"/>
    <cellStyle name="20% - Accent4 4 2 4 2" xfId="30903"/>
    <cellStyle name="20% - Accent4 5 2 4 2" xfId="30904"/>
    <cellStyle name="20% - Accent5 2 2 4 2" xfId="30905"/>
    <cellStyle name="20% - Accent5 3 2 4 2" xfId="30906"/>
    <cellStyle name="20% - Accent5 4 2 4 2" xfId="30907"/>
    <cellStyle name="20% - Accent6 2 2 4 2" xfId="30908"/>
    <cellStyle name="20% - Accent6 3 2 4 2" xfId="30909"/>
    <cellStyle name="20% - Accent6 4 2 4 2" xfId="30910"/>
    <cellStyle name="40% - Accent1 2 2 4 2" xfId="30911"/>
    <cellStyle name="40% - Accent1 3 2 4 2" xfId="30912"/>
    <cellStyle name="40% - Accent1 4 2 4 2" xfId="30913"/>
    <cellStyle name="40% - Accent1 5 2 4 2" xfId="30914"/>
    <cellStyle name="40% - Accent2 2 2 4 2" xfId="30915"/>
    <cellStyle name="40% - Accent2 3 2 4 2" xfId="30916"/>
    <cellStyle name="40% - Accent2 4 2 4 2" xfId="30917"/>
    <cellStyle name="40% - Accent3 2 2 4 2" xfId="30918"/>
    <cellStyle name="40% - Accent3 3 2 4 2" xfId="30919"/>
    <cellStyle name="40% - Accent3 4 2 4 2" xfId="30920"/>
    <cellStyle name="40% - Accent3 5 2 4 2" xfId="30921"/>
    <cellStyle name="40% - Accent4 2 2 4 2" xfId="30922"/>
    <cellStyle name="40% - Accent4 3 2 4 2" xfId="30923"/>
    <cellStyle name="40% - Accent4 4 2 4 2" xfId="30924"/>
    <cellStyle name="40% - Accent4 5 2 4 2" xfId="30925"/>
    <cellStyle name="40% - Accent5 2 2 4 2" xfId="30926"/>
    <cellStyle name="40% - Accent5 3 2 4 2" xfId="30927"/>
    <cellStyle name="40% - Accent5 4 2 4 2" xfId="30928"/>
    <cellStyle name="40% - Accent6 2 2 4 2" xfId="30929"/>
    <cellStyle name="40% - Accent6 3 2 4 2" xfId="30930"/>
    <cellStyle name="40% - Accent6 4 2 4 2" xfId="30931"/>
    <cellStyle name="40% - Accent6 5 2 4 2" xfId="30932"/>
    <cellStyle name="Comma 143 2 4 2" xfId="30933"/>
    <cellStyle name="Comma 144 2 4 2" xfId="30934"/>
    <cellStyle name="Comma 145 2 4 2" xfId="30935"/>
    <cellStyle name="Comma 146 2 4 2" xfId="30936"/>
    <cellStyle name="Comma 147 2 4 2" xfId="30937"/>
    <cellStyle name="Comma 148 2 4 2" xfId="30938"/>
    <cellStyle name="Comma 149 2 4 2" xfId="30939"/>
    <cellStyle name="Comma 150 2 4 2" xfId="30940"/>
    <cellStyle name="Comma 151 2 4 2" xfId="30941"/>
    <cellStyle name="Comma 152 2 4 2" xfId="30942"/>
    <cellStyle name="Comma 153 2 4 2" xfId="30943"/>
    <cellStyle name="Comma 182 2 4 2" xfId="30944"/>
    <cellStyle name="Comma 2 23 2 4 2" xfId="30945"/>
    <cellStyle name="Comma 2 2 10 2 4 2" xfId="30946"/>
    <cellStyle name="Comma 2 2 11 2 4 2" xfId="30947"/>
    <cellStyle name="Comma 2 2 12 2 4 2" xfId="30948"/>
    <cellStyle name="Comma 2 2 13 2 4 2" xfId="30949"/>
    <cellStyle name="Comma 2 2 14 2 4 2" xfId="30950"/>
    <cellStyle name="Comma 2 2 15 2 4 2" xfId="30951"/>
    <cellStyle name="Comma 2 2 16 2 4 2" xfId="30952"/>
    <cellStyle name="Comma 2 2 17 2 4 2" xfId="30953"/>
    <cellStyle name="Comma 2 2 2 2 6 4 2" xfId="30954"/>
    <cellStyle name="Comma 2 2 2 2 2 2 4 2" xfId="30955"/>
    <cellStyle name="Comma 2 2 2 2 3 2 4 2" xfId="30956"/>
    <cellStyle name="Comma 2 2 2 2 4 2 4 2" xfId="30957"/>
    <cellStyle name="Comma 2 2 2 2 5 2 4 2" xfId="30958"/>
    <cellStyle name="Comma 2 2 2 3 2 4 2" xfId="30959"/>
    <cellStyle name="Comma 2 2 2 4 2 4 2" xfId="30960"/>
    <cellStyle name="Comma 2 2 2 5 2 4 2" xfId="30961"/>
    <cellStyle name="Comma 2 2 2 6 2 4 2" xfId="30962"/>
    <cellStyle name="Comma 2 2 3 6 4 2" xfId="30963"/>
    <cellStyle name="Comma 2 2 3 2 2 2 4 2" xfId="30964"/>
    <cellStyle name="Comma 2 2 3 2 3 2 4 2" xfId="30965"/>
    <cellStyle name="Comma 2 2 3 2 4 2 4 2" xfId="30966"/>
    <cellStyle name="Comma 2 2 3 2 5 2 4 2" xfId="30967"/>
    <cellStyle name="Comma 2 2 3 3 2 4 2" xfId="30968"/>
    <cellStyle name="Comma 2 2 4 2 2 4 2" xfId="30969"/>
    <cellStyle name="Comma 2 2 5 2 4 2" xfId="30970"/>
    <cellStyle name="Comma 2 2 6 2 4 2" xfId="30971"/>
    <cellStyle name="Comma 2 2 7 2 4 2" xfId="30972"/>
    <cellStyle name="Comma 2 2 8 2 4 2" xfId="30973"/>
    <cellStyle name="Comma 2 2 9 2 4 2" xfId="30974"/>
    <cellStyle name="Comma 3 10 2 4 2" xfId="30975"/>
    <cellStyle name="Comma 3 11 2 4 2" xfId="30976"/>
    <cellStyle name="Comma 3 12 2 4 2" xfId="30977"/>
    <cellStyle name="Comma 3 13 2 4 2" xfId="30978"/>
    <cellStyle name="Comma 3 14 2 4 2" xfId="30979"/>
    <cellStyle name="Comma 3 15 2 4 2" xfId="30980"/>
    <cellStyle name="Comma 3 16 2 4 2" xfId="30981"/>
    <cellStyle name="Comma 3 17 2 4 2" xfId="30982"/>
    <cellStyle name="Comma 3 18 2 4 2" xfId="30983"/>
    <cellStyle name="Comma 3 19 2 4 2" xfId="30984"/>
    <cellStyle name="Comma 3 2 2 2 4 2" xfId="30985"/>
    <cellStyle name="Comma 3 2 3 2 4 2" xfId="30986"/>
    <cellStyle name="Comma 3 2 4 2 4 2" xfId="30987"/>
    <cellStyle name="Comma 3 2 5 2 4 2" xfId="30988"/>
    <cellStyle name="Comma 3 20 2 4 2" xfId="30989"/>
    <cellStyle name="Comma 3 21 2 4 2" xfId="30990"/>
    <cellStyle name="Comma 3 3 6 4 2" xfId="30991"/>
    <cellStyle name="Comma 3 3 2 2 4 2" xfId="30992"/>
    <cellStyle name="Comma 3 3 3 2 4 2" xfId="30993"/>
    <cellStyle name="Comma 3 3 4 2 4 2" xfId="30994"/>
    <cellStyle name="Comma 3 3 5 2 4 2" xfId="30995"/>
    <cellStyle name="Comma 3 4 3 4 2" xfId="30996"/>
    <cellStyle name="Comma 3 4 2 2 4 2" xfId="30997"/>
    <cellStyle name="Comma 3 5 3 4 2" xfId="30998"/>
    <cellStyle name="Comma 3 5 2 2 4 2" xfId="30999"/>
    <cellStyle name="Comma 3 6 3 4 2" xfId="31000"/>
    <cellStyle name="Comma 3 6 2 2 4 2" xfId="31001"/>
    <cellStyle name="Comma 3 7 2 4 2" xfId="31002"/>
    <cellStyle name="Comma 3 8 2 4 2" xfId="31003"/>
    <cellStyle name="Comma 3 9 2 4 2" xfId="31004"/>
    <cellStyle name="Currency 120 2 4 2" xfId="31005"/>
    <cellStyle name="Currency 121 2 4 2" xfId="31006"/>
    <cellStyle name="Currency 122 2 4 2" xfId="31007"/>
    <cellStyle name="Currency 123 2 4 2" xfId="31008"/>
    <cellStyle name="Currency 124 2 4 2" xfId="31009"/>
    <cellStyle name="Currency 125 2 4 2" xfId="31010"/>
    <cellStyle name="Currency 126 2 4 2" xfId="31011"/>
    <cellStyle name="Currency 127 2 4 2" xfId="31012"/>
    <cellStyle name="Currency 128 2 4 2" xfId="31013"/>
    <cellStyle name="Currency 129 2 4 2" xfId="31014"/>
    <cellStyle name="Currency 130 2 4 2" xfId="31015"/>
    <cellStyle name="Currency 159 2 4 2" xfId="31016"/>
    <cellStyle name="Currency 2 27 2 4 2" xfId="31017"/>
    <cellStyle name="Currency 2 2 20 2 4 2" xfId="31018"/>
    <cellStyle name="Currency 2 2 10 2 4 2" xfId="31019"/>
    <cellStyle name="Currency 2 2 11 2 4 2" xfId="31020"/>
    <cellStyle name="Currency 2 2 12 2 4 2" xfId="31021"/>
    <cellStyle name="Currency 2 2 13 2 4 2" xfId="31022"/>
    <cellStyle name="Currency 2 2 14 2 4 2" xfId="31023"/>
    <cellStyle name="Currency 2 2 15 2 4 2" xfId="31024"/>
    <cellStyle name="Currency 2 2 16 2 4 2" xfId="31025"/>
    <cellStyle name="Currency 2 2 17 2 4 2" xfId="31026"/>
    <cellStyle name="Currency 2 2 18 2 4 2" xfId="31027"/>
    <cellStyle name="Currency 2 2 2 2 2 4 2" xfId="31028"/>
    <cellStyle name="Currency 2 2 2 3 2 4 2" xfId="31029"/>
    <cellStyle name="Currency 2 2 2 4 2 4 2" xfId="31030"/>
    <cellStyle name="Currency 2 2 2 5 2 4 2" xfId="31031"/>
    <cellStyle name="Currency 2 2 3 6 4 2" xfId="31032"/>
    <cellStyle name="Currency 2 2 3 2 2 4 2" xfId="31033"/>
    <cellStyle name="Currency 2 2 3 3 2 4 2" xfId="31034"/>
    <cellStyle name="Currency 2 2 3 4 2 4 2" xfId="31035"/>
    <cellStyle name="Currency 2 2 3 5 2 4 2" xfId="31036"/>
    <cellStyle name="Currency 2 2 4 2 4 2" xfId="31037"/>
    <cellStyle name="Currency 2 2 5 2 4 2" xfId="31038"/>
    <cellStyle name="Currency 2 2 6 2 4 2" xfId="31039"/>
    <cellStyle name="Currency 2 2 7 2 4 2" xfId="31040"/>
    <cellStyle name="Currency 2 2 8 2 4 2" xfId="31041"/>
    <cellStyle name="Currency 2 2 9 2 4 2" xfId="31042"/>
    <cellStyle name="Currency 3 10 2 4 2" xfId="31043"/>
    <cellStyle name="Currency 3 11 2 4 2" xfId="31044"/>
    <cellStyle name="Currency 3 12 2 4 2" xfId="31045"/>
    <cellStyle name="Currency 3 13 2 4 2" xfId="31046"/>
    <cellStyle name="Currency 3 14 2 4 2" xfId="31047"/>
    <cellStyle name="Currency 3 15 2 4 2" xfId="31048"/>
    <cellStyle name="Currency 3 16 2 4 2" xfId="31049"/>
    <cellStyle name="Currency 3 17 2 4 2" xfId="31050"/>
    <cellStyle name="Currency 3 18 2 4 2" xfId="31051"/>
    <cellStyle name="Currency 3 19 2 4 2" xfId="31052"/>
    <cellStyle name="Currency 3 2 2 2 4 2" xfId="31053"/>
    <cellStyle name="Currency 3 2 3 2 4 2" xfId="31054"/>
    <cellStyle name="Currency 3 2 4 2 4 2" xfId="31055"/>
    <cellStyle name="Currency 3 2 5 2 4 2" xfId="31056"/>
    <cellStyle name="Currency 3 20 2 4 2" xfId="31057"/>
    <cellStyle name="Currency 3 21 2 4 2" xfId="31058"/>
    <cellStyle name="Currency 3 3 8 4 2" xfId="31059"/>
    <cellStyle name="Currency 3 3 2 2 4 2" xfId="31060"/>
    <cellStyle name="Currency 3 3 3 2 4 2" xfId="31061"/>
    <cellStyle name="Currency 3 3 4 2 4 2" xfId="31062"/>
    <cellStyle name="Currency 3 3 5 2 4 2" xfId="31063"/>
    <cellStyle name="Currency 3 3 6 2 4 2" xfId="31064"/>
    <cellStyle name="Currency 3 4 3 4 2" xfId="31065"/>
    <cellStyle name="Currency 3 4 2 2 4 2" xfId="31066"/>
    <cellStyle name="Currency 3 5 3 4 2" xfId="31067"/>
    <cellStyle name="Currency 3 5 2 2 4 2" xfId="31068"/>
    <cellStyle name="Currency 3 6 3 4 2" xfId="31069"/>
    <cellStyle name="Currency 3 6 2 2 4 2" xfId="31070"/>
    <cellStyle name="Currency 3 7 2 4 2" xfId="31071"/>
    <cellStyle name="Currency 3 8 2 4 2" xfId="31072"/>
    <cellStyle name="Currency 3 9 2 4 2" xfId="31073"/>
    <cellStyle name="Normal 10 3 6 4 2" xfId="31074"/>
    <cellStyle name="Normal 10 3 2 5 4 2" xfId="31075"/>
    <cellStyle name="Normal 10 3 2 2 3 4 2" xfId="31076"/>
    <cellStyle name="Normal 10 3 2 2 2 2 4 2" xfId="31077"/>
    <cellStyle name="Normal 10 3 2 3 3 4 2" xfId="31078"/>
    <cellStyle name="Normal 10 3 2 3 2 2 4 2" xfId="31079"/>
    <cellStyle name="Normal 10 3 2 4 2 4 2" xfId="31080"/>
    <cellStyle name="Normal 10 3 3 3 4 2" xfId="31081"/>
    <cellStyle name="Normal 10 3 3 2 2 4 2" xfId="31082"/>
    <cellStyle name="Normal 10 3 4 3 4 2" xfId="31083"/>
    <cellStyle name="Normal 10 3 4 2 2 4 2" xfId="31084"/>
    <cellStyle name="Normal 10 3 5 2 4 2" xfId="31085"/>
    <cellStyle name="Normal 10 4 5 4 2" xfId="31086"/>
    <cellStyle name="Normal 10 4 2 3 4 2" xfId="31087"/>
    <cellStyle name="Normal 10 4 2 2 2 4 2" xfId="31088"/>
    <cellStyle name="Normal 10 4 3 3 4 2" xfId="31089"/>
    <cellStyle name="Normal 10 4 3 2 2 4 2" xfId="31090"/>
    <cellStyle name="Normal 10 4 4 2 4 2" xfId="31091"/>
    <cellStyle name="Normal 10 5 5 4 2" xfId="31092"/>
    <cellStyle name="Normal 10 5 2 3 4 2" xfId="31093"/>
    <cellStyle name="Normal 10 5 2 2 2 4 2" xfId="31094"/>
    <cellStyle name="Normal 10 5 3 3 4 2" xfId="31095"/>
    <cellStyle name="Normal 10 5 3 2 2 4 2" xfId="31096"/>
    <cellStyle name="Normal 10 5 4 2 4 2" xfId="31097"/>
    <cellStyle name="Normal 10 6 3 4 2" xfId="31098"/>
    <cellStyle name="Normal 10 6 2 2 4 2" xfId="31099"/>
    <cellStyle name="Normal 10 7 3 4 2" xfId="31100"/>
    <cellStyle name="Normal 10 7 2 2 4 2" xfId="31101"/>
    <cellStyle name="Normal 10 8 2 2 4 2" xfId="31102"/>
    <cellStyle name="Normal 10 9 2 4 2" xfId="31103"/>
    <cellStyle name="Normal 11 4 2 4 2" xfId="31104"/>
    <cellStyle name="Normal 11 3 2 4 2" xfId="31105"/>
    <cellStyle name="Normal 12 8 4 2" xfId="31106"/>
    <cellStyle name="Normal 12 2 2 5 4 2" xfId="31107"/>
    <cellStyle name="Normal 12 2 2 2 3 4 2" xfId="31108"/>
    <cellStyle name="Normal 12 2 2 2 2 2 4 2" xfId="31109"/>
    <cellStyle name="Normal 12 2 2 3 3 4 2" xfId="31110"/>
    <cellStyle name="Normal 12 2 2 3 2 2 4 2" xfId="31111"/>
    <cellStyle name="Normal 12 2 2 4 2 4 2" xfId="31112"/>
    <cellStyle name="Normal 12 2 3 3 4 2" xfId="31113"/>
    <cellStyle name="Normal 12 2 3 2 2 4 2" xfId="31114"/>
    <cellStyle name="Normal 12 2 4 3 4 2" xfId="31115"/>
    <cellStyle name="Normal 12 2 4 2 2 4 2" xfId="31116"/>
    <cellStyle name="Normal 12 2 5 2 2 4 2" xfId="31117"/>
    <cellStyle name="Normal 12 2 6 2 4 2" xfId="31118"/>
    <cellStyle name="Normal 12 3 5 4 2" xfId="31119"/>
    <cellStyle name="Normal 12 3 2 3 4 2" xfId="31120"/>
    <cellStyle name="Normal 12 3 2 2 2 4 2" xfId="31121"/>
    <cellStyle name="Normal 12 3 3 3 4 2" xfId="31122"/>
    <cellStyle name="Normal 12 3 3 2 2 4 2" xfId="31123"/>
    <cellStyle name="Normal 12 3 4 2 4 2" xfId="31124"/>
    <cellStyle name="Normal 12 4 5 4 2" xfId="31125"/>
    <cellStyle name="Normal 12 4 2 3 4 2" xfId="31126"/>
    <cellStyle name="Normal 12 4 2 2 2 4 2" xfId="31127"/>
    <cellStyle name="Normal 12 4 3 3 4 2" xfId="31128"/>
    <cellStyle name="Normal 12 4 3 2 2 4 2" xfId="31129"/>
    <cellStyle name="Normal 12 4 4 2 4 2" xfId="31130"/>
    <cellStyle name="Normal 12 5 3 4 2" xfId="31131"/>
    <cellStyle name="Normal 12 5 2 2 4 2" xfId="31132"/>
    <cellStyle name="Normal 12 6 3 4 2" xfId="31133"/>
    <cellStyle name="Normal 12 6 2 2 4 2" xfId="31134"/>
    <cellStyle name="Normal 12 7 2 4 2" xfId="31135"/>
    <cellStyle name="Normal 15 6 4 2" xfId="31136"/>
    <cellStyle name="Normal 15 3 2 4 2" xfId="31137"/>
    <cellStyle name="Normal 16 2 5 4 2" xfId="31138"/>
    <cellStyle name="Normal 16 2 2 3 4 2" xfId="31139"/>
    <cellStyle name="Normal 16 2 2 2 2 4 2" xfId="31140"/>
    <cellStyle name="Normal 16 2 3 3 4 2" xfId="31141"/>
    <cellStyle name="Normal 16 2 3 2 2 4 2" xfId="31142"/>
    <cellStyle name="Normal 16 2 4 2 4 2" xfId="31143"/>
    <cellStyle name="Normal 16 3 3 4 2" xfId="31144"/>
    <cellStyle name="Normal 16 3 2 2 4 2" xfId="31145"/>
    <cellStyle name="Normal 16 4 3 4 2" xfId="31146"/>
    <cellStyle name="Normal 16 4 2 2 4 2" xfId="31147"/>
    <cellStyle name="Normal 16 5 2 2 4 2" xfId="31148"/>
    <cellStyle name="Normal 16 6 2 4 2" xfId="31149"/>
    <cellStyle name="Normal 17 2 5 4 2" xfId="31150"/>
    <cellStyle name="Normal 17 2 2 3 4 2" xfId="31151"/>
    <cellStyle name="Normal 17 2 2 2 2 4 2" xfId="31152"/>
    <cellStyle name="Normal 17 2 3 3 4 2" xfId="31153"/>
    <cellStyle name="Normal 17 2 3 2 2 4 2" xfId="31154"/>
    <cellStyle name="Normal 17 2 4 2 4 2" xfId="31155"/>
    <cellStyle name="Normal 17 3 3 4 2" xfId="31156"/>
    <cellStyle name="Normal 17 3 2 2 4 2" xfId="31157"/>
    <cellStyle name="Normal 17 4 3 4 2" xfId="31158"/>
    <cellStyle name="Normal 17 4 2 2 4 2" xfId="31159"/>
    <cellStyle name="Normal 17 5 2 2 4 2" xfId="31160"/>
    <cellStyle name="Normal 17 6 2 4 2" xfId="31161"/>
    <cellStyle name="Normal 2 10 3 2 4 2" xfId="31162"/>
    <cellStyle name="Normal 2 11 3 2 4 2" xfId="31163"/>
    <cellStyle name="Normal 2 12 3 2 4 2" xfId="31164"/>
    <cellStyle name="Normal 2 13 3 2 4 2" xfId="31165"/>
    <cellStyle name="Normal 2 14 3 2 4 2" xfId="31166"/>
    <cellStyle name="Normal 2 15 3 2 4 2" xfId="31167"/>
    <cellStyle name="Normal 2 16 3 2 4 2" xfId="31168"/>
    <cellStyle name="Normal 2 17 3 2 4 2" xfId="31169"/>
    <cellStyle name="Normal 2 18 3 2 4 2" xfId="31170"/>
    <cellStyle name="Normal 2 19 3 2 4 2" xfId="31171"/>
    <cellStyle name="Normal 2 2 10 2 4 2" xfId="31172"/>
    <cellStyle name="Normal 2 2 11 2 4 2" xfId="31173"/>
    <cellStyle name="Normal 2 2 12 2 4 2" xfId="31174"/>
    <cellStyle name="Normal 2 2 13 2 4 2" xfId="31175"/>
    <cellStyle name="Normal 2 2 14 2 4 2" xfId="31176"/>
    <cellStyle name="Normal 2 2 15 2 4 2" xfId="31177"/>
    <cellStyle name="Normal 2 2 16 2 4 2" xfId="31178"/>
    <cellStyle name="Normal 2 2 17 2 4 2" xfId="31179"/>
    <cellStyle name="Normal 2 2 18 2 4 2" xfId="31180"/>
    <cellStyle name="Normal 2 2 19 2 4 2" xfId="31181"/>
    <cellStyle name="Normal 2 2 2 2 6 4 2" xfId="31182"/>
    <cellStyle name="Normal 2 2 2 2 2 3 4 2" xfId="31183"/>
    <cellStyle name="Normal 2 2 2 2 2 2 2 4 2" xfId="31184"/>
    <cellStyle name="Normal 2 2 2 2 3 2 4 2" xfId="31185"/>
    <cellStyle name="Normal 2 2 2 2 4 2 4 2" xfId="31186"/>
    <cellStyle name="Normal 2 2 2 2 5 2 4 2" xfId="31187"/>
    <cellStyle name="Normal 2 2 20 2 4 2" xfId="31188"/>
    <cellStyle name="Normal 2 2 21 2 4 2" xfId="31189"/>
    <cellStyle name="Normal 2 2 22 2 4 2" xfId="31190"/>
    <cellStyle name="Normal 2 2 3 9 4 2" xfId="31191"/>
    <cellStyle name="Normal 2 2 3 2 2 4 2" xfId="31192"/>
    <cellStyle name="Normal 2 2 3 3 2 4 2" xfId="31193"/>
    <cellStyle name="Normal 2 2 3 4 2 4 2" xfId="31194"/>
    <cellStyle name="Normal 2 2 3 5 2 4 2" xfId="31195"/>
    <cellStyle name="Normal 2 2 3 6 2 4 2" xfId="31196"/>
    <cellStyle name="Normal 2 2 4 5 4 2" xfId="31197"/>
    <cellStyle name="Normal 2 2 4 2 2 4 2" xfId="31198"/>
    <cellStyle name="Normal 2 2 5 4 4 2" xfId="31199"/>
    <cellStyle name="Normal 2 2 5 2 2 4 2" xfId="31200"/>
    <cellStyle name="Normal 2 2 6 2 4 2" xfId="31201"/>
    <cellStyle name="Normal 2 2 7 2 4 2" xfId="31202"/>
    <cellStyle name="Normal 2 2 8 2 4 2" xfId="31203"/>
    <cellStyle name="Normal 2 2 9 2 4 2" xfId="31204"/>
    <cellStyle name="Normal 2 20 2 4 2" xfId="31205"/>
    <cellStyle name="Normal 2 3 2 3 4 2" xfId="31206"/>
    <cellStyle name="Normal 2 3 3 2 4 2" xfId="31207"/>
    <cellStyle name="Normal 2 3 4 2 4 2" xfId="31208"/>
    <cellStyle name="Normal 2 3 5 2 4 2" xfId="31209"/>
    <cellStyle name="Normal 2 3 6 2 4 2" xfId="31210"/>
    <cellStyle name="Normal 2 4 5 2 4 2" xfId="31211"/>
    <cellStyle name="Normal 2 4 2 2 4 2" xfId="31212"/>
    <cellStyle name="Normal 2 5 3 2 4 2" xfId="31213"/>
    <cellStyle name="Normal 2 6 3 2 4 2" xfId="31214"/>
    <cellStyle name="Normal 2 7 3 2 4 2" xfId="31215"/>
    <cellStyle name="Normal 2 8 3 2 4 2" xfId="31216"/>
    <cellStyle name="Normal 2 9 3 2 4 2" xfId="31217"/>
    <cellStyle name="Normal 21 9 4 2" xfId="31218"/>
    <cellStyle name="Normal 21 2 7 4 2" xfId="31219"/>
    <cellStyle name="Normal 21 2 2 2 4 2" xfId="31220"/>
    <cellStyle name="Normal 21 2 3 2 4 2" xfId="31221"/>
    <cellStyle name="Normal 21 2 4 2 4 2" xfId="31222"/>
    <cellStyle name="Normal 21 2 5 2 4 2" xfId="31223"/>
    <cellStyle name="Normal 21 2 6 2 4 2" xfId="31224"/>
    <cellStyle name="Normal 21 3 3 4 2" xfId="31225"/>
    <cellStyle name="Normal 21 3 2 2 4 2" xfId="31226"/>
    <cellStyle name="Normal 21 4 2 4 2" xfId="31227"/>
    <cellStyle name="Normal 21 5 2 4 2" xfId="31228"/>
    <cellStyle name="Normal 21 6 2 4 2" xfId="31229"/>
    <cellStyle name="Normal 21 8 2 4 2" xfId="31230"/>
    <cellStyle name="Normal 22 8 4 2" xfId="31231"/>
    <cellStyle name="Normal 22 2 7 4 2" xfId="31232"/>
    <cellStyle name="Normal 22 2 2 2 4 2" xfId="31233"/>
    <cellStyle name="Normal 22 2 3 2 4 2" xfId="31234"/>
    <cellStyle name="Normal 22 2 4 2 4 2" xfId="31235"/>
    <cellStyle name="Normal 22 2 5 2 4 2" xfId="31236"/>
    <cellStyle name="Normal 22 3 2 4 2" xfId="31237"/>
    <cellStyle name="Normal 22 4 2 4 2" xfId="31238"/>
    <cellStyle name="Normal 22 5 2 4 2" xfId="31239"/>
    <cellStyle name="Normal 22 6 2 4 2" xfId="31240"/>
    <cellStyle name="Normal 23 8 4 2" xfId="31241"/>
    <cellStyle name="Normal 23 2 6 4 2" xfId="31242"/>
    <cellStyle name="Normal 23 2 2 2 4 2" xfId="31243"/>
    <cellStyle name="Normal 23 2 3 2 4 2" xfId="31244"/>
    <cellStyle name="Normal 23 2 4 2 4 2" xfId="31245"/>
    <cellStyle name="Normal 23 2 5 2 4 2" xfId="31246"/>
    <cellStyle name="Normal 23 3 2 4 2" xfId="31247"/>
    <cellStyle name="Normal 23 4 2 4 2" xfId="31248"/>
    <cellStyle name="Normal 23 5 2 4 2" xfId="31249"/>
    <cellStyle name="Normal 23 6 2 4 2" xfId="31250"/>
    <cellStyle name="Normal 24 8 4 2" xfId="31251"/>
    <cellStyle name="Normal 24 2 6 4 2" xfId="31252"/>
    <cellStyle name="Normal 24 2 2 2 4 2" xfId="31253"/>
    <cellStyle name="Normal 24 2 3 2 4 2" xfId="31254"/>
    <cellStyle name="Normal 24 2 4 2 4 2" xfId="31255"/>
    <cellStyle name="Normal 24 2 5 2 4 2" xfId="31256"/>
    <cellStyle name="Normal 24 3 2 4 2" xfId="31257"/>
    <cellStyle name="Normal 24 4 2 4 2" xfId="31258"/>
    <cellStyle name="Normal 24 5 2 4 2" xfId="31259"/>
    <cellStyle name="Normal 24 6 2 4 2" xfId="31260"/>
    <cellStyle name="Normal 26 8 4 2" xfId="31261"/>
    <cellStyle name="Normal 26 2 6 4 2" xfId="31262"/>
    <cellStyle name="Normal 26 2 2 2 4 2" xfId="31263"/>
    <cellStyle name="Normal 26 2 3 2 4 2" xfId="31264"/>
    <cellStyle name="Normal 26 2 4 2 4 2" xfId="31265"/>
    <cellStyle name="Normal 26 2 5 2 4 2" xfId="31266"/>
    <cellStyle name="Normal 26 3 2 4 2" xfId="31267"/>
    <cellStyle name="Normal 26 4 2 4 2" xfId="31268"/>
    <cellStyle name="Normal 26 5 2 4 2" xfId="31269"/>
    <cellStyle name="Normal 26 6 2 4 2" xfId="31270"/>
    <cellStyle name="Normal 3 10 2 4 2" xfId="31271"/>
    <cellStyle name="Normal 3 11 2 4 2" xfId="31272"/>
    <cellStyle name="Normal 3 12 2 4 2" xfId="31273"/>
    <cellStyle name="Normal 3 13 2 4 2" xfId="31274"/>
    <cellStyle name="Normal 3 14 2 4 2" xfId="31275"/>
    <cellStyle name="Normal 3 15 2 4 2" xfId="31276"/>
    <cellStyle name="Normal 3 16 2 4 2" xfId="31277"/>
    <cellStyle name="Normal 3 17 2 4 2" xfId="31278"/>
    <cellStyle name="Normal 3 18 2 4 2" xfId="31279"/>
    <cellStyle name="Normal 3 19 2 4 2" xfId="31280"/>
    <cellStyle name="Normal 3 2 2 2 4 2" xfId="31281"/>
    <cellStyle name="Normal 3 2 3 2 4 2" xfId="31282"/>
    <cellStyle name="Normal 3 2 4 2 4 2" xfId="31283"/>
    <cellStyle name="Normal 3 2 5 2 4 2" xfId="31284"/>
    <cellStyle name="Normal 3 2 6 2 4 2" xfId="31285"/>
    <cellStyle name="Normal 3 20 2 4 2" xfId="31286"/>
    <cellStyle name="Normal 3 21 2 4 2" xfId="31287"/>
    <cellStyle name="Normal 3 22 2 4 2" xfId="31288"/>
    <cellStyle name="Normal 3 23 2 4 2" xfId="31289"/>
    <cellStyle name="Normal 3 24 2 4 2" xfId="31290"/>
    <cellStyle name="Normal 3 3 5 4 2" xfId="31291"/>
    <cellStyle name="Normal 3 3 2 2 4 2" xfId="31292"/>
    <cellStyle name="Normal 3 3 3 2 4 2" xfId="31293"/>
    <cellStyle name="Normal 3 4 3 4 2" xfId="31294"/>
    <cellStyle name="Normal 3 4 2 2 4 2" xfId="31295"/>
    <cellStyle name="Normal 3 5 3 4 2" xfId="31296"/>
    <cellStyle name="Normal 3 5 2 2 4 2" xfId="31297"/>
    <cellStyle name="Normal 3 6 2 4 2" xfId="31298"/>
    <cellStyle name="Normal 3 7 2 4 2" xfId="31299"/>
    <cellStyle name="Normal 3 8 2 4 2" xfId="31300"/>
    <cellStyle name="Normal 3 9 2 4 2" xfId="31301"/>
    <cellStyle name="Normal 4 2 10 2 4 2" xfId="31302"/>
    <cellStyle name="Normal 4 2 11 2 4 2" xfId="31303"/>
    <cellStyle name="Normal 4 2 12 2 4 2" xfId="31304"/>
    <cellStyle name="Normal 4 2 13 2 4 2" xfId="31305"/>
    <cellStyle name="Normal 4 2 14 2 4 2" xfId="31306"/>
    <cellStyle name="Normal 4 2 15 2 4 2" xfId="31307"/>
    <cellStyle name="Normal 4 2 16 2 4 2" xfId="31308"/>
    <cellStyle name="Normal 4 2 17 2 4 2" xfId="31309"/>
    <cellStyle name="Normal 4 2 18 2 4 2" xfId="31310"/>
    <cellStyle name="Normal 4 2 19 2 4 2" xfId="31311"/>
    <cellStyle name="Normal 4 2 2 6 4 2" xfId="31312"/>
    <cellStyle name="Normal 4 2 2 2 2 4 2" xfId="31313"/>
    <cellStyle name="Normal 4 2 2 3 2 4 2" xfId="31314"/>
    <cellStyle name="Normal 4 2 2 4 2 4 2" xfId="31315"/>
    <cellStyle name="Normal 4 2 2 5 2 4 2" xfId="31316"/>
    <cellStyle name="Normal 4 2 20 2 4 2" xfId="31317"/>
    <cellStyle name="Normal 4 2 21 2 4 2" xfId="31318"/>
    <cellStyle name="Normal 4 2 22 2 4 2" xfId="31319"/>
    <cellStyle name="Normal 4 2 23 2 4 2" xfId="31320"/>
    <cellStyle name="Normal 4 2 24 2 4 2" xfId="31321"/>
    <cellStyle name="Normal 4 2 3 3 4 2" xfId="31322"/>
    <cellStyle name="Normal 4 2 3 2 2 4 2" xfId="31323"/>
    <cellStyle name="Normal 4 2 4 3 4 2" xfId="31324"/>
    <cellStyle name="Normal 4 2 4 2 2 4 2" xfId="31325"/>
    <cellStyle name="Normal 4 2 5 3 4 2" xfId="31326"/>
    <cellStyle name="Normal 4 2 5 2 2 4 2" xfId="31327"/>
    <cellStyle name="Normal 4 2 6 2 4 2" xfId="31328"/>
    <cellStyle name="Normal 4 2 7 2 4 2" xfId="31329"/>
    <cellStyle name="Normal 4 2 8 2 4 2" xfId="31330"/>
    <cellStyle name="Normal 4 2 9 2 4 2" xfId="31331"/>
    <cellStyle name="Normal 4 3 7 4 2" xfId="31332"/>
    <cellStyle name="Normal 4 3 2 6 4 2" xfId="31333"/>
    <cellStyle name="Normal 4 3 2 2 5 4 2" xfId="31334"/>
    <cellStyle name="Normal 4 3 2 2 2 3 4 2" xfId="31335"/>
    <cellStyle name="Normal 4 3 2 2 2 2 2 4 2" xfId="31336"/>
    <cellStyle name="Normal 4 3 2 2 3 3 4 2" xfId="31337"/>
    <cellStyle name="Normal 4 3 2 2 3 2 2 4 2" xfId="31338"/>
    <cellStyle name="Normal 4 3 2 2 4 2 4 2" xfId="31339"/>
    <cellStyle name="Normal 4 3 2 3 3 4 2" xfId="31340"/>
    <cellStyle name="Normal 4 3 2 3 2 2 4 2" xfId="31341"/>
    <cellStyle name="Normal 4 3 2 4 3 4 2" xfId="31342"/>
    <cellStyle name="Normal 4 3 2 4 2 2 4 2" xfId="31343"/>
    <cellStyle name="Normal 4 3 2 5 2 4 2" xfId="31344"/>
    <cellStyle name="Normal 4 3 3 5 4 2" xfId="31345"/>
    <cellStyle name="Normal 4 3 3 2 3 4 2" xfId="31346"/>
    <cellStyle name="Normal 4 3 3 2 2 2 4 2" xfId="31347"/>
    <cellStyle name="Normal 4 3 3 3 3 4 2" xfId="31348"/>
    <cellStyle name="Normal 4 3 3 3 2 2 4 2" xfId="31349"/>
    <cellStyle name="Normal 4 3 3 4 2 4 2" xfId="31350"/>
    <cellStyle name="Normal 4 3 4 3 4 2" xfId="31351"/>
    <cellStyle name="Normal 4 3 4 2 2 4 2" xfId="31352"/>
    <cellStyle name="Normal 4 3 5 3 4 2" xfId="31353"/>
    <cellStyle name="Normal 4 3 5 2 2 4 2" xfId="31354"/>
    <cellStyle name="Normal 4 3 6 2 4 2" xfId="31355"/>
    <cellStyle name="Normal 4 4 4 4 2" xfId="31356"/>
    <cellStyle name="Normal 4 4 2 2 4 2" xfId="31357"/>
    <cellStyle name="Normal 4 5 2 4 2" xfId="31358"/>
    <cellStyle name="Normal 4 6 2 4 2" xfId="31359"/>
    <cellStyle name="Normal 4 7 2 4 2" xfId="31360"/>
    <cellStyle name="Normal 4 8 2 4 2" xfId="31361"/>
    <cellStyle name="Normal 41 2 2 4 2" xfId="31362"/>
    <cellStyle name="Normal 46 2 4 2" xfId="31363"/>
    <cellStyle name="Normal 5 28 2 4 2" xfId="31364"/>
    <cellStyle name="Normal 5 2 7 4 2" xfId="31365"/>
    <cellStyle name="Normal 5 2 2 2 2 2 4 2" xfId="31366"/>
    <cellStyle name="Normal 5 2 2 3 2 4 2" xfId="31367"/>
    <cellStyle name="Normal 5 2 3 2 2 2 4 2" xfId="31368"/>
    <cellStyle name="Normal 5 2 3 3 2 4 2" xfId="31369"/>
    <cellStyle name="Normal 5 2 4 2 2 4 2" xfId="31370"/>
    <cellStyle name="Normal 5 2 6 2 4 2" xfId="31371"/>
    <cellStyle name="Normal 5 24 2 4 2" xfId="31372"/>
    <cellStyle name="Normal 5 3 3 4 2" xfId="31373"/>
    <cellStyle name="Normal 5 4 3 4 2" xfId="31374"/>
    <cellStyle name="Normal 5 5 3 4 2" xfId="31375"/>
    <cellStyle name="Normal 5 6 3 4 2" xfId="31376"/>
    <cellStyle name="Normal 5 7 3 4 2" xfId="31377"/>
    <cellStyle name="Normal 7 25 2 4 2" xfId="31378"/>
    <cellStyle name="Normal 7 10 2 4 2" xfId="31379"/>
    <cellStyle name="Normal 7 11 2 4 2" xfId="31380"/>
    <cellStyle name="Normal 7 12 2 4 2" xfId="31381"/>
    <cellStyle name="Normal 7 13 2 4 2" xfId="31382"/>
    <cellStyle name="Normal 7 14 2 4 2" xfId="31383"/>
    <cellStyle name="Normal 7 15 2 4 2" xfId="31384"/>
    <cellStyle name="Normal 7 16 2 4 2" xfId="31385"/>
    <cellStyle name="Normal 7 17 2 4 2" xfId="31386"/>
    <cellStyle name="Normal 7 18 2 4 2" xfId="31387"/>
    <cellStyle name="Normal 7 19 2 4 2" xfId="31388"/>
    <cellStyle name="Normal 7 2 6 4 2" xfId="31389"/>
    <cellStyle name="Normal 7 2 2 2 4 2" xfId="31390"/>
    <cellStyle name="Normal 7 2 3 2 4 2" xfId="31391"/>
    <cellStyle name="Normal 7 2 4 2 4 2" xfId="31392"/>
    <cellStyle name="Normal 7 2 5 2 4 2" xfId="31393"/>
    <cellStyle name="Normal 7 20 2 4 2" xfId="31394"/>
    <cellStyle name="Normal 7 22 2 4 2" xfId="31395"/>
    <cellStyle name="Normal 7 3 6 4 2" xfId="31396"/>
    <cellStyle name="Normal 7 3 2 2 4 2" xfId="31397"/>
    <cellStyle name="Normal 7 3 3 2 4 2" xfId="31398"/>
    <cellStyle name="Normal 7 3 4 2 4 2" xfId="31399"/>
    <cellStyle name="Normal 7 3 5 2 4 2" xfId="31400"/>
    <cellStyle name="Normal 7 4 2 4 2" xfId="31401"/>
    <cellStyle name="Normal 7 5 2 4 2" xfId="31402"/>
    <cellStyle name="Normal 7 6 2 4 2" xfId="31403"/>
    <cellStyle name="Normal 7 7 2 4 2" xfId="31404"/>
    <cellStyle name="Normal 7 8 2 4 2" xfId="31405"/>
    <cellStyle name="Normal 7 9 2 4 2" xfId="31406"/>
    <cellStyle name="Normal 8 25 2 4 2" xfId="31407"/>
    <cellStyle name="Normal 8 10 2 4 2" xfId="31408"/>
    <cellStyle name="Normal 8 11 2 4 2" xfId="31409"/>
    <cellStyle name="Normal 8 12 2 4 2" xfId="31410"/>
    <cellStyle name="Normal 8 13 2 4 2" xfId="31411"/>
    <cellStyle name="Normal 8 14 2 4 2" xfId="31412"/>
    <cellStyle name="Normal 8 15 2 4 2" xfId="31413"/>
    <cellStyle name="Normal 8 16 2 4 2" xfId="31414"/>
    <cellStyle name="Normal 8 17 2 4 2" xfId="31415"/>
    <cellStyle name="Normal 8 18 2 4 2" xfId="31416"/>
    <cellStyle name="Normal 8 19 2 4 2" xfId="31417"/>
    <cellStyle name="Normal 8 2 6 2 4 2" xfId="31418"/>
    <cellStyle name="Normal 8 2 2 2 2 4 2" xfId="31419"/>
    <cellStyle name="Normal 8 2 3 2 4 2" xfId="31420"/>
    <cellStyle name="Normal 8 2 4 2 4 2" xfId="31421"/>
    <cellStyle name="Normal 8 2 5 2 4 2" xfId="31422"/>
    <cellStyle name="Normal 8 20 2 4 2" xfId="31423"/>
    <cellStyle name="Normal 8 22 2 4 2" xfId="31424"/>
    <cellStyle name="Normal 8 3 6 2 4 2" xfId="31425"/>
    <cellStyle name="Normal 8 3 2 2 4 2" xfId="31426"/>
    <cellStyle name="Normal 8 3 3 2 4 2" xfId="31427"/>
    <cellStyle name="Normal 8 3 4 2 4 2" xfId="31428"/>
    <cellStyle name="Normal 8 3 5 2 4 2" xfId="31429"/>
    <cellStyle name="Normal 8 4 2 4 2" xfId="31430"/>
    <cellStyle name="Normal 8 5 2 4 2" xfId="31431"/>
    <cellStyle name="Normal 8 6 2 4 2" xfId="31432"/>
    <cellStyle name="Normal 8 7 2 4 2" xfId="31433"/>
    <cellStyle name="Normal 8 8 2 4 2" xfId="31434"/>
    <cellStyle name="Normal 8 9 2 4 2" xfId="31435"/>
    <cellStyle name="Normal 9 25 2 4 2" xfId="31436"/>
    <cellStyle name="Normal 9 10 2 4 2" xfId="31437"/>
    <cellStyle name="Normal 9 11 2 4 2" xfId="31438"/>
    <cellStyle name="Normal 9 12 2 4 2" xfId="31439"/>
    <cellStyle name="Normal 9 13 2 4 2" xfId="31440"/>
    <cellStyle name="Normal 9 14 2 4 2" xfId="31441"/>
    <cellStyle name="Normal 9 15 2 4 2" xfId="31442"/>
    <cellStyle name="Normal 9 16 2 4 2" xfId="31443"/>
    <cellStyle name="Normal 9 17 2 4 2" xfId="31444"/>
    <cellStyle name="Normal 9 18 2 4 2" xfId="31445"/>
    <cellStyle name="Normal 9 19 2 4 2" xfId="31446"/>
    <cellStyle name="Normal 9 2 6 4 2" xfId="31447"/>
    <cellStyle name="Normal 9 2 2 2 4 2" xfId="31448"/>
    <cellStyle name="Normal 9 2 3 2 4 2" xfId="31449"/>
    <cellStyle name="Normal 9 2 4 2 4 2" xfId="31450"/>
    <cellStyle name="Normal 9 2 5 2 4 2" xfId="31451"/>
    <cellStyle name="Normal 9 20 2 4 2" xfId="31452"/>
    <cellStyle name="Normal 9 22 2 4 2" xfId="31453"/>
    <cellStyle name="Normal 9 3 6 4 2" xfId="31454"/>
    <cellStyle name="Normal 9 3 2 2 4 2" xfId="31455"/>
    <cellStyle name="Normal 9 3 3 2 4 2" xfId="31456"/>
    <cellStyle name="Normal 9 3 4 2 4 2" xfId="31457"/>
    <cellStyle name="Normal 9 3 5 2 4 2" xfId="31458"/>
    <cellStyle name="Normal 9 4 2 4 2" xfId="31459"/>
    <cellStyle name="Normal 9 5 2 4 2" xfId="31460"/>
    <cellStyle name="Normal 9 6 2 4 2" xfId="31461"/>
    <cellStyle name="Normal 9 7 2 4 2" xfId="31462"/>
    <cellStyle name="Normal 9 8 2 4 2" xfId="31463"/>
    <cellStyle name="Normal 9 9 2 4 2" xfId="31464"/>
    <cellStyle name="Note 2 2 4 2" xfId="31465"/>
    <cellStyle name="Note 3 2 4 2" xfId="31466"/>
    <cellStyle name="Note 4 2 4 2" xfId="31467"/>
    <cellStyle name="Note 7 2 4 2" xfId="31468"/>
    <cellStyle name="Percent 120 2 4 2" xfId="31469"/>
    <cellStyle name="Percent 121 2 4 2" xfId="31470"/>
    <cellStyle name="Percent 122 2 4 2" xfId="31471"/>
    <cellStyle name="Percent 123 2 4 2" xfId="31472"/>
    <cellStyle name="Percent 124 2 4 2" xfId="31473"/>
    <cellStyle name="Percent 125 2 4 2" xfId="31474"/>
    <cellStyle name="Percent 126 2 4 2" xfId="31475"/>
    <cellStyle name="Percent 127 2 4 2" xfId="31476"/>
    <cellStyle name="Percent 128 2 4 2" xfId="31477"/>
    <cellStyle name="Percent 129 2 4 2" xfId="31478"/>
    <cellStyle name="Percent 130 2 4 2" xfId="31479"/>
    <cellStyle name="Percent 159 2 4 2" xfId="31480"/>
    <cellStyle name="Percent 2 22 2 4 2" xfId="31481"/>
    <cellStyle name="Percent 25 2 3 4 2" xfId="31482"/>
    <cellStyle name="Percent 25 2 2 2 4 2" xfId="31483"/>
    <cellStyle name="Percent 25 3 3 4 2" xfId="31484"/>
    <cellStyle name="Percent 25 3 2 2 4 2" xfId="31485"/>
    <cellStyle name="Percent 25 4 2 2 4 2" xfId="31486"/>
    <cellStyle name="Percent 25 5 2 4 2" xfId="31487"/>
    <cellStyle name="Percent 26 2 3 4 2" xfId="31488"/>
    <cellStyle name="Percent 26 2 2 2 4 2" xfId="31489"/>
    <cellStyle name="Percent 26 3 3 4 2" xfId="31490"/>
    <cellStyle name="Percent 26 3 2 2 4 2" xfId="31491"/>
    <cellStyle name="Percent 26 4 2 2 4 2" xfId="31492"/>
    <cellStyle name="Percent 26 5 2 4 2" xfId="31493"/>
    <cellStyle name="Percent 27 2 3 4 2" xfId="31494"/>
    <cellStyle name="Percent 27 2 2 2 4 2" xfId="31495"/>
    <cellStyle name="Percent 27 3 3 4 2" xfId="31496"/>
    <cellStyle name="Percent 27 3 2 2 4 2" xfId="31497"/>
    <cellStyle name="Percent 27 4 2 2 4 2" xfId="31498"/>
    <cellStyle name="Percent 27 5 2 4 2" xfId="31499"/>
    <cellStyle name="Percent 28 2 3 4 2" xfId="31500"/>
    <cellStyle name="Percent 28 2 2 2 4 2" xfId="31501"/>
    <cellStyle name="Percent 28 3 3 4 2" xfId="31502"/>
    <cellStyle name="Percent 28 3 2 2 4 2" xfId="31503"/>
    <cellStyle name="Percent 28 4 2 2 4 2" xfId="31504"/>
    <cellStyle name="Percent 28 5 2 4 2" xfId="31505"/>
    <cellStyle name="Percent 29 2 3 4 2" xfId="31506"/>
    <cellStyle name="Percent 29 2 2 2 4 2" xfId="31507"/>
    <cellStyle name="Percent 29 3 3 4 2" xfId="31508"/>
    <cellStyle name="Percent 29 3 2 2 4 2" xfId="31509"/>
    <cellStyle name="Percent 29 4 2 2 4 2" xfId="31510"/>
    <cellStyle name="Percent 29 5 2 4 2" xfId="31511"/>
    <cellStyle name="Percent 3 10 2 4 2" xfId="31512"/>
    <cellStyle name="Percent 3 11 2 4 2" xfId="31513"/>
    <cellStyle name="Percent 3 12 2 4 2" xfId="31514"/>
    <cellStyle name="Percent 3 13 2 4 2" xfId="31515"/>
    <cellStyle name="Percent 3 14 2 4 2" xfId="31516"/>
    <cellStyle name="Percent 3 15 2 4 2" xfId="31517"/>
    <cellStyle name="Percent 3 16 2 4 2" xfId="31518"/>
    <cellStyle name="Percent 3 17 2 4 2" xfId="31519"/>
    <cellStyle name="Percent 3 18 2 4 2" xfId="31520"/>
    <cellStyle name="Percent 3 19 2 4 2" xfId="31521"/>
    <cellStyle name="Percent 3 2 23 4 2" xfId="31522"/>
    <cellStyle name="Percent 3 2 10 2 4 2" xfId="31523"/>
    <cellStyle name="Percent 3 2 11 2 4 2" xfId="31524"/>
    <cellStyle name="Percent 3 2 12 2 4 2" xfId="31525"/>
    <cellStyle name="Percent 3 2 13 2 4 2" xfId="31526"/>
    <cellStyle name="Percent 3 2 14 2 4 2" xfId="31527"/>
    <cellStyle name="Percent 3 2 15 2 4 2" xfId="31528"/>
    <cellStyle name="Percent 3 2 16 2 4 2" xfId="31529"/>
    <cellStyle name="Percent 3 2 17 2 4 2" xfId="31530"/>
    <cellStyle name="Percent 3 2 18 2 4 2" xfId="31531"/>
    <cellStyle name="Percent 3 2 19 2 4 2" xfId="31532"/>
    <cellStyle name="Percent 3 2 2 2 2 4 2" xfId="31533"/>
    <cellStyle name="Percent 3 2 2 3 2 4 2" xfId="31534"/>
    <cellStyle name="Percent 3 2 2 4 2 4 2" xfId="31535"/>
    <cellStyle name="Percent 3 2 2 5 2 4 2" xfId="31536"/>
    <cellStyle name="Percent 3 2 20 2 4 2" xfId="31537"/>
    <cellStyle name="Percent 3 2 21 2 2 4 2" xfId="31538"/>
    <cellStyle name="Percent 3 2 3 6 4 2" xfId="31539"/>
    <cellStyle name="Percent 3 2 3 2 2 4 2" xfId="31540"/>
    <cellStyle name="Percent 3 2 3 3 2 4 2" xfId="31541"/>
    <cellStyle name="Percent 3 2 3 4 2 4 2" xfId="31542"/>
    <cellStyle name="Percent 3 2 3 5 2 4 2" xfId="31543"/>
    <cellStyle name="Percent 3 2 4 3 4 2" xfId="31544"/>
    <cellStyle name="Percent 3 2 4 2 2 4 2" xfId="31545"/>
    <cellStyle name="Percent 3 2 5 3 4 2" xfId="31546"/>
    <cellStyle name="Percent 3 2 5 2 2 4 2" xfId="31547"/>
    <cellStyle name="Percent 3 2 6 3 4 2" xfId="31548"/>
    <cellStyle name="Percent 3 2 6 2 2 4 2" xfId="31549"/>
    <cellStyle name="Percent 3 2 7 2 4 2" xfId="31550"/>
    <cellStyle name="Percent 3 2 8 2 4 2" xfId="31551"/>
    <cellStyle name="Percent 3 2 9 2 4 2" xfId="31552"/>
    <cellStyle name="Percent 3 20 2 4 2" xfId="31553"/>
    <cellStyle name="Percent 3 21 2 4 2" xfId="31554"/>
    <cellStyle name="Percent 3 3 2 2 4 2" xfId="31555"/>
    <cellStyle name="Percent 3 3 3 2 4 2" xfId="31556"/>
    <cellStyle name="Percent 3 3 4 2 4 2" xfId="31557"/>
    <cellStyle name="Percent 3 3 5 2 4 2" xfId="31558"/>
    <cellStyle name="Percent 3 4 6 4 2" xfId="31559"/>
    <cellStyle name="Percent 3 4 2 2 4 2" xfId="31560"/>
    <cellStyle name="Percent 3 4 3 2 4 2" xfId="31561"/>
    <cellStyle name="Percent 3 4 4 2 4 2" xfId="31562"/>
    <cellStyle name="Percent 3 4 5 2 4 2" xfId="31563"/>
    <cellStyle name="Percent 3 5 3 4 2" xfId="31564"/>
    <cellStyle name="Percent 3 5 2 2 4 2" xfId="31565"/>
    <cellStyle name="Percent 3 6 3 4 2" xfId="31566"/>
    <cellStyle name="Percent 3 6 2 2 4 2" xfId="31567"/>
    <cellStyle name="Percent 3 7 3 4 2" xfId="31568"/>
    <cellStyle name="Percent 3 7 2 2 4 2" xfId="31569"/>
    <cellStyle name="Percent 3 8 2 4 2" xfId="31570"/>
    <cellStyle name="Percent 3 9 2 4 2" xfId="31571"/>
    <cellStyle name="Percent 30 2 3 4 2" xfId="31572"/>
    <cellStyle name="Percent 30 2 2 2 4 2" xfId="31573"/>
    <cellStyle name="Percent 30 3 3 4 2" xfId="31574"/>
    <cellStyle name="Percent 30 3 2 2 4 2" xfId="31575"/>
    <cellStyle name="Percent 30 4 2 2 4 2" xfId="31576"/>
    <cellStyle name="Percent 30 5 2 4 2" xfId="31577"/>
    <cellStyle name="Percent 31 2 3 4 2" xfId="31578"/>
    <cellStyle name="Percent 31 2 2 2 4 2" xfId="31579"/>
    <cellStyle name="Percent 31 3 3 4 2" xfId="31580"/>
    <cellStyle name="Percent 31 3 2 2 4 2" xfId="31581"/>
    <cellStyle name="Percent 31 4 2 2 4 2" xfId="31582"/>
    <cellStyle name="Percent 31 5 2 4 2" xfId="31583"/>
    <cellStyle name="Percent 32 2 3 4 2" xfId="31584"/>
    <cellStyle name="Percent 32 2 2 2 4 2" xfId="31585"/>
    <cellStyle name="Percent 32 3 3 4 2" xfId="31586"/>
    <cellStyle name="Percent 32 3 2 2 4 2" xfId="31587"/>
    <cellStyle name="Percent 32 4 2 2 4 2" xfId="31588"/>
    <cellStyle name="Percent 32 5 2 4 2" xfId="31589"/>
    <cellStyle name="Percent 33 2 3 4 2" xfId="31590"/>
    <cellStyle name="Percent 33 2 2 2 4 2" xfId="31591"/>
    <cellStyle name="Percent 33 3 3 4 2" xfId="31592"/>
    <cellStyle name="Percent 33 3 2 2 4 2" xfId="31593"/>
    <cellStyle name="Percent 33 4 2 2 4 2" xfId="31594"/>
    <cellStyle name="Percent 33 5 2 4 2" xfId="31595"/>
    <cellStyle name="Percent 34 2 3 4 2" xfId="31596"/>
    <cellStyle name="Percent 34 2 2 2 4 2" xfId="31597"/>
    <cellStyle name="Percent 34 3 3 4 2" xfId="31598"/>
    <cellStyle name="Percent 34 3 2 2 4 2" xfId="31599"/>
    <cellStyle name="Percent 34 4 2 2 4 2" xfId="31600"/>
    <cellStyle name="Percent 34 5 2 4 2" xfId="31601"/>
    <cellStyle name="Percent 35 2 3 4 2" xfId="31602"/>
    <cellStyle name="Percent 35 2 2 2 4 2" xfId="31603"/>
    <cellStyle name="Percent 35 3 3 4 2" xfId="31604"/>
    <cellStyle name="Percent 35 3 2 2 4 2" xfId="31605"/>
    <cellStyle name="Percent 35 4 2 2 4 2" xfId="31606"/>
    <cellStyle name="Percent 35 5 2 4 2" xfId="31607"/>
    <cellStyle name="Currency 5 4 2 4 2" xfId="31608"/>
    <cellStyle name="Comma 5 7 2 4 2" xfId="31609"/>
    <cellStyle name="Percent 5 4 2 4 2" xfId="31610"/>
    <cellStyle name="Comma 6 5 2 4 2" xfId="31611"/>
    <cellStyle name="Currency 5 2 4 2 4 2" xfId="31612"/>
    <cellStyle name="Comma 5 2 4 2 4 2" xfId="31613"/>
    <cellStyle name="Percent 5 2 4 2 4 2" xfId="31614"/>
    <cellStyle name="Comma 6 2 3 2 4 2" xfId="31615"/>
    <cellStyle name="Currency 5 3 2 2 4 2" xfId="31616"/>
    <cellStyle name="Comma 5 3 2 2 4 2" xfId="31617"/>
    <cellStyle name="Percent 5 3 2 2 4 2" xfId="31618"/>
    <cellStyle name="Comma 6 3 4 2 4 2" xfId="31619"/>
    <cellStyle name="Normal 11 2 2 2 4 2" xfId="31620"/>
    <cellStyle name="Currency 5 2 2 2 2 4 2" xfId="31621"/>
    <cellStyle name="Comma 5 2 2 2 2 4 2" xfId="31622"/>
    <cellStyle name="Percent 5 2 2 2 2 4 2" xfId="31623"/>
    <cellStyle name="Comma 6 2 2 2 2 4 2" xfId="31624"/>
    <cellStyle name="Normal 52 3 2" xfId="31625"/>
    <cellStyle name="Comma 205 3 2" xfId="31626"/>
    <cellStyle name="Comma 206 3 2" xfId="31627"/>
    <cellStyle name="Currency 5 7 3 2" xfId="31628"/>
    <cellStyle name="Normal 8 27 3 2" xfId="31629"/>
    <cellStyle name="Comma 5 10 3 2" xfId="31630"/>
    <cellStyle name="Percent 5 7 3 2" xfId="31631"/>
    <cellStyle name="Comma 6 8 3 2" xfId="31632"/>
    <cellStyle name="Normal 11 6 3 2" xfId="31633"/>
    <cellStyle name="Currency 5 2 7 3 2" xfId="31634"/>
    <cellStyle name="Normal 8 2 8 3 2" xfId="31635"/>
    <cellStyle name="Comma 5 2 7 3 2" xfId="31636"/>
    <cellStyle name="Percent 5 2 7 3 2" xfId="31637"/>
    <cellStyle name="Comma 6 2 6 3 2" xfId="31638"/>
    <cellStyle name="Currency 5 3 5 3 2" xfId="31639"/>
    <cellStyle name="Normal 8 3 8 3 2" xfId="31640"/>
    <cellStyle name="Comma 5 3 5 3 2" xfId="31641"/>
    <cellStyle name="Percent 5 3 5 3 2" xfId="31642"/>
    <cellStyle name="Comma 6 3 7 3 2" xfId="31643"/>
    <cellStyle name="Normal 11 2 5 3 2" xfId="31644"/>
    <cellStyle name="Currency 5 2 2 5 3 2" xfId="31645"/>
    <cellStyle name="Normal 8 2 2 4 3 2" xfId="31646"/>
    <cellStyle name="Comma 5 2 2 5 3 2" xfId="31647"/>
    <cellStyle name="Percent 5 2 2 5 3 2" xfId="31648"/>
    <cellStyle name="Comma 6 2 2 4 3 2" xfId="31649"/>
    <cellStyle name="Normal 50 3 3 2" xfId="31650"/>
    <cellStyle name="Comma 186 3 3 2" xfId="31651"/>
    <cellStyle name="Percent 162 3 3 2" xfId="31652"/>
    <cellStyle name="Normal 2 24 3 3 2" xfId="31653"/>
    <cellStyle name="20% - Accent1 2 3 3 2" xfId="31654"/>
    <cellStyle name="20% - Accent1 3 3 3 2" xfId="31655"/>
    <cellStyle name="20% - Accent1 4 3 3 2" xfId="31656"/>
    <cellStyle name="20% - Accent1 5 3 3 2" xfId="31657"/>
    <cellStyle name="20% - Accent2 2 3 3 2" xfId="31658"/>
    <cellStyle name="20% - Accent2 3 3 3 2" xfId="31659"/>
    <cellStyle name="20% - Accent2 4 3 3 2" xfId="31660"/>
    <cellStyle name="20% - Accent2 5 3 3 2" xfId="31661"/>
    <cellStyle name="20% - Accent3 2 3 3 2" xfId="31662"/>
    <cellStyle name="20% - Accent3 3 3 3 2" xfId="31663"/>
    <cellStyle name="20% - Accent3 4 3 3 2" xfId="31664"/>
    <cellStyle name="20% - Accent3 5 3 3 2" xfId="31665"/>
    <cellStyle name="20% - Accent4 2 3 3 2" xfId="31666"/>
    <cellStyle name="20% - Accent4 3 3 3 2" xfId="31667"/>
    <cellStyle name="20% - Accent4 4 3 3 2" xfId="31668"/>
    <cellStyle name="20% - Accent4 5 3 3 2" xfId="31669"/>
    <cellStyle name="20% - Accent5 2 3 3 2" xfId="31670"/>
    <cellStyle name="20% - Accent5 3 3 3 2" xfId="31671"/>
    <cellStyle name="20% - Accent5 4 3 3 2" xfId="31672"/>
    <cellStyle name="20% - Accent6 2 3 3 2" xfId="31673"/>
    <cellStyle name="20% - Accent6 3 3 3 2" xfId="31674"/>
    <cellStyle name="20% - Accent6 4 3 3 2" xfId="31675"/>
    <cellStyle name="40% - Accent1 2 3 3 2" xfId="31676"/>
    <cellStyle name="40% - Accent1 3 3 3 2" xfId="31677"/>
    <cellStyle name="40% - Accent1 4 3 3 2" xfId="31678"/>
    <cellStyle name="40% - Accent1 5 3 3 2" xfId="31679"/>
    <cellStyle name="40% - Accent2 2 3 3 2" xfId="31680"/>
    <cellStyle name="40% - Accent2 3 3 3 2" xfId="31681"/>
    <cellStyle name="40% - Accent2 4 3 3 2" xfId="31682"/>
    <cellStyle name="40% - Accent3 2 3 3 2" xfId="31683"/>
    <cellStyle name="40% - Accent3 3 3 3 2" xfId="31684"/>
    <cellStyle name="40% - Accent3 4 3 3 2" xfId="31685"/>
    <cellStyle name="40% - Accent3 5 3 3 2" xfId="31686"/>
    <cellStyle name="40% - Accent4 2 3 3 2" xfId="31687"/>
    <cellStyle name="40% - Accent4 3 3 3 2" xfId="31688"/>
    <cellStyle name="40% - Accent4 4 3 3 2" xfId="31689"/>
    <cellStyle name="40% - Accent4 5 3 3 2" xfId="31690"/>
    <cellStyle name="40% - Accent5 2 3 3 2" xfId="31691"/>
    <cellStyle name="40% - Accent5 3 3 3 2" xfId="31692"/>
    <cellStyle name="40% - Accent5 4 3 3 2" xfId="31693"/>
    <cellStyle name="40% - Accent6 2 3 3 2" xfId="31694"/>
    <cellStyle name="40% - Accent6 3 3 3 2" xfId="31695"/>
    <cellStyle name="40% - Accent6 4 3 3 2" xfId="31696"/>
    <cellStyle name="40% - Accent6 5 3 3 2" xfId="31697"/>
    <cellStyle name="Comma 143 3 3 2" xfId="31698"/>
    <cellStyle name="Comma 144 3 3 2" xfId="31699"/>
    <cellStyle name="Comma 145 3 3 2" xfId="31700"/>
    <cellStyle name="Comma 146 3 3 2" xfId="31701"/>
    <cellStyle name="Comma 147 3 3 2" xfId="31702"/>
    <cellStyle name="Comma 148 3 3 2" xfId="31703"/>
    <cellStyle name="Comma 149 3 3 2" xfId="31704"/>
    <cellStyle name="Comma 150 3 3 2" xfId="31705"/>
    <cellStyle name="Comma 151 3 3 2" xfId="31706"/>
    <cellStyle name="Comma 152 3 3 2" xfId="31707"/>
    <cellStyle name="Comma 153 3 3 2" xfId="31708"/>
    <cellStyle name="Comma 182 3 3 2" xfId="31709"/>
    <cellStyle name="Comma 2 23 3 3 2" xfId="31710"/>
    <cellStyle name="Comma 2 2 10 3 3 2" xfId="31711"/>
    <cellStyle name="Comma 2 2 11 3 3 2" xfId="31712"/>
    <cellStyle name="Comma 2 2 12 3 3 2" xfId="31713"/>
    <cellStyle name="Comma 2 2 13 3 3 2" xfId="31714"/>
    <cellStyle name="Comma 2 2 14 3 3 2" xfId="31715"/>
    <cellStyle name="Comma 2 2 15 3 3 2" xfId="31716"/>
    <cellStyle name="Comma 2 2 16 3 3 2" xfId="31717"/>
    <cellStyle name="Comma 2 2 17 3 3 2" xfId="31718"/>
    <cellStyle name="Comma 2 2 2 2 7 3 2" xfId="31719"/>
    <cellStyle name="Comma 2 2 2 2 2 3 3 2" xfId="31720"/>
    <cellStyle name="Comma 2 2 2 2 3 3 3 2" xfId="31721"/>
    <cellStyle name="Comma 2 2 2 2 4 3 3 2" xfId="31722"/>
    <cellStyle name="Comma 2 2 2 2 5 3 3 2" xfId="31723"/>
    <cellStyle name="Comma 2 2 2 3 3 3 2" xfId="31724"/>
    <cellStyle name="Comma 2 2 2 4 3 3 2" xfId="31725"/>
    <cellStyle name="Comma 2 2 2 5 3 3 2" xfId="31726"/>
    <cellStyle name="Comma 2 2 2 6 3 3 2" xfId="31727"/>
    <cellStyle name="Comma 2 2 3 7 3 2" xfId="31728"/>
    <cellStyle name="Comma 2 2 3 2 2 3 3 2" xfId="31729"/>
    <cellStyle name="Comma 2 2 3 2 3 3 3 2" xfId="31730"/>
    <cellStyle name="Comma 2 2 3 2 4 3 3 2" xfId="31731"/>
    <cellStyle name="Comma 2 2 3 2 5 3 3 2" xfId="31732"/>
    <cellStyle name="Comma 2 2 3 3 3 3 2" xfId="31733"/>
    <cellStyle name="Comma 2 2 4 2 3 3 2" xfId="31734"/>
    <cellStyle name="Comma 2 2 5 3 3 2" xfId="31735"/>
    <cellStyle name="Comma 2 2 6 3 3 2" xfId="31736"/>
    <cellStyle name="Comma 2 2 7 3 3 2" xfId="31737"/>
    <cellStyle name="Comma 2 2 8 3 3 2" xfId="31738"/>
    <cellStyle name="Comma 2 2 9 3 3 2" xfId="31739"/>
    <cellStyle name="Comma 3 10 3 3 2" xfId="31740"/>
    <cellStyle name="Comma 3 11 3 3 2" xfId="31741"/>
    <cellStyle name="Comma 3 12 3 3 2" xfId="31742"/>
    <cellStyle name="Comma 3 13 3 3 2" xfId="31743"/>
    <cellStyle name="Comma 3 14 3 3 2" xfId="31744"/>
    <cellStyle name="Comma 3 15 3 3 2" xfId="31745"/>
    <cellStyle name="Comma 3 16 3 3 2" xfId="31746"/>
    <cellStyle name="Comma 3 17 3 3 2" xfId="31747"/>
    <cellStyle name="Comma 3 18 3 3 2" xfId="31748"/>
    <cellStyle name="Comma 3 19 3 3 2" xfId="31749"/>
    <cellStyle name="Comma 3 2 2 3 3 2" xfId="31750"/>
    <cellStyle name="Comma 3 2 3 3 3 2" xfId="31751"/>
    <cellStyle name="Comma 3 2 4 3 3 2" xfId="31752"/>
    <cellStyle name="Comma 3 2 5 3 3 2" xfId="31753"/>
    <cellStyle name="Comma 3 20 3 3 2" xfId="31754"/>
    <cellStyle name="Comma 3 21 3 3 2" xfId="31755"/>
    <cellStyle name="Comma 3 3 7 3 2" xfId="31756"/>
    <cellStyle name="Comma 3 3 2 3 3 2" xfId="31757"/>
    <cellStyle name="Comma 3 3 3 3 3 2" xfId="31758"/>
    <cellStyle name="Comma 3 3 4 3 3 2" xfId="31759"/>
    <cellStyle name="Comma 3 3 5 3 3 2" xfId="31760"/>
    <cellStyle name="Comma 3 4 4 3 2" xfId="31761"/>
    <cellStyle name="Comma 3 4 2 3 3 2" xfId="31762"/>
    <cellStyle name="Comma 3 5 4 3 2" xfId="31763"/>
    <cellStyle name="Comma 3 5 2 3 3 2" xfId="31764"/>
    <cellStyle name="Comma 3 6 4 3 2" xfId="31765"/>
    <cellStyle name="Comma 3 6 2 3 3 2" xfId="31766"/>
    <cellStyle name="Comma 3 7 3 3 2" xfId="31767"/>
    <cellStyle name="Comma 3 8 3 3 2" xfId="31768"/>
    <cellStyle name="Comma 3 9 3 3 2" xfId="31769"/>
    <cellStyle name="Currency 120 3 3 2" xfId="31770"/>
    <cellStyle name="Currency 121 3 3 2" xfId="31771"/>
    <cellStyle name="Currency 122 3 3 2" xfId="31772"/>
    <cellStyle name="Currency 123 3 3 2" xfId="31773"/>
    <cellStyle name="Currency 124 3 3 2" xfId="31774"/>
    <cellStyle name="Currency 125 3 3 2" xfId="31775"/>
    <cellStyle name="Currency 126 3 3 2" xfId="31776"/>
    <cellStyle name="Currency 127 3 3 2" xfId="31777"/>
    <cellStyle name="Currency 128 3 3 2" xfId="31778"/>
    <cellStyle name="Currency 129 3 3 2" xfId="31779"/>
    <cellStyle name="Currency 130 3 3 2" xfId="31780"/>
    <cellStyle name="Currency 159 3 3 2" xfId="31781"/>
    <cellStyle name="Currency 2 27 3 3 2" xfId="31782"/>
    <cellStyle name="Currency 2 2 20 3 3 2" xfId="31783"/>
    <cellStyle name="Currency 2 2 10 3 3 2" xfId="31784"/>
    <cellStyle name="Currency 2 2 11 3 3 2" xfId="31785"/>
    <cellStyle name="Currency 2 2 12 3 3 2" xfId="31786"/>
    <cellStyle name="Currency 2 2 13 3 3 2" xfId="31787"/>
    <cellStyle name="Currency 2 2 14 3 3 2" xfId="31788"/>
    <cellStyle name="Currency 2 2 15 3 3 2" xfId="31789"/>
    <cellStyle name="Currency 2 2 16 3 3 2" xfId="31790"/>
    <cellStyle name="Currency 2 2 17 3 3 2" xfId="31791"/>
    <cellStyle name="Currency 2 2 18 3 3 2" xfId="31792"/>
    <cellStyle name="Currency 2 2 2 2 3 3 2" xfId="31793"/>
    <cellStyle name="Currency 2 2 2 3 3 3 2" xfId="31794"/>
    <cellStyle name="Currency 2 2 2 4 3 3 2" xfId="31795"/>
    <cellStyle name="Currency 2 2 2 5 3 3 2" xfId="31796"/>
    <cellStyle name="Currency 2 2 3 7 3 2" xfId="31797"/>
    <cellStyle name="Currency 2 2 3 2 3 3 2" xfId="31798"/>
    <cellStyle name="Currency 2 2 3 3 3 3 2" xfId="31799"/>
    <cellStyle name="Currency 2 2 3 4 3 3 2" xfId="31800"/>
    <cellStyle name="Currency 2 2 3 5 3 3 2" xfId="31801"/>
    <cellStyle name="Currency 2 2 4 3 3 2" xfId="31802"/>
    <cellStyle name="Currency 2 2 5 3 3 2" xfId="31803"/>
    <cellStyle name="Currency 2 2 6 3 3 2" xfId="31804"/>
    <cellStyle name="Currency 2 2 7 3 3 2" xfId="31805"/>
    <cellStyle name="Currency 2 2 8 3 3 2" xfId="31806"/>
    <cellStyle name="Currency 2 2 9 3 3 2" xfId="31807"/>
    <cellStyle name="Currency 3 10 3 3 2" xfId="31808"/>
    <cellStyle name="Currency 3 11 3 3 2" xfId="31809"/>
    <cellStyle name="Currency 3 12 3 3 2" xfId="31810"/>
    <cellStyle name="Currency 3 13 3 3 2" xfId="31811"/>
    <cellStyle name="Currency 3 14 3 3 2" xfId="31812"/>
    <cellStyle name="Currency 3 15 3 3 2" xfId="31813"/>
    <cellStyle name="Currency 3 16 3 3 2" xfId="31814"/>
    <cellStyle name="Currency 3 17 3 3 2" xfId="31815"/>
    <cellStyle name="Currency 3 18 3 3 2" xfId="31816"/>
    <cellStyle name="Currency 3 19 3 3 2" xfId="31817"/>
    <cellStyle name="Currency 3 2 2 3 3 2" xfId="31818"/>
    <cellStyle name="Currency 3 2 3 3 3 2" xfId="31819"/>
    <cellStyle name="Currency 3 2 4 3 3 2" xfId="31820"/>
    <cellStyle name="Currency 3 2 5 3 3 2" xfId="31821"/>
    <cellStyle name="Currency 3 20 3 3 2" xfId="31822"/>
    <cellStyle name="Currency 3 21 3 3 2" xfId="31823"/>
    <cellStyle name="Currency 3 3 9 3 2" xfId="31824"/>
    <cellStyle name="Currency 3 3 2 3 3 2" xfId="31825"/>
    <cellStyle name="Currency 3 3 3 3 3 2" xfId="31826"/>
    <cellStyle name="Currency 3 3 4 3 3 2" xfId="31827"/>
    <cellStyle name="Currency 3 3 5 3 3 2" xfId="31828"/>
    <cellStyle name="Currency 3 3 6 3 3 2" xfId="31829"/>
    <cellStyle name="Currency 3 4 4 3 2" xfId="31830"/>
    <cellStyle name="Currency 3 4 2 3 3 2" xfId="31831"/>
    <cellStyle name="Currency 3 5 4 3 2" xfId="31832"/>
    <cellStyle name="Currency 3 5 2 3 3 2" xfId="31833"/>
    <cellStyle name="Currency 3 6 4 3 2" xfId="31834"/>
    <cellStyle name="Currency 3 6 2 3 3 2" xfId="31835"/>
    <cellStyle name="Currency 3 7 3 3 2" xfId="31836"/>
    <cellStyle name="Currency 3 8 3 3 2" xfId="31837"/>
    <cellStyle name="Currency 3 9 3 3 2" xfId="31838"/>
    <cellStyle name="Normal 10 3 7 3 2" xfId="31839"/>
    <cellStyle name="Normal 10 3 2 6 3 2" xfId="31840"/>
    <cellStyle name="Normal 10 3 2 2 4 3 2" xfId="31841"/>
    <cellStyle name="Normal 10 3 2 2 2 3 3 2" xfId="31842"/>
    <cellStyle name="Normal 10 3 2 3 4 3 2" xfId="31843"/>
    <cellStyle name="Normal 10 3 2 3 2 3 3 2" xfId="31844"/>
    <cellStyle name="Normal 10 3 2 4 3 3 2" xfId="31845"/>
    <cellStyle name="Normal 10 3 3 4 3 2" xfId="31846"/>
    <cellStyle name="Normal 10 3 3 2 3 3 2" xfId="31847"/>
    <cellStyle name="Normal 10 3 4 4 3 2" xfId="31848"/>
    <cellStyle name="Normal 10 3 4 2 3 3 2" xfId="31849"/>
    <cellStyle name="Normal 10 3 5 3 3 2" xfId="31850"/>
    <cellStyle name="Normal 10 4 6 3 2" xfId="31851"/>
    <cellStyle name="Normal 10 4 2 4 3 2" xfId="31852"/>
    <cellStyle name="Normal 10 4 2 2 3 3 2" xfId="31853"/>
    <cellStyle name="Normal 10 4 3 4 3 2" xfId="31854"/>
    <cellStyle name="Normal 10 4 3 2 3 3 2" xfId="31855"/>
    <cellStyle name="Normal 10 4 4 3 3 2" xfId="31856"/>
    <cellStyle name="Normal 10 5 6 3 2" xfId="31857"/>
    <cellStyle name="Normal 10 5 2 4 3 2" xfId="31858"/>
    <cellStyle name="Normal 10 5 2 2 3 3 2" xfId="31859"/>
    <cellStyle name="Normal 10 5 3 4 3 2" xfId="31860"/>
    <cellStyle name="Normal 10 5 3 2 3 3 2" xfId="31861"/>
    <cellStyle name="Normal 10 5 4 3 3 2" xfId="31862"/>
    <cellStyle name="Normal 10 6 4 3 2" xfId="31863"/>
    <cellStyle name="Normal 10 6 2 3 3 2" xfId="31864"/>
    <cellStyle name="Normal 10 7 4 3 2" xfId="31865"/>
    <cellStyle name="Normal 10 7 2 3 3 2" xfId="31866"/>
    <cellStyle name="Normal 10 8 2 3 3 2" xfId="31867"/>
    <cellStyle name="Normal 10 9 3 3 2" xfId="31868"/>
    <cellStyle name="Normal 11 4 3 3 2" xfId="31869"/>
    <cellStyle name="Normal 11 3 3 3 2" xfId="31870"/>
    <cellStyle name="Normal 12 9 3 2" xfId="31871"/>
    <cellStyle name="Normal 12 2 2 6 3 2" xfId="31872"/>
    <cellStyle name="Normal 12 2 2 2 4 3 2" xfId="31873"/>
    <cellStyle name="Normal 12 2 2 2 2 3 3 2" xfId="31874"/>
    <cellStyle name="Normal 12 2 2 3 4 3 2" xfId="31875"/>
    <cellStyle name="Normal 12 2 2 3 2 3 3 2" xfId="31876"/>
    <cellStyle name="Normal 12 2 2 4 3 3 2" xfId="31877"/>
    <cellStyle name="Normal 12 2 3 4 3 2" xfId="31878"/>
    <cellStyle name="Normal 12 2 3 2 3 3 2" xfId="31879"/>
    <cellStyle name="Normal 12 2 4 4 3 2" xfId="31880"/>
    <cellStyle name="Normal 12 2 4 2 3 3 2" xfId="31881"/>
    <cellStyle name="Normal 12 2 5 2 3 3 2" xfId="31882"/>
    <cellStyle name="Normal 12 2 6 3 3 2" xfId="31883"/>
    <cellStyle name="Normal 12 3 6 3 2" xfId="31884"/>
    <cellStyle name="Normal 12 3 2 4 3 2" xfId="31885"/>
    <cellStyle name="Normal 12 3 2 2 3 3 2" xfId="31886"/>
    <cellStyle name="Normal 12 3 3 4 3 2" xfId="31887"/>
    <cellStyle name="Normal 12 3 3 2 3 3 2" xfId="31888"/>
    <cellStyle name="Normal 12 3 4 3 3 2" xfId="31889"/>
    <cellStyle name="Normal 12 4 6 3 2" xfId="31890"/>
    <cellStyle name="Normal 12 4 2 4 3 2" xfId="31891"/>
    <cellStyle name="Normal 12 4 2 2 3 3 2" xfId="31892"/>
    <cellStyle name="Normal 12 4 3 4 3 2" xfId="31893"/>
    <cellStyle name="Normal 12 4 3 2 3 3 2" xfId="31894"/>
    <cellStyle name="Normal 12 4 4 3 3 2" xfId="31895"/>
    <cellStyle name="Normal 12 5 4 3 2" xfId="31896"/>
    <cellStyle name="Normal 12 5 2 3 3 2" xfId="31897"/>
    <cellStyle name="Normal 12 6 4 3 2" xfId="31898"/>
    <cellStyle name="Normal 12 6 2 3 3 2" xfId="31899"/>
    <cellStyle name="Normal 12 7 3 3 2" xfId="31900"/>
    <cellStyle name="Normal 15 7 3 2" xfId="31901"/>
    <cellStyle name="Normal 15 3 3 3 2" xfId="31902"/>
    <cellStyle name="Normal 16 2 6 3 2" xfId="31903"/>
    <cellStyle name="Normal 16 2 2 4 3 2" xfId="31904"/>
    <cellStyle name="Normal 16 2 2 2 3 3 2" xfId="31905"/>
    <cellStyle name="Normal 16 2 3 4 3 2" xfId="31906"/>
    <cellStyle name="Normal 16 2 3 2 3 3 2" xfId="31907"/>
    <cellStyle name="Normal 16 2 4 3 3 2" xfId="31908"/>
    <cellStyle name="Normal 16 3 4 3 2" xfId="31909"/>
    <cellStyle name="Normal 16 3 2 3 3 2" xfId="31910"/>
    <cellStyle name="Normal 16 4 4 3 2" xfId="31911"/>
    <cellStyle name="Normal 16 4 2 3 3 2" xfId="31912"/>
    <cellStyle name="Normal 16 5 2 3 3 2" xfId="31913"/>
    <cellStyle name="Normal 16 6 3 3 2" xfId="31914"/>
    <cellStyle name="Normal 17 2 6 3 2" xfId="31915"/>
    <cellStyle name="Normal 17 2 2 4 3 2" xfId="31916"/>
    <cellStyle name="Normal 17 2 2 2 3 3 2" xfId="31917"/>
    <cellStyle name="Normal 17 2 3 4 3 2" xfId="31918"/>
    <cellStyle name="Normal 17 2 3 2 3 3 2" xfId="31919"/>
    <cellStyle name="Normal 17 2 4 3 3 2" xfId="31920"/>
    <cellStyle name="Normal 17 3 4 3 2" xfId="31921"/>
    <cellStyle name="Normal 17 3 2 3 3 2" xfId="31922"/>
    <cellStyle name="Normal 17 4 4 3 2" xfId="31923"/>
    <cellStyle name="Normal 17 4 2 3 3 2" xfId="31924"/>
    <cellStyle name="Normal 17 5 2 3 3 2" xfId="31925"/>
    <cellStyle name="Normal 17 6 3 3 2" xfId="31926"/>
    <cellStyle name="Normal 2 10 3 3 3 2" xfId="31927"/>
    <cellStyle name="Normal 2 11 3 3 3 2" xfId="31928"/>
    <cellStyle name="Normal 2 12 3 3 3 2" xfId="31929"/>
    <cellStyle name="Normal 2 13 3 3 3 2" xfId="31930"/>
    <cellStyle name="Normal 2 14 3 3 3 2" xfId="31931"/>
    <cellStyle name="Normal 2 15 3 3 3 2" xfId="31932"/>
    <cellStyle name="Normal 2 16 3 3 3 2" xfId="31933"/>
    <cellStyle name="Normal 2 17 3 3 3 2" xfId="31934"/>
    <cellStyle name="Normal 2 18 3 3 3 2" xfId="31935"/>
    <cellStyle name="Normal 2 19 3 3 3 2" xfId="31936"/>
    <cellStyle name="Normal 2 2 10 3 3 2" xfId="31937"/>
    <cellStyle name="Normal 2 2 11 3 3 2" xfId="31938"/>
    <cellStyle name="Normal 2 2 12 3 3 2" xfId="31939"/>
    <cellStyle name="Normal 2 2 13 3 3 2" xfId="31940"/>
    <cellStyle name="Normal 2 2 14 3 3 2" xfId="31941"/>
    <cellStyle name="Normal 2 2 15 3 3 2" xfId="31942"/>
    <cellStyle name="Normal 2 2 16 3 3 2" xfId="31943"/>
    <cellStyle name="Normal 2 2 17 3 3 2" xfId="31944"/>
    <cellStyle name="Normal 2 2 18 3 3 2" xfId="31945"/>
    <cellStyle name="Normal 2 2 19 3 3 2" xfId="31946"/>
    <cellStyle name="Normal 2 2 2 2 7 3 2" xfId="31947"/>
    <cellStyle name="Normal 2 2 2 2 2 4 3 2" xfId="31948"/>
    <cellStyle name="Normal 2 2 2 2 2 2 3 3 2" xfId="31949"/>
    <cellStyle name="Normal 2 2 2 2 3 3 3 2" xfId="31950"/>
    <cellStyle name="Normal 2 2 2 2 4 3 3 2" xfId="31951"/>
    <cellStyle name="Normal 2 2 2 2 5 3 3 2" xfId="31952"/>
    <cellStyle name="Normal 2 2 20 3 3 2" xfId="31953"/>
    <cellStyle name="Normal 2 2 21 3 3 2" xfId="31954"/>
    <cellStyle name="Normal 2 2 22 3 3 2" xfId="31955"/>
    <cellStyle name="Normal 2 2 3 10 3 2" xfId="31956"/>
    <cellStyle name="Normal 2 2 3 2 3 3 2" xfId="31957"/>
    <cellStyle name="Normal 2 2 3 3 3 3 2" xfId="31958"/>
    <cellStyle name="Normal 2 2 3 4 3 3 2" xfId="31959"/>
    <cellStyle name="Normal 2 2 3 5 3 3 2" xfId="31960"/>
    <cellStyle name="Normal 2 2 3 6 3 3 2" xfId="31961"/>
    <cellStyle name="Normal 2 2 4 6 3 2" xfId="31962"/>
    <cellStyle name="Normal 2 2 4 2 3 3 2" xfId="31963"/>
    <cellStyle name="Normal 2 2 5 5 3 2" xfId="31964"/>
    <cellStyle name="Normal 2 2 5 2 3 3 2" xfId="31965"/>
    <cellStyle name="Normal 2 2 6 3 3 2" xfId="31966"/>
    <cellStyle name="Normal 2 2 7 3 3 2" xfId="31967"/>
    <cellStyle name="Normal 2 2 8 3 3 2" xfId="31968"/>
    <cellStyle name="Normal 2 2 9 3 3 2" xfId="31969"/>
    <cellStyle name="Normal 2 20 3 3 2" xfId="31970"/>
    <cellStyle name="Normal 2 3 2 4 3 2" xfId="31971"/>
    <cellStyle name="Normal 2 3 3 3 3 2" xfId="31972"/>
    <cellStyle name="Normal 2 3 4 3 3 2" xfId="31973"/>
    <cellStyle name="Normal 2 3 5 3 3 2" xfId="31974"/>
    <cellStyle name="Normal 2 3 6 3 3 2" xfId="31975"/>
    <cellStyle name="Normal 2 4 5 3 3 2" xfId="31976"/>
    <cellStyle name="Normal 2 4 2 3 3 2" xfId="31977"/>
    <cellStyle name="Normal 2 5 3 3 3 2" xfId="31978"/>
    <cellStyle name="Normal 2 6 3 3 3 2" xfId="31979"/>
    <cellStyle name="Normal 2 7 3 3 3 2" xfId="31980"/>
    <cellStyle name="Normal 2 8 3 3 3 2" xfId="31981"/>
    <cellStyle name="Normal 2 9 3 3 3 2" xfId="31982"/>
    <cellStyle name="Normal 21 10 3 2" xfId="31983"/>
    <cellStyle name="Normal 21 2 8 3 2" xfId="31984"/>
    <cellStyle name="Normal 21 2 2 3 3 2" xfId="31985"/>
    <cellStyle name="Normal 21 2 3 3 3 2" xfId="31986"/>
    <cellStyle name="Normal 21 2 4 3 3 2" xfId="31987"/>
    <cellStyle name="Normal 21 2 5 3 3 2" xfId="31988"/>
    <cellStyle name="Normal 21 2 6 3 3 2" xfId="31989"/>
    <cellStyle name="Normal 21 3 4 3 2" xfId="31990"/>
    <cellStyle name="Normal 21 3 2 3 3 2" xfId="31991"/>
    <cellStyle name="Normal 21 4 3 3 2" xfId="31992"/>
    <cellStyle name="Normal 21 5 3 3 2" xfId="31993"/>
    <cellStyle name="Normal 21 6 3 3 2" xfId="31994"/>
    <cellStyle name="Normal 21 8 3 3 2" xfId="31995"/>
    <cellStyle name="Normal 22 9 3 2" xfId="31996"/>
    <cellStyle name="Normal 22 2 8 3 2" xfId="31997"/>
    <cellStyle name="Normal 22 2 2 3 3 2" xfId="31998"/>
    <cellStyle name="Normal 22 2 3 3 3 2" xfId="31999"/>
    <cellStyle name="Normal 22 2 4 3 3 2" xfId="32000"/>
    <cellStyle name="Normal 22 2 5 3 3 2" xfId="32001"/>
    <cellStyle name="Normal 22 3 3 3 2" xfId="32002"/>
    <cellStyle name="Normal 22 4 3 3 2" xfId="32003"/>
    <cellStyle name="Normal 22 5 3 3 2" xfId="32004"/>
    <cellStyle name="Normal 22 6 3 3 2" xfId="32005"/>
    <cellStyle name="Normal 23 9 3 2" xfId="32006"/>
    <cellStyle name="Normal 23 2 7 3 2" xfId="32007"/>
    <cellStyle name="Normal 23 2 2 3 3 2" xfId="32008"/>
    <cellStyle name="Normal 23 2 3 3 3 2" xfId="32009"/>
    <cellStyle name="Normal 23 2 4 3 3 2" xfId="32010"/>
    <cellStyle name="Normal 23 2 5 3 3 2" xfId="32011"/>
    <cellStyle name="Normal 23 3 3 3 2" xfId="32012"/>
    <cellStyle name="Normal 23 4 3 3 2" xfId="32013"/>
    <cellStyle name="Normal 23 5 3 3 2" xfId="32014"/>
    <cellStyle name="Normal 23 6 3 3 2" xfId="32015"/>
    <cellStyle name="Normal 24 9 3 2" xfId="32016"/>
    <cellStyle name="Normal 24 2 7 3 2" xfId="32017"/>
    <cellStyle name="Normal 24 2 2 3 3 2" xfId="32018"/>
    <cellStyle name="Normal 24 2 3 3 3 2" xfId="32019"/>
    <cellStyle name="Normal 24 2 4 3 3 2" xfId="32020"/>
    <cellStyle name="Normal 24 2 5 3 3 2" xfId="32021"/>
    <cellStyle name="Normal 24 3 3 3 2" xfId="32022"/>
    <cellStyle name="Normal 24 4 3 3 2" xfId="32023"/>
    <cellStyle name="Normal 24 5 3 3 2" xfId="32024"/>
    <cellStyle name="Normal 24 6 3 3 2" xfId="32025"/>
    <cellStyle name="Normal 26 9 3 2" xfId="32026"/>
    <cellStyle name="Normal 26 2 7 3 2" xfId="32027"/>
    <cellStyle name="Normal 26 2 2 3 3 2" xfId="32028"/>
    <cellStyle name="Normal 26 2 3 3 3 2" xfId="32029"/>
    <cellStyle name="Normal 26 2 4 3 3 2" xfId="32030"/>
    <cellStyle name="Normal 26 2 5 3 3 2" xfId="32031"/>
    <cellStyle name="Normal 26 3 3 3 2" xfId="32032"/>
    <cellStyle name="Normal 26 4 3 3 2" xfId="32033"/>
    <cellStyle name="Normal 26 5 3 3 2" xfId="32034"/>
    <cellStyle name="Normal 26 6 3 3 2" xfId="32035"/>
    <cellStyle name="Normal 3 10 3 3 2" xfId="32036"/>
    <cellStyle name="Normal 3 11 3 3 2" xfId="32037"/>
    <cellStyle name="Normal 3 12 3 3 2" xfId="32038"/>
    <cellStyle name="Normal 3 13 3 3 2" xfId="32039"/>
    <cellStyle name="Normal 3 14 3 3 2" xfId="32040"/>
    <cellStyle name="Normal 3 15 3 3 2" xfId="32041"/>
    <cellStyle name="Normal 3 16 3 3 2" xfId="32042"/>
    <cellStyle name="Normal 3 17 3 3 2" xfId="32043"/>
    <cellStyle name="Normal 3 18 3 3 2" xfId="32044"/>
    <cellStyle name="Normal 3 19 3 3 2" xfId="32045"/>
    <cellStyle name="Normal 3 2 2 3 3 2" xfId="32046"/>
    <cellStyle name="Normal 3 2 3 3 3 2" xfId="32047"/>
    <cellStyle name="Normal 3 2 4 3 3 2" xfId="32048"/>
    <cellStyle name="Normal 3 2 5 3 3 2" xfId="32049"/>
    <cellStyle name="Normal 3 2 6 3 3 2" xfId="32050"/>
    <cellStyle name="Normal 3 20 3 3 2" xfId="32051"/>
    <cellStyle name="Normal 3 21 3 3 2" xfId="32052"/>
    <cellStyle name="Normal 3 22 3 3 2" xfId="32053"/>
    <cellStyle name="Normal 3 23 3 3 2" xfId="32054"/>
    <cellStyle name="Normal 3 24 3 3 2" xfId="32055"/>
    <cellStyle name="Normal 3 3 6 3 2" xfId="32056"/>
    <cellStyle name="Normal 3 3 2 3 3 2" xfId="32057"/>
    <cellStyle name="Normal 3 3 3 3 3 2" xfId="32058"/>
    <cellStyle name="Normal 3 4 4 3 2" xfId="32059"/>
    <cellStyle name="Normal 3 4 2 3 3 2" xfId="32060"/>
    <cellStyle name="Normal 3 5 4 3 2" xfId="32061"/>
    <cellStyle name="Normal 3 5 2 3 3 2" xfId="32062"/>
    <cellStyle name="Normal 3 6 3 3 2" xfId="32063"/>
    <cellStyle name="Normal 3 7 3 3 2" xfId="32064"/>
    <cellStyle name="Normal 3 8 3 3 2" xfId="32065"/>
    <cellStyle name="Normal 3 9 3 3 2" xfId="32066"/>
    <cellStyle name="Normal 4 2 10 3 3 2" xfId="32067"/>
    <cellStyle name="Normal 4 2 11 3 3 2" xfId="32068"/>
    <cellStyle name="Normal 4 2 12 3 3 2" xfId="32069"/>
    <cellStyle name="Normal 4 2 13 3 3 2" xfId="32070"/>
    <cellStyle name="Normal 4 2 14 3 3 2" xfId="32071"/>
    <cellStyle name="Normal 4 2 15 3 3 2" xfId="32072"/>
    <cellStyle name="Normal 4 2 16 3 3 2" xfId="32073"/>
    <cellStyle name="Normal 4 2 17 3 3 2" xfId="32074"/>
    <cellStyle name="Normal 4 2 18 3 3 2" xfId="32075"/>
    <cellStyle name="Normal 4 2 19 3 3 2" xfId="32076"/>
    <cellStyle name="Normal 4 2 2 7 3 2" xfId="32077"/>
    <cellStyle name="Normal 4 2 2 2 3 3 2" xfId="32078"/>
    <cellStyle name="Normal 4 2 2 3 3 3 2" xfId="32079"/>
    <cellStyle name="Normal 4 2 2 4 3 3 2" xfId="32080"/>
    <cellStyle name="Normal 4 2 2 5 3 3 2" xfId="32081"/>
    <cellStyle name="Normal 4 2 20 3 3 2" xfId="32082"/>
    <cellStyle name="Normal 4 2 21 3 3 2" xfId="32083"/>
    <cellStyle name="Normal 4 2 22 3 3 2" xfId="32084"/>
    <cellStyle name="Normal 4 2 23 3 3 2" xfId="32085"/>
    <cellStyle name="Normal 4 2 24 3 3 2" xfId="32086"/>
    <cellStyle name="Normal 4 2 3 4 3 2" xfId="32087"/>
    <cellStyle name="Normal 4 2 3 2 3 3 2" xfId="32088"/>
    <cellStyle name="Normal 4 2 4 4 3 2" xfId="32089"/>
    <cellStyle name="Normal 4 2 4 2 3 3 2" xfId="32090"/>
    <cellStyle name="Normal 4 2 5 4 3 2" xfId="32091"/>
    <cellStyle name="Normal 4 2 5 2 3 3 2" xfId="32092"/>
    <cellStyle name="Normal 4 2 6 3 3 2" xfId="32093"/>
    <cellStyle name="Normal 4 2 7 3 3 2" xfId="32094"/>
    <cellStyle name="Normal 4 2 8 3 3 2" xfId="32095"/>
    <cellStyle name="Normal 4 2 9 3 3 2" xfId="32096"/>
    <cellStyle name="Normal 4 3 8 3 2" xfId="32097"/>
    <cellStyle name="Normal 4 3 2 7 3 2" xfId="32098"/>
    <cellStyle name="Normal 4 3 2 2 6 3 2" xfId="32099"/>
    <cellStyle name="Normal 4 3 2 2 2 4 3 2" xfId="32100"/>
    <cellStyle name="Normal 4 3 2 2 2 2 3 3 2" xfId="32101"/>
    <cellStyle name="Normal 4 3 2 2 3 4 3 2" xfId="32102"/>
    <cellStyle name="Normal 4 3 2 2 3 2 3 3 2" xfId="32103"/>
    <cellStyle name="Normal 4 3 2 2 4 3 3 2" xfId="32104"/>
    <cellStyle name="Normal 4 3 2 3 4 3 2" xfId="32105"/>
    <cellStyle name="Normal 4 3 2 3 2 3 3 2" xfId="32106"/>
    <cellStyle name="Normal 4 3 2 4 4 3 2" xfId="32107"/>
    <cellStyle name="Normal 4 3 2 4 2 3 3 2" xfId="32108"/>
    <cellStyle name="Normal 4 3 2 5 3 3 2" xfId="32109"/>
    <cellStyle name="Normal 4 3 3 6 3 2" xfId="32110"/>
    <cellStyle name="Normal 4 3 3 2 4 3 2" xfId="32111"/>
    <cellStyle name="Normal 4 3 3 2 2 3 3 2" xfId="32112"/>
    <cellStyle name="Normal 4 3 3 3 4 3 2" xfId="32113"/>
    <cellStyle name="Normal 4 3 3 3 2 3 3 2" xfId="32114"/>
    <cellStyle name="Normal 4 3 3 4 3 3 2" xfId="32115"/>
    <cellStyle name="Normal 4 3 4 4 3 2" xfId="32116"/>
    <cellStyle name="Normal 4 3 4 2 3 3 2" xfId="32117"/>
    <cellStyle name="Normal 4 3 5 4 3 2" xfId="32118"/>
    <cellStyle name="Normal 4 3 5 2 3 3 2" xfId="32119"/>
    <cellStyle name="Normal 4 3 6 3 3 2" xfId="32120"/>
    <cellStyle name="Normal 4 4 5 3 2" xfId="32121"/>
    <cellStyle name="Normal 4 4 2 3 3 2" xfId="32122"/>
    <cellStyle name="Normal 4 5 3 3 2" xfId="32123"/>
    <cellStyle name="Normal 4 6 3 3 2" xfId="32124"/>
    <cellStyle name="Normal 4 7 3 3 2" xfId="32125"/>
    <cellStyle name="Normal 4 8 3 3 2" xfId="32126"/>
    <cellStyle name="Normal 41 2 3 3 2" xfId="32127"/>
    <cellStyle name="Normal 46 3 3 2" xfId="32128"/>
    <cellStyle name="Normal 5 28 3 3 2" xfId="32129"/>
    <cellStyle name="Normal 5 2 8 3 2" xfId="32130"/>
    <cellStyle name="Normal 5 2 2 2 2 3 3 2" xfId="32131"/>
    <cellStyle name="Normal 5 2 2 3 3 3 2" xfId="32132"/>
    <cellStyle name="Normal 5 2 3 2 2 3 3 2" xfId="32133"/>
    <cellStyle name="Normal 5 2 3 3 3 3 2" xfId="32134"/>
    <cellStyle name="Normal 5 2 4 2 3 3 2" xfId="32135"/>
    <cellStyle name="Normal 5 2 6 3 3 2" xfId="32136"/>
    <cellStyle name="Normal 5 24 3 3 2" xfId="32137"/>
    <cellStyle name="Normal 5 3 4 3 2" xfId="32138"/>
    <cellStyle name="Normal 5 4 4 3 2" xfId="32139"/>
    <cellStyle name="Normal 5 5 4 3 2" xfId="32140"/>
    <cellStyle name="Normal 5 6 4 3 2" xfId="32141"/>
    <cellStyle name="Normal 5 7 4 3 2" xfId="32142"/>
    <cellStyle name="Normal 7 25 3 3 2" xfId="32143"/>
    <cellStyle name="Normal 7 10 3 3 2" xfId="32144"/>
    <cellStyle name="Normal 7 11 3 3 2" xfId="32145"/>
    <cellStyle name="Normal 7 12 3 3 2" xfId="32146"/>
    <cellStyle name="Normal 7 13 3 3 2" xfId="32147"/>
    <cellStyle name="Normal 7 14 3 3 2" xfId="32148"/>
    <cellStyle name="Normal 7 15 3 3 2" xfId="32149"/>
    <cellStyle name="Normal 7 16 3 3 2" xfId="32150"/>
    <cellStyle name="Normal 7 17 3 3 2" xfId="32151"/>
    <cellStyle name="Normal 7 18 3 3 2" xfId="32152"/>
    <cellStyle name="Normal 7 19 3 3 2" xfId="32153"/>
    <cellStyle name="Normal 7 2 7 3 2" xfId="32154"/>
    <cellStyle name="Normal 7 2 2 3 3 2" xfId="32155"/>
    <cellStyle name="Normal 7 2 3 3 3 2" xfId="32156"/>
    <cellStyle name="Normal 7 2 4 3 3 2" xfId="32157"/>
    <cellStyle name="Normal 7 2 5 3 3 2" xfId="32158"/>
    <cellStyle name="Normal 7 20 3 3 2" xfId="32159"/>
    <cellStyle name="Normal 7 22 3 3 2" xfId="32160"/>
    <cellStyle name="Normal 7 3 7 3 2" xfId="32161"/>
    <cellStyle name="Normal 7 3 2 3 3 2" xfId="32162"/>
    <cellStyle name="Normal 7 3 3 3 3 2" xfId="32163"/>
    <cellStyle name="Normal 7 3 4 3 3 2" xfId="32164"/>
    <cellStyle name="Normal 7 3 5 3 3 2" xfId="32165"/>
    <cellStyle name="Normal 7 4 3 3 2" xfId="32166"/>
    <cellStyle name="Normal 7 5 3 3 2" xfId="32167"/>
    <cellStyle name="Normal 7 6 3 3 2" xfId="32168"/>
    <cellStyle name="Normal 7 7 3 3 2" xfId="32169"/>
    <cellStyle name="Normal 7 8 3 3 2" xfId="32170"/>
    <cellStyle name="Normal 7 9 3 3 2" xfId="32171"/>
    <cellStyle name="Normal 8 25 3 3 2" xfId="32172"/>
    <cellStyle name="Normal 8 10 3 3 2" xfId="32173"/>
    <cellStyle name="Normal 8 11 3 3 2" xfId="32174"/>
    <cellStyle name="Normal 8 12 3 3 2" xfId="32175"/>
    <cellStyle name="Normal 8 13 3 3 2" xfId="32176"/>
    <cellStyle name="Normal 8 14 3 3 2" xfId="32177"/>
    <cellStyle name="Normal 8 15 3 3 2" xfId="32178"/>
    <cellStyle name="Normal 8 16 3 3 2" xfId="32179"/>
    <cellStyle name="Normal 8 17 3 3 2" xfId="32180"/>
    <cellStyle name="Normal 8 18 3 3 2" xfId="32181"/>
    <cellStyle name="Normal 8 19 3 3 2" xfId="32182"/>
    <cellStyle name="Normal 8 2 6 3 3 2" xfId="32183"/>
    <cellStyle name="Normal 8 2 2 2 3 3 2" xfId="32184"/>
    <cellStyle name="Normal 8 2 3 3 3 2" xfId="32185"/>
    <cellStyle name="Normal 8 2 4 3 3 2" xfId="32186"/>
    <cellStyle name="Normal 8 2 5 3 3 2" xfId="32187"/>
    <cellStyle name="Normal 8 20 3 3 2" xfId="32188"/>
    <cellStyle name="Normal 8 22 3 3 2" xfId="32189"/>
    <cellStyle name="Normal 8 3 6 3 3 2" xfId="32190"/>
    <cellStyle name="Normal 8 3 2 3 3 2" xfId="32191"/>
    <cellStyle name="Normal 8 3 3 3 3 2" xfId="32192"/>
    <cellStyle name="Normal 8 3 4 3 3 2" xfId="32193"/>
    <cellStyle name="Normal 8 3 5 3 3 2" xfId="32194"/>
    <cellStyle name="Normal 8 4 3 3 2" xfId="32195"/>
    <cellStyle name="Normal 8 5 3 3 2" xfId="32196"/>
    <cellStyle name="Normal 8 6 3 3 2" xfId="32197"/>
    <cellStyle name="Normal 8 7 3 3 2" xfId="32198"/>
    <cellStyle name="Normal 8 8 3 3 2" xfId="32199"/>
    <cellStyle name="Normal 8 9 3 3 2" xfId="32200"/>
    <cellStyle name="Normal 9 25 3 3 2" xfId="32201"/>
    <cellStyle name="Normal 9 10 3 3 2" xfId="32202"/>
    <cellStyle name="Normal 9 11 3 3 2" xfId="32203"/>
    <cellStyle name="Normal 9 12 3 3 2" xfId="32204"/>
    <cellStyle name="Normal 9 13 3 3 2" xfId="32205"/>
    <cellStyle name="Normal 9 14 3 3 2" xfId="32206"/>
    <cellStyle name="Normal 9 15 3 3 2" xfId="32207"/>
    <cellStyle name="Normal 9 16 3 3 2" xfId="32208"/>
    <cellStyle name="Normal 9 17 3 3 2" xfId="32209"/>
    <cellStyle name="Normal 9 18 3 3 2" xfId="32210"/>
    <cellStyle name="Normal 9 19 3 3 2" xfId="32211"/>
    <cellStyle name="Normal 9 2 7 3 2" xfId="32212"/>
    <cellStyle name="Normal 9 2 2 3 3 2" xfId="32213"/>
    <cellStyle name="Normal 9 2 3 3 3 2" xfId="32214"/>
    <cellStyle name="Normal 9 2 4 3 3 2" xfId="32215"/>
    <cellStyle name="Normal 9 2 5 3 3 2" xfId="32216"/>
    <cellStyle name="Normal 9 20 3 3 2" xfId="32217"/>
    <cellStyle name="Normal 9 22 3 3 2" xfId="32218"/>
    <cellStyle name="Normal 9 3 7 3 2" xfId="32219"/>
    <cellStyle name="Normal 9 3 2 3 3 2" xfId="32220"/>
    <cellStyle name="Normal 9 3 3 3 3 2" xfId="32221"/>
    <cellStyle name="Normal 9 3 4 3 3 2" xfId="32222"/>
    <cellStyle name="Normal 9 3 5 3 3 2" xfId="32223"/>
    <cellStyle name="Normal 9 4 3 3 2" xfId="32224"/>
    <cellStyle name="Normal 9 5 3 3 2" xfId="32225"/>
    <cellStyle name="Normal 9 6 3 3 2" xfId="32226"/>
    <cellStyle name="Normal 9 7 3 3 2" xfId="32227"/>
    <cellStyle name="Normal 9 8 3 3 2" xfId="32228"/>
    <cellStyle name="Normal 9 9 3 3 2" xfId="32229"/>
    <cellStyle name="Note 2 3 3 2" xfId="32230"/>
    <cellStyle name="Note 3 3 3 2" xfId="32231"/>
    <cellStyle name="Note 4 3 3 2" xfId="32232"/>
    <cellStyle name="Note 7 3 3 2" xfId="32233"/>
    <cellStyle name="Percent 120 3 3 2" xfId="32234"/>
    <cellStyle name="Percent 121 3 3 2" xfId="32235"/>
    <cellStyle name="Percent 122 3 3 2" xfId="32236"/>
    <cellStyle name="Percent 123 3 3 2" xfId="32237"/>
    <cellStyle name="Percent 124 3 3 2" xfId="32238"/>
    <cellStyle name="Percent 125 3 3 2" xfId="32239"/>
    <cellStyle name="Percent 126 3 3 2" xfId="32240"/>
    <cellStyle name="Percent 127 3 3 2" xfId="32241"/>
    <cellStyle name="Percent 128 3 3 2" xfId="32242"/>
    <cellStyle name="Percent 129 3 3 2" xfId="32243"/>
    <cellStyle name="Percent 130 3 3 2" xfId="32244"/>
    <cellStyle name="Percent 159 3 3 2" xfId="32245"/>
    <cellStyle name="Percent 2 22 3 3 2" xfId="32246"/>
    <cellStyle name="Percent 25 2 4 3 2" xfId="32247"/>
    <cellStyle name="Percent 25 2 2 3 3 2" xfId="32248"/>
    <cellStyle name="Percent 25 3 4 3 2" xfId="32249"/>
    <cellStyle name="Percent 25 3 2 3 3 2" xfId="32250"/>
    <cellStyle name="Percent 25 4 2 3 3 2" xfId="32251"/>
    <cellStyle name="Percent 25 5 3 3 2" xfId="32252"/>
    <cellStyle name="Percent 26 2 4 3 2" xfId="32253"/>
    <cellStyle name="Percent 26 2 2 3 3 2" xfId="32254"/>
    <cellStyle name="Percent 26 3 4 3 2" xfId="32255"/>
    <cellStyle name="Percent 26 3 2 3 3 2" xfId="32256"/>
    <cellStyle name="Percent 26 4 2 3 3 2" xfId="32257"/>
    <cellStyle name="Percent 26 5 3 3 2" xfId="32258"/>
    <cellStyle name="Percent 27 2 4 3 2" xfId="32259"/>
    <cellStyle name="Percent 27 2 2 3 3 2" xfId="32260"/>
    <cellStyle name="Percent 27 3 4 3 2" xfId="32261"/>
    <cellStyle name="Percent 27 3 2 3 3 2" xfId="32262"/>
    <cellStyle name="Percent 27 4 2 3 3 2" xfId="32263"/>
    <cellStyle name="Percent 27 5 3 3 2" xfId="32264"/>
    <cellStyle name="Percent 28 2 4 3 2" xfId="32265"/>
    <cellStyle name="Percent 28 2 2 3 3 2" xfId="32266"/>
    <cellStyle name="Percent 28 3 4 3 2" xfId="32267"/>
    <cellStyle name="Percent 28 3 2 3 3 2" xfId="32268"/>
    <cellStyle name="Percent 28 4 2 3 3 2" xfId="32269"/>
    <cellStyle name="Percent 28 5 3 3 2" xfId="32270"/>
    <cellStyle name="Percent 29 2 4 3 2" xfId="32271"/>
    <cellStyle name="Percent 29 2 2 3 3 2" xfId="32272"/>
    <cellStyle name="Percent 29 3 4 3 2" xfId="32273"/>
    <cellStyle name="Percent 29 3 2 3 3 2" xfId="32274"/>
    <cellStyle name="Percent 29 4 2 3 3 2" xfId="32275"/>
    <cellStyle name="Percent 29 5 3 3 2" xfId="32276"/>
    <cellStyle name="Percent 3 10 3 3 2" xfId="32277"/>
    <cellStyle name="Percent 3 11 3 3 2" xfId="32278"/>
    <cellStyle name="Percent 3 12 3 3 2" xfId="32279"/>
    <cellStyle name="Percent 3 13 3 3 2" xfId="32280"/>
    <cellStyle name="Percent 3 14 3 3 2" xfId="32281"/>
    <cellStyle name="Percent 3 15 3 3 2" xfId="32282"/>
    <cellStyle name="Percent 3 16 3 3 2" xfId="32283"/>
    <cellStyle name="Percent 3 17 3 3 2" xfId="32284"/>
    <cellStyle name="Percent 3 18 3 3 2" xfId="32285"/>
    <cellStyle name="Percent 3 19 3 3 2" xfId="32286"/>
    <cellStyle name="Percent 3 2 24 3 2" xfId="32287"/>
    <cellStyle name="Percent 3 2 10 3 3 2" xfId="32288"/>
    <cellStyle name="Percent 3 2 11 3 3 2" xfId="32289"/>
    <cellStyle name="Percent 3 2 12 3 3 2" xfId="32290"/>
    <cellStyle name="Percent 3 2 13 3 3 2" xfId="32291"/>
    <cellStyle name="Percent 3 2 14 3 3 2" xfId="32292"/>
    <cellStyle name="Percent 3 2 15 3 3 2" xfId="32293"/>
    <cellStyle name="Percent 3 2 16 3 3 2" xfId="32294"/>
    <cellStyle name="Percent 3 2 17 3 3 2" xfId="32295"/>
    <cellStyle name="Percent 3 2 18 3 3 2" xfId="32296"/>
    <cellStyle name="Percent 3 2 19 3 3 2" xfId="32297"/>
    <cellStyle name="Percent 3 2 2 2 3 3 2" xfId="32298"/>
    <cellStyle name="Percent 3 2 2 3 3 3 2" xfId="32299"/>
    <cellStyle name="Percent 3 2 2 4 3 3 2" xfId="32300"/>
    <cellStyle name="Percent 3 2 2 5 3 3 2" xfId="32301"/>
    <cellStyle name="Percent 3 2 20 3 3 2" xfId="32302"/>
    <cellStyle name="Percent 3 2 21 2 3 3 2" xfId="32303"/>
    <cellStyle name="Percent 3 2 3 7 3 2" xfId="32304"/>
    <cellStyle name="Percent 3 2 3 2 3 3 2" xfId="32305"/>
    <cellStyle name="Percent 3 2 3 3 3 3 2" xfId="32306"/>
    <cellStyle name="Percent 3 2 3 4 3 3 2" xfId="32307"/>
    <cellStyle name="Percent 3 2 3 5 3 3 2" xfId="32308"/>
    <cellStyle name="Percent 3 2 4 4 3 2" xfId="32309"/>
    <cellStyle name="Percent 3 2 4 2 3 3 2" xfId="32310"/>
    <cellStyle name="Percent 3 2 5 4 3 2" xfId="32311"/>
    <cellStyle name="Percent 3 2 5 2 3 3 2" xfId="32312"/>
    <cellStyle name="Percent 3 2 6 4 3 2" xfId="32313"/>
    <cellStyle name="Percent 3 2 6 2 3 3 2" xfId="32314"/>
    <cellStyle name="Percent 3 2 7 3 3 2" xfId="32315"/>
    <cellStyle name="Percent 3 2 8 3 3 2" xfId="32316"/>
    <cellStyle name="Percent 3 2 9 3 3 2" xfId="32317"/>
    <cellStyle name="Percent 3 20 3 3 2" xfId="32318"/>
    <cellStyle name="Percent 3 21 3 3 2" xfId="32319"/>
    <cellStyle name="Percent 3 3 2 3 3 2" xfId="32320"/>
    <cellStyle name="Percent 3 3 3 3 3 2" xfId="32321"/>
    <cellStyle name="Percent 3 3 4 3 3 2" xfId="32322"/>
    <cellStyle name="Percent 3 3 5 3 3 2" xfId="32323"/>
    <cellStyle name="Percent 3 4 7 3 2" xfId="32324"/>
    <cellStyle name="Percent 3 4 2 3 3 2" xfId="32325"/>
    <cellStyle name="Percent 3 4 3 3 3 2" xfId="32326"/>
    <cellStyle name="Percent 3 4 4 3 3 2" xfId="32327"/>
    <cellStyle name="Percent 3 4 5 3 3 2" xfId="32328"/>
    <cellStyle name="Percent 3 5 4 3 2" xfId="32329"/>
    <cellStyle name="Percent 3 5 2 3 3 2" xfId="32330"/>
    <cellStyle name="Percent 3 6 4 3 2" xfId="32331"/>
    <cellStyle name="Percent 3 6 2 3 3 2" xfId="32332"/>
    <cellStyle name="Percent 3 7 4 3 2" xfId="32333"/>
    <cellStyle name="Percent 3 7 2 3 3 2" xfId="32334"/>
    <cellStyle name="Percent 3 8 3 3 2" xfId="32335"/>
    <cellStyle name="Percent 3 9 3 3 2" xfId="32336"/>
    <cellStyle name="Percent 30 2 4 3 2" xfId="32337"/>
    <cellStyle name="Percent 30 2 2 3 3 2" xfId="32338"/>
    <cellStyle name="Percent 30 3 4 3 2" xfId="32339"/>
    <cellStyle name="Percent 30 3 2 3 3 2" xfId="32340"/>
    <cellStyle name="Percent 30 4 2 3 3 2" xfId="32341"/>
    <cellStyle name="Percent 30 5 3 3 2" xfId="32342"/>
    <cellStyle name="Percent 31 2 4 3 2" xfId="32343"/>
    <cellStyle name="Percent 31 2 2 3 3 2" xfId="32344"/>
    <cellStyle name="Percent 31 3 4 3 2" xfId="32345"/>
    <cellStyle name="Percent 31 3 2 3 3 2" xfId="32346"/>
    <cellStyle name="Percent 31 4 2 3 3 2" xfId="32347"/>
    <cellStyle name="Percent 31 5 3 3 2" xfId="32348"/>
    <cellStyle name="Percent 32 2 4 3 2" xfId="32349"/>
    <cellStyle name="Percent 32 2 2 3 3 2" xfId="32350"/>
    <cellStyle name="Percent 32 3 4 3 2" xfId="32351"/>
    <cellStyle name="Percent 32 3 2 3 3 2" xfId="32352"/>
    <cellStyle name="Percent 32 4 2 3 3 2" xfId="32353"/>
    <cellStyle name="Percent 32 5 3 3 2" xfId="32354"/>
    <cellStyle name="Percent 33 2 4 3 2" xfId="32355"/>
    <cellStyle name="Percent 33 2 2 3 3 2" xfId="32356"/>
    <cellStyle name="Percent 33 3 4 3 2" xfId="32357"/>
    <cellStyle name="Percent 33 3 2 3 3 2" xfId="32358"/>
    <cellStyle name="Percent 33 4 2 3 3 2" xfId="32359"/>
    <cellStyle name="Percent 33 5 3 3 2" xfId="32360"/>
    <cellStyle name="Percent 34 2 4 3 2" xfId="32361"/>
    <cellStyle name="Percent 34 2 2 3 3 2" xfId="32362"/>
    <cellStyle name="Percent 34 3 4 3 2" xfId="32363"/>
    <cellStyle name="Percent 34 3 2 3 3 2" xfId="32364"/>
    <cellStyle name="Percent 34 4 2 3 3 2" xfId="32365"/>
    <cellStyle name="Percent 34 5 3 3 2" xfId="32366"/>
    <cellStyle name="Percent 35 2 4 3 2" xfId="32367"/>
    <cellStyle name="Percent 35 2 2 3 3 2" xfId="32368"/>
    <cellStyle name="Percent 35 3 4 3 2" xfId="32369"/>
    <cellStyle name="Percent 35 3 2 3 3 2" xfId="32370"/>
    <cellStyle name="Percent 35 4 2 3 3 2" xfId="32371"/>
    <cellStyle name="Percent 35 5 3 3 2" xfId="32372"/>
    <cellStyle name="Currency 5 4 3 3 2" xfId="32373"/>
    <cellStyle name="Comma 5 7 3 3 2" xfId="32374"/>
    <cellStyle name="Percent 5 4 3 3 2" xfId="32375"/>
    <cellStyle name="Comma 6 5 3 3 2" xfId="32376"/>
    <cellStyle name="Currency 5 2 4 3 3 2" xfId="32377"/>
    <cellStyle name="Comma 5 2 4 3 3 2" xfId="32378"/>
    <cellStyle name="Percent 5 2 4 3 3 2" xfId="32379"/>
    <cellStyle name="Comma 6 2 3 3 3 2" xfId="32380"/>
    <cellStyle name="Currency 5 3 2 3 3 2" xfId="32381"/>
    <cellStyle name="Comma 5 3 2 3 3 2" xfId="32382"/>
    <cellStyle name="Percent 5 3 2 3 3 2" xfId="32383"/>
    <cellStyle name="Comma 6 3 4 3 3 2" xfId="32384"/>
    <cellStyle name="Normal 11 2 2 3 3 2" xfId="32385"/>
    <cellStyle name="Currency 5 2 2 2 3 3 2" xfId="32386"/>
    <cellStyle name="Comma 5 2 2 2 3 3 2" xfId="32387"/>
    <cellStyle name="Percent 5 2 2 2 3 3 2" xfId="32388"/>
    <cellStyle name="Comma 6 2 2 2 3 3 2" xfId="32389"/>
    <cellStyle name="Normal 51 3 3 2" xfId="32390"/>
    <cellStyle name="Comma 187 3 3 2" xfId="32391"/>
    <cellStyle name="Percent 163 3 3 2" xfId="32392"/>
    <cellStyle name="Currency 162 3 3 2" xfId="32393"/>
    <cellStyle name="Currency 5 6 2 3 2" xfId="32394"/>
    <cellStyle name="Currency 179 2 3 2" xfId="32395"/>
    <cellStyle name="Percent 180 2 3 2" xfId="32396"/>
    <cellStyle name="Comma 204 2 3 2" xfId="32397"/>
    <cellStyle name="Normal 8 26 2 3 2" xfId="32398"/>
    <cellStyle name="Comma 5 9 2 3 2" xfId="32399"/>
    <cellStyle name="Percent 5 6 2 3 2" xfId="32400"/>
    <cellStyle name="Comma 6 7 2 3 2" xfId="32401"/>
    <cellStyle name="Normal 11 5 2 3 2" xfId="32402"/>
    <cellStyle name="Currency 5 2 6 2 3 2" xfId="32403"/>
    <cellStyle name="Normal 8 2 7 2 3 2" xfId="32404"/>
    <cellStyle name="Comma 5 2 6 2 3 2" xfId="32405"/>
    <cellStyle name="Percent 5 2 6 2 3 2" xfId="32406"/>
    <cellStyle name="Comma 6 2 5 2 3 2" xfId="32407"/>
    <cellStyle name="Currency 5 3 4 2 3 2" xfId="32408"/>
    <cellStyle name="Normal 8 3 7 2 3 2" xfId="32409"/>
    <cellStyle name="Comma 5 3 4 2 3 2" xfId="32410"/>
    <cellStyle name="Percent 5 3 4 2 3 2" xfId="32411"/>
    <cellStyle name="Comma 6 3 6 2 3 2" xfId="32412"/>
    <cellStyle name="Normal 11 2 4 2 3 2" xfId="32413"/>
    <cellStyle name="Currency 5 2 2 4 2 3 2" xfId="32414"/>
    <cellStyle name="Normal 8 2 2 3 2 3 2" xfId="32415"/>
    <cellStyle name="Comma 5 2 2 4 2 3 2" xfId="32416"/>
    <cellStyle name="Percent 5 2 2 4 2 3 2" xfId="32417"/>
    <cellStyle name="Comma 6 2 2 3 2 3 2" xfId="32418"/>
    <cellStyle name="Normal 50 2 2 3 2" xfId="32419"/>
    <cellStyle name="Comma 186 2 2 3 2" xfId="32420"/>
    <cellStyle name="Percent 162 2 2 3 2" xfId="32421"/>
    <cellStyle name="Normal 2 24 2 2 3 2" xfId="32422"/>
    <cellStyle name="20% - Accent1 2 2 2 3 2" xfId="32423"/>
    <cellStyle name="20% - Accent1 3 2 2 3 2" xfId="32424"/>
    <cellStyle name="20% - Accent1 4 2 2 3 2" xfId="32425"/>
    <cellStyle name="20% - Accent1 5 2 2 3 2" xfId="32426"/>
    <cellStyle name="20% - Accent2 2 2 2 3 2" xfId="32427"/>
    <cellStyle name="20% - Accent2 3 2 2 3 2" xfId="32428"/>
    <cellStyle name="20% - Accent2 4 2 2 3 2" xfId="32429"/>
    <cellStyle name="20% - Accent2 5 2 2 3 2" xfId="32430"/>
    <cellStyle name="20% - Accent3 2 2 2 3 2" xfId="32431"/>
    <cellStyle name="20% - Accent3 3 2 2 3 2" xfId="32432"/>
    <cellStyle name="20% - Accent3 4 2 2 3 2" xfId="32433"/>
    <cellStyle name="20% - Accent3 5 2 2 3 2" xfId="32434"/>
    <cellStyle name="20% - Accent4 2 2 2 3 2" xfId="32435"/>
    <cellStyle name="20% - Accent4 3 2 2 3 2" xfId="32436"/>
    <cellStyle name="20% - Accent4 4 2 2 3 2" xfId="32437"/>
    <cellStyle name="20% - Accent4 5 2 2 3 2" xfId="32438"/>
    <cellStyle name="20% - Accent5 2 2 2 3 2" xfId="32439"/>
    <cellStyle name="20% - Accent5 3 2 2 3 2" xfId="32440"/>
    <cellStyle name="20% - Accent5 4 2 2 3 2" xfId="32441"/>
    <cellStyle name="20% - Accent6 2 2 2 3 2" xfId="32442"/>
    <cellStyle name="20% - Accent6 3 2 2 3 2" xfId="32443"/>
    <cellStyle name="20% - Accent6 4 2 2 3 2" xfId="32444"/>
    <cellStyle name="40% - Accent1 2 2 2 3 2" xfId="32445"/>
    <cellStyle name="40% - Accent1 3 2 2 3 2" xfId="32446"/>
    <cellStyle name="40% - Accent1 4 2 2 3 2" xfId="32447"/>
    <cellStyle name="40% - Accent1 5 2 2 3 2" xfId="32448"/>
    <cellStyle name="40% - Accent2 2 2 2 3 2" xfId="32449"/>
    <cellStyle name="40% - Accent2 3 2 2 3 2" xfId="32450"/>
    <cellStyle name="40% - Accent2 4 2 2 3 2" xfId="32451"/>
    <cellStyle name="40% - Accent3 2 2 2 3 2" xfId="32452"/>
    <cellStyle name="40% - Accent3 3 2 2 3 2" xfId="32453"/>
    <cellStyle name="40% - Accent3 4 2 2 3 2" xfId="32454"/>
    <cellStyle name="40% - Accent3 5 2 2 3 2" xfId="32455"/>
    <cellStyle name="40% - Accent4 2 2 2 3 2" xfId="32456"/>
    <cellStyle name="40% - Accent4 3 2 2 3 2" xfId="32457"/>
    <cellStyle name="40% - Accent4 4 2 2 3 2" xfId="32458"/>
    <cellStyle name="40% - Accent4 5 2 2 3 2" xfId="32459"/>
    <cellStyle name="40% - Accent5 2 2 2 3 2" xfId="32460"/>
    <cellStyle name="40% - Accent5 3 2 2 3 2" xfId="32461"/>
    <cellStyle name="40% - Accent5 4 2 2 3 2" xfId="32462"/>
    <cellStyle name="40% - Accent6 2 2 2 3 2" xfId="32463"/>
    <cellStyle name="40% - Accent6 3 2 2 3 2" xfId="32464"/>
    <cellStyle name="40% - Accent6 4 2 2 3 2" xfId="32465"/>
    <cellStyle name="40% - Accent6 5 2 2 3 2" xfId="32466"/>
    <cellStyle name="Comma 143 2 2 3 2" xfId="32467"/>
    <cellStyle name="Comma 144 2 2 3 2" xfId="32468"/>
    <cellStyle name="Comma 145 2 2 3 2" xfId="32469"/>
    <cellStyle name="Comma 146 2 2 3 2" xfId="32470"/>
    <cellStyle name="Comma 147 2 2 3 2" xfId="32471"/>
    <cellStyle name="Comma 148 2 2 3 2" xfId="32472"/>
    <cellStyle name="Comma 149 2 2 3 2" xfId="32473"/>
    <cellStyle name="Comma 150 2 2 3 2" xfId="32474"/>
    <cellStyle name="Comma 151 2 2 3 2" xfId="32475"/>
    <cellStyle name="Comma 152 2 2 3 2" xfId="32476"/>
    <cellStyle name="Comma 153 2 2 3 2" xfId="32477"/>
    <cellStyle name="Comma 182 2 2 3 2" xfId="32478"/>
    <cellStyle name="Comma 2 23 2 2 3 2" xfId="32479"/>
    <cellStyle name="Comma 2 2 10 2 2 3 2" xfId="32480"/>
    <cellStyle name="Comma 2 2 11 2 2 3 2" xfId="32481"/>
    <cellStyle name="Comma 2 2 12 2 2 3 2" xfId="32482"/>
    <cellStyle name="Comma 2 2 13 2 2 3 2" xfId="32483"/>
    <cellStyle name="Comma 2 2 14 2 2 3 2" xfId="32484"/>
    <cellStyle name="Comma 2 2 15 2 2 3 2" xfId="32485"/>
    <cellStyle name="Comma 2 2 16 2 2 3 2" xfId="32486"/>
    <cellStyle name="Comma 2 2 17 2 2 3 2" xfId="32487"/>
    <cellStyle name="Comma 2 2 2 2 6 2 3 2" xfId="32488"/>
    <cellStyle name="Comma 2 2 2 2 2 2 2 3 2" xfId="32489"/>
    <cellStyle name="Comma 2 2 2 2 3 2 2 3 2" xfId="32490"/>
    <cellStyle name="Comma 2 2 2 2 4 2 2 3 2" xfId="32491"/>
    <cellStyle name="Comma 2 2 2 2 5 2 2 3 2" xfId="32492"/>
    <cellStyle name="Comma 2 2 2 3 2 2 3 2" xfId="32493"/>
    <cellStyle name="Comma 2 2 2 4 2 2 3 2" xfId="32494"/>
    <cellStyle name="Comma 2 2 2 5 2 2 3 2" xfId="32495"/>
    <cellStyle name="Comma 2 2 2 6 2 2 3 2" xfId="32496"/>
    <cellStyle name="Comma 2 2 3 6 2 3 2" xfId="32497"/>
    <cellStyle name="Comma 2 2 3 2 2 2 2 3 2" xfId="32498"/>
    <cellStyle name="Comma 2 2 3 2 3 2 2 3 2" xfId="32499"/>
    <cellStyle name="Comma 2 2 3 2 4 2 2 3 2" xfId="32500"/>
    <cellStyle name="Comma 2 2 3 2 5 2 2 3 2" xfId="32501"/>
    <cellStyle name="Comma 2 2 3 3 2 2 3 2" xfId="32502"/>
    <cellStyle name="Comma 2 2 4 2 2 2 3 2" xfId="32503"/>
    <cellStyle name="Comma 2 2 5 2 2 3 2" xfId="32504"/>
    <cellStyle name="Comma 2 2 6 2 2 3 2" xfId="32505"/>
    <cellStyle name="Comma 2 2 7 2 2 3 2" xfId="32506"/>
    <cellStyle name="Comma 2 2 8 2 2 3 2" xfId="32507"/>
    <cellStyle name="Comma 2 2 9 2 2 3 2" xfId="32508"/>
    <cellStyle name="Comma 3 10 2 2 3 2" xfId="32509"/>
    <cellStyle name="Comma 3 11 2 2 3 2" xfId="32510"/>
    <cellStyle name="Comma 3 12 2 2 3 2" xfId="32511"/>
    <cellStyle name="Comma 3 13 2 2 3 2" xfId="32512"/>
    <cellStyle name="Comma 3 14 2 2 3 2" xfId="32513"/>
    <cellStyle name="Comma 3 15 2 2 3 2" xfId="32514"/>
    <cellStyle name="Comma 3 16 2 2 3 2" xfId="32515"/>
    <cellStyle name="Comma 3 17 2 2 3 2" xfId="32516"/>
    <cellStyle name="Comma 3 18 2 2 3 2" xfId="32517"/>
    <cellStyle name="Comma 3 19 2 2 3 2" xfId="32518"/>
    <cellStyle name="Comma 3 2 2 2 2 3 2" xfId="32519"/>
    <cellStyle name="Comma 3 2 3 2 2 3 2" xfId="32520"/>
    <cellStyle name="Comma 3 2 4 2 2 3 2" xfId="32521"/>
    <cellStyle name="Comma 3 2 5 2 2 3 2" xfId="32522"/>
    <cellStyle name="Comma 3 20 2 2 3 2" xfId="32523"/>
    <cellStyle name="Comma 3 21 2 2 3 2" xfId="32524"/>
    <cellStyle name="Comma 3 3 6 2 3 2" xfId="32525"/>
    <cellStyle name="Comma 3 3 2 2 2 3 2" xfId="32526"/>
    <cellStyle name="Comma 3 3 3 2 2 3 2" xfId="32527"/>
    <cellStyle name="Comma 3 3 4 2 2 3 2" xfId="32528"/>
    <cellStyle name="Comma 3 3 5 2 2 3 2" xfId="32529"/>
    <cellStyle name="Comma 3 4 3 2 3 2" xfId="32530"/>
    <cellStyle name="Comma 3 4 2 2 2 3 2" xfId="32531"/>
    <cellStyle name="Comma 3 5 3 2 3 2" xfId="32532"/>
    <cellStyle name="Comma 3 5 2 2 2 3 2" xfId="32533"/>
    <cellStyle name="Comma 3 6 3 2 3 2" xfId="32534"/>
    <cellStyle name="Comma 3 6 2 2 2 3 2" xfId="32535"/>
    <cellStyle name="Comma 3 7 2 2 3 2" xfId="32536"/>
    <cellStyle name="Comma 3 8 2 2 3 2" xfId="32537"/>
    <cellStyle name="Comma 3 9 2 2 3 2" xfId="32538"/>
    <cellStyle name="Currency 120 2 2 3 2" xfId="32539"/>
    <cellStyle name="Currency 121 2 2 3 2" xfId="32540"/>
    <cellStyle name="Currency 122 2 2 3 2" xfId="32541"/>
    <cellStyle name="Currency 123 2 2 3 2" xfId="32542"/>
    <cellStyle name="Currency 124 2 2 3 2" xfId="32543"/>
    <cellStyle name="Currency 125 2 2 3 2" xfId="32544"/>
    <cellStyle name="Currency 126 2 2 3 2" xfId="32545"/>
    <cellStyle name="Currency 127 2 2 3 2" xfId="32546"/>
    <cellStyle name="Currency 128 2 2 3 2" xfId="32547"/>
    <cellStyle name="Currency 129 2 2 3 2" xfId="32548"/>
    <cellStyle name="Currency 130 2 2 3 2" xfId="32549"/>
    <cellStyle name="Currency 159 2 2 3 2" xfId="32550"/>
    <cellStyle name="Currency 2 27 2 2 3 2" xfId="32551"/>
    <cellStyle name="Currency 2 2 20 2 2 3 2" xfId="32552"/>
    <cellStyle name="Currency 2 2 10 2 2 3 2" xfId="32553"/>
    <cellStyle name="Currency 2 2 11 2 2 3 2" xfId="32554"/>
    <cellStyle name="Currency 2 2 12 2 2 3 2" xfId="32555"/>
    <cellStyle name="Currency 2 2 13 2 2 3 2" xfId="32556"/>
    <cellStyle name="Currency 2 2 14 2 2 3 2" xfId="32557"/>
    <cellStyle name="Currency 2 2 15 2 2 3 2" xfId="32558"/>
    <cellStyle name="Currency 2 2 16 2 2 3 2" xfId="32559"/>
    <cellStyle name="Currency 2 2 17 2 2 3 2" xfId="32560"/>
    <cellStyle name="Currency 2 2 18 2 2 3 2" xfId="32561"/>
    <cellStyle name="Currency 2 2 2 2 2 2 3 2" xfId="32562"/>
    <cellStyle name="Currency 2 2 2 3 2 2 3 2" xfId="32563"/>
    <cellStyle name="Currency 2 2 2 4 2 2 3 2" xfId="32564"/>
    <cellStyle name="Currency 2 2 2 5 2 2 3 2" xfId="32565"/>
    <cellStyle name="Currency 2 2 3 6 2 3 2" xfId="32566"/>
    <cellStyle name="Currency 2 2 3 2 2 2 3 2" xfId="32567"/>
    <cellStyle name="Currency 2 2 3 3 2 2 3 2" xfId="32568"/>
    <cellStyle name="Currency 2 2 3 4 2 2 3 2" xfId="32569"/>
    <cellStyle name="Currency 2 2 3 5 2 2 3 2" xfId="32570"/>
    <cellStyle name="Currency 2 2 4 2 2 3 2" xfId="32571"/>
    <cellStyle name="Currency 2 2 5 2 2 3 2" xfId="32572"/>
    <cellStyle name="Currency 2 2 6 2 2 3 2" xfId="32573"/>
    <cellStyle name="Currency 2 2 7 2 2 3 2" xfId="32574"/>
    <cellStyle name="Currency 2 2 8 2 2 3 2" xfId="32575"/>
    <cellStyle name="Currency 2 2 9 2 2 3 2" xfId="32576"/>
    <cellStyle name="Currency 3 10 2 2 3 2" xfId="32577"/>
    <cellStyle name="Currency 3 11 2 2 3 2" xfId="32578"/>
    <cellStyle name="Currency 3 12 2 2 3 2" xfId="32579"/>
    <cellStyle name="Currency 3 13 2 2 3 2" xfId="32580"/>
    <cellStyle name="Currency 3 14 2 2 3 2" xfId="32581"/>
    <cellStyle name="Currency 3 15 2 2 3 2" xfId="32582"/>
    <cellStyle name="Currency 3 16 2 2 3 2" xfId="32583"/>
    <cellStyle name="Currency 3 17 2 2 3 2" xfId="32584"/>
    <cellStyle name="Currency 3 18 2 2 3 2" xfId="32585"/>
    <cellStyle name="Currency 3 19 2 2 3 2" xfId="32586"/>
    <cellStyle name="Currency 3 2 2 2 2 3 2" xfId="32587"/>
    <cellStyle name="Currency 3 2 3 2 2 3 2" xfId="32588"/>
    <cellStyle name="Currency 3 2 4 2 2 3 2" xfId="32589"/>
    <cellStyle name="Currency 3 2 5 2 2 3 2" xfId="32590"/>
    <cellStyle name="Currency 3 20 2 2 3 2" xfId="32591"/>
    <cellStyle name="Currency 3 21 2 2 3 2" xfId="32592"/>
    <cellStyle name="Currency 3 3 8 2 3 2" xfId="32593"/>
    <cellStyle name="Currency 3 3 2 2 2 3 2" xfId="32594"/>
    <cellStyle name="Currency 3 3 3 2 2 3 2" xfId="32595"/>
    <cellStyle name="Currency 3 3 4 2 2 3 2" xfId="32596"/>
    <cellStyle name="Currency 3 3 5 2 2 3 2" xfId="32597"/>
    <cellStyle name="Currency 3 3 6 2 2 3 2" xfId="32598"/>
    <cellStyle name="Currency 3 4 3 2 3 2" xfId="32599"/>
    <cellStyle name="Currency 3 4 2 2 2 3 2" xfId="32600"/>
    <cellStyle name="Currency 3 5 3 2 3 2" xfId="32601"/>
    <cellStyle name="Currency 3 5 2 2 2 3 2" xfId="32602"/>
    <cellStyle name="Currency 3 6 3 2 3 2" xfId="32603"/>
    <cellStyle name="Currency 3 6 2 2 2 3 2" xfId="32604"/>
    <cellStyle name="Currency 3 7 2 2 3 2" xfId="32605"/>
    <cellStyle name="Currency 3 8 2 2 3 2" xfId="32606"/>
    <cellStyle name="Currency 3 9 2 2 3 2" xfId="32607"/>
    <cellStyle name="Normal 10 3 6 2 3 2" xfId="32608"/>
    <cellStyle name="Normal 10 3 2 5 2 3 2" xfId="32609"/>
    <cellStyle name="Normal 10 3 2 2 3 2 3 2" xfId="32610"/>
    <cellStyle name="Normal 10 3 2 2 2 2 2 3 2" xfId="32611"/>
    <cellStyle name="Normal 10 3 2 3 3 2 3 2" xfId="32612"/>
    <cellStyle name="Normal 10 3 2 3 2 2 2 3 2" xfId="32613"/>
    <cellStyle name="Normal 10 3 2 4 2 2 3 2" xfId="32614"/>
    <cellStyle name="Normal 10 3 3 3 2 3 2" xfId="32615"/>
    <cellStyle name="Normal 10 3 3 2 2 2 3 2" xfId="32616"/>
    <cellStyle name="Normal 10 3 4 3 2 3 2" xfId="32617"/>
    <cellStyle name="Normal 10 3 4 2 2 2 3 2" xfId="32618"/>
    <cellStyle name="Normal 10 3 5 2 2 3 2" xfId="32619"/>
    <cellStyle name="Normal 10 4 5 2 3 2" xfId="32620"/>
    <cellStyle name="Normal 10 4 2 3 2 3 2" xfId="32621"/>
    <cellStyle name="Normal 10 4 2 2 2 2 3 2" xfId="32622"/>
    <cellStyle name="Normal 10 4 3 3 2 3 2" xfId="32623"/>
    <cellStyle name="Normal 10 4 3 2 2 2 3 2" xfId="32624"/>
    <cellStyle name="Normal 10 4 4 2 2 3 2" xfId="32625"/>
    <cellStyle name="Normal 10 5 5 2 3 2" xfId="32626"/>
    <cellStyle name="Normal 10 5 2 3 2 3 2" xfId="32627"/>
    <cellStyle name="Normal 10 5 2 2 2 2 3 2" xfId="32628"/>
    <cellStyle name="Normal 10 5 3 3 2 3 2" xfId="32629"/>
    <cellStyle name="Normal 10 5 3 2 2 2 3 2" xfId="32630"/>
    <cellStyle name="Normal 10 5 4 2 2 3 2" xfId="32631"/>
    <cellStyle name="Normal 10 6 3 2 3 2" xfId="32632"/>
    <cellStyle name="Normal 10 6 2 2 2 3 2" xfId="32633"/>
    <cellStyle name="Normal 10 7 3 2 3 2" xfId="32634"/>
    <cellStyle name="Normal 10 7 2 2 2 3 2" xfId="32635"/>
    <cellStyle name="Normal 10 8 2 2 2 3 2" xfId="32636"/>
    <cellStyle name="Normal 10 9 2 2 3 2" xfId="32637"/>
    <cellStyle name="Normal 11 4 2 2 3 2" xfId="32638"/>
    <cellStyle name="Normal 11 3 2 2 3 2" xfId="32639"/>
    <cellStyle name="Normal 12 8 2 3 2" xfId="32640"/>
    <cellStyle name="Normal 12 2 2 5 2 3 2" xfId="32641"/>
    <cellStyle name="Normal 12 2 2 2 3 2 3 2" xfId="32642"/>
    <cellStyle name="Normal 12 2 2 2 2 2 2 3 2" xfId="32643"/>
    <cellStyle name="Normal 12 2 2 3 3 2 3 2" xfId="32644"/>
    <cellStyle name="Normal 12 2 2 3 2 2 2 3 2" xfId="32645"/>
    <cellStyle name="Normal 12 2 2 4 2 2 3 2" xfId="32646"/>
    <cellStyle name="Normal 12 2 3 3 2 3 2" xfId="32647"/>
    <cellStyle name="Normal 12 2 3 2 2 2 3 2" xfId="32648"/>
    <cellStyle name="Normal 12 2 4 3 2 3 2" xfId="32649"/>
    <cellStyle name="Normal 12 2 4 2 2 2 3 2" xfId="32650"/>
    <cellStyle name="Normal 12 2 5 2 2 2 3 2" xfId="32651"/>
    <cellStyle name="Normal 12 2 6 2 2 3 2" xfId="32652"/>
    <cellStyle name="Normal 12 3 5 2 3 2" xfId="32653"/>
    <cellStyle name="Normal 12 3 2 3 2 3 2" xfId="32654"/>
    <cellStyle name="Normal 12 3 2 2 2 2 3 2" xfId="32655"/>
    <cellStyle name="Normal 12 3 3 3 2 3 2" xfId="32656"/>
    <cellStyle name="Normal 12 3 3 2 2 2 3 2" xfId="32657"/>
    <cellStyle name="Normal 12 3 4 2 2 3 2" xfId="32658"/>
    <cellStyle name="Normal 12 4 5 2 3 2" xfId="32659"/>
    <cellStyle name="Normal 12 4 2 3 2 3 2" xfId="32660"/>
    <cellStyle name="Normal 12 4 2 2 2 2 3 2" xfId="32661"/>
    <cellStyle name="Normal 12 4 3 3 2 3 2" xfId="32662"/>
    <cellStyle name="Normal 12 4 3 2 2 2 3 2" xfId="32663"/>
    <cellStyle name="Normal 12 4 4 2 2 3 2" xfId="32664"/>
    <cellStyle name="Normal 12 5 3 2 3 2" xfId="32665"/>
    <cellStyle name="Normal 12 5 2 2 2 3 2" xfId="32666"/>
    <cellStyle name="Normal 12 6 3 2 3 2" xfId="32667"/>
    <cellStyle name="Normal 12 6 2 2 2 3 2" xfId="32668"/>
    <cellStyle name="Normal 12 7 2 2 3 2" xfId="32669"/>
    <cellStyle name="Normal 15 6 2 3 2" xfId="32670"/>
    <cellStyle name="Normal 15 3 2 2 3 2" xfId="32671"/>
    <cellStyle name="Normal 16 2 5 2 3 2" xfId="32672"/>
    <cellStyle name="Normal 16 2 2 3 2 3 2" xfId="32673"/>
    <cellStyle name="Normal 16 2 2 2 2 2 3 2" xfId="32674"/>
    <cellStyle name="Normal 16 2 3 3 2 3 2" xfId="32675"/>
    <cellStyle name="Normal 16 2 3 2 2 2 3 2" xfId="32676"/>
    <cellStyle name="Normal 16 2 4 2 2 3 2" xfId="32677"/>
    <cellStyle name="Normal 16 3 3 2 3 2" xfId="32678"/>
    <cellStyle name="Normal 16 3 2 2 2 3 2" xfId="32679"/>
    <cellStyle name="Normal 16 4 3 2 3 2" xfId="32680"/>
    <cellStyle name="Normal 16 4 2 2 2 3 2" xfId="32681"/>
    <cellStyle name="Normal 16 5 2 2 2 3 2" xfId="32682"/>
    <cellStyle name="Normal 16 6 2 2 3 2" xfId="32683"/>
    <cellStyle name="Normal 17 2 5 2 3 2" xfId="32684"/>
    <cellStyle name="Normal 17 2 2 3 2 3 2" xfId="32685"/>
    <cellStyle name="Normal 17 2 2 2 2 2 3 2" xfId="32686"/>
    <cellStyle name="Normal 17 2 3 3 2 3 2" xfId="32687"/>
    <cellStyle name="Normal 17 2 3 2 2 2 3 2" xfId="32688"/>
    <cellStyle name="Normal 17 2 4 2 2 3 2" xfId="32689"/>
    <cellStyle name="Normal 17 3 3 2 3 2" xfId="32690"/>
    <cellStyle name="Normal 17 3 2 2 2 3 2" xfId="32691"/>
    <cellStyle name="Normal 17 4 3 2 3 2" xfId="32692"/>
    <cellStyle name="Normal 17 4 2 2 2 3 2" xfId="32693"/>
    <cellStyle name="Normal 17 5 2 2 2 3 2" xfId="32694"/>
    <cellStyle name="Normal 17 6 2 2 3 2" xfId="32695"/>
    <cellStyle name="Normal 2 10 3 2 2 3 2" xfId="32696"/>
    <cellStyle name="Normal 2 11 3 2 2 3 2" xfId="32697"/>
    <cellStyle name="Normal 2 12 3 2 2 3 2" xfId="32698"/>
    <cellStyle name="Normal 2 13 3 2 2 3 2" xfId="32699"/>
    <cellStyle name="Normal 2 14 3 2 2 3 2" xfId="32700"/>
    <cellStyle name="Normal 2 15 3 2 2 3 2" xfId="32701"/>
    <cellStyle name="Normal 2 16 3 2 2 3 2" xfId="32702"/>
    <cellStyle name="Normal 2 17 3 2 2 3 2" xfId="32703"/>
    <cellStyle name="Normal 2 18 3 2 2 3 2" xfId="32704"/>
    <cellStyle name="Normal 2 19 3 2 2 3 2" xfId="32705"/>
    <cellStyle name="Normal 2 2 10 2 2 3 2" xfId="32706"/>
    <cellStyle name="Normal 2 2 11 2 2 3 2" xfId="32707"/>
    <cellStyle name="Normal 2 2 12 2 2 3 2" xfId="32708"/>
    <cellStyle name="Normal 2 2 13 2 2 3 2" xfId="32709"/>
    <cellStyle name="Normal 2 2 14 2 2 3 2" xfId="32710"/>
    <cellStyle name="Normal 2 2 15 2 2 3 2" xfId="32711"/>
    <cellStyle name="Normal 2 2 16 2 2 3 2" xfId="32712"/>
    <cellStyle name="Normal 2 2 17 2 2 3 2" xfId="32713"/>
    <cellStyle name="Normal 2 2 18 2 2 3 2" xfId="32714"/>
    <cellStyle name="Normal 2 2 19 2 2 3 2" xfId="32715"/>
    <cellStyle name="Normal 2 2 2 2 6 2 3 2" xfId="32716"/>
    <cellStyle name="Normal 2 2 2 2 2 3 2 3 2" xfId="32717"/>
    <cellStyle name="Normal 2 2 2 2 2 2 2 2 3 2" xfId="32718"/>
    <cellStyle name="Normal 2 2 2 2 3 2 2 3 2" xfId="32719"/>
    <cellStyle name="Normal 2 2 2 2 4 2 2 3 2" xfId="32720"/>
    <cellStyle name="Normal 2 2 2 2 5 2 2 3 2" xfId="32721"/>
    <cellStyle name="Normal 2 2 20 2 2 3 2" xfId="32722"/>
    <cellStyle name="Normal 2 2 21 2 2 3 2" xfId="32723"/>
    <cellStyle name="Normal 2 2 22 2 2 3 2" xfId="32724"/>
    <cellStyle name="Normal 2 2 3 9 2 3 2" xfId="32725"/>
    <cellStyle name="Normal 2 2 3 2 2 2 3 2" xfId="32726"/>
    <cellStyle name="Normal 2 2 3 3 2 2 3 2" xfId="32727"/>
    <cellStyle name="Normal 2 2 3 4 2 2 3 2" xfId="32728"/>
    <cellStyle name="Normal 2 2 3 5 2 2 3 2" xfId="32729"/>
    <cellStyle name="Normal 2 2 3 6 2 2 3 2" xfId="32730"/>
    <cellStyle name="Normal 2 2 4 5 2 3 2" xfId="32731"/>
    <cellStyle name="Normal 2 2 4 2 2 2 3 2" xfId="32732"/>
    <cellStyle name="Normal 2 2 5 4 2 3 2" xfId="32733"/>
    <cellStyle name="Normal 2 2 5 2 2 2 3 2" xfId="32734"/>
    <cellStyle name="Normal 2 2 6 2 2 3 2" xfId="32735"/>
    <cellStyle name="Normal 2 2 7 2 2 3 2" xfId="32736"/>
    <cellStyle name="Normal 2 2 8 2 2 3 2" xfId="32737"/>
    <cellStyle name="Normal 2 2 9 2 2 3 2" xfId="32738"/>
    <cellStyle name="Normal 2 20 2 2 3 2" xfId="32739"/>
    <cellStyle name="Normal 2 3 2 3 2 3 2" xfId="32740"/>
    <cellStyle name="Normal 2 3 3 2 2 3 2" xfId="32741"/>
    <cellStyle name="Normal 2 3 4 2 2 3 2" xfId="32742"/>
    <cellStyle name="Normal 2 3 5 2 2 3 2" xfId="32743"/>
    <cellStyle name="Normal 2 3 6 2 2 3 2" xfId="32744"/>
    <cellStyle name="Normal 2 4 5 2 2 3 2" xfId="32745"/>
    <cellStyle name="Normal 2 4 2 2 2 3 2" xfId="32746"/>
    <cellStyle name="Normal 2 5 3 2 2 3 2" xfId="32747"/>
    <cellStyle name="Normal 2 6 3 2 2 3 2" xfId="32748"/>
    <cellStyle name="Normal 2 7 3 2 2 3 2" xfId="32749"/>
    <cellStyle name="Normal 2 8 3 2 2 3 2" xfId="32750"/>
    <cellStyle name="Normal 2 9 3 2 2 3 2" xfId="32751"/>
    <cellStyle name="Normal 21 9 2 3 2" xfId="32752"/>
    <cellStyle name="Normal 21 2 7 2 3 2" xfId="32753"/>
    <cellStyle name="Normal 21 2 2 2 2 3 2" xfId="32754"/>
    <cellStyle name="Normal 21 2 3 2 2 3 2" xfId="32755"/>
    <cellStyle name="Normal 21 2 4 2 2 3 2" xfId="32756"/>
    <cellStyle name="Normal 21 2 5 2 2 3 2" xfId="32757"/>
    <cellStyle name="Normal 21 2 6 2 2 3 2" xfId="32758"/>
    <cellStyle name="Normal 21 3 3 2 3 2" xfId="32759"/>
    <cellStyle name="Normal 21 3 2 2 2 3 2" xfId="32760"/>
    <cellStyle name="Normal 21 4 2 2 3 2" xfId="32761"/>
    <cellStyle name="Normal 21 5 2 2 3 2" xfId="32762"/>
    <cellStyle name="Normal 21 6 2 2 3 2" xfId="32763"/>
    <cellStyle name="Normal 21 8 2 2 3 2" xfId="32764"/>
    <cellStyle name="Normal 22 8 2 3 2" xfId="32765"/>
    <cellStyle name="Normal 22 2 7 2 3 2" xfId="32766"/>
    <cellStyle name="Normal 22 2 2 2 2 3 2" xfId="32767"/>
    <cellStyle name="Normal 22 2 3 2 2 3 2" xfId="32768"/>
    <cellStyle name="Normal 22 2 4 2 2 3 2" xfId="32769"/>
    <cellStyle name="Normal 22 2 5 2 2 3 2" xfId="32770"/>
    <cellStyle name="Normal 22 3 2 2 3 2" xfId="32771"/>
    <cellStyle name="Normal 22 4 2 2 3 2" xfId="32772"/>
    <cellStyle name="Normal 22 5 2 2 3 2" xfId="32773"/>
    <cellStyle name="Normal 22 6 2 2 3 2" xfId="32774"/>
    <cellStyle name="Normal 23 8 2 3 2" xfId="32775"/>
    <cellStyle name="Normal 23 2 6 2 3 2" xfId="32776"/>
    <cellStyle name="Normal 23 2 2 2 2 3 2" xfId="32777"/>
    <cellStyle name="Normal 23 2 3 2 2 3 2" xfId="32778"/>
    <cellStyle name="Normal 23 2 4 2 2 3 2" xfId="32779"/>
    <cellStyle name="Normal 23 2 5 2 2 3 2" xfId="32780"/>
    <cellStyle name="Normal 23 3 2 2 3 2" xfId="32781"/>
    <cellStyle name="Normal 23 4 2 2 3 2" xfId="32782"/>
    <cellStyle name="Normal 23 5 2 2 3 2" xfId="32783"/>
    <cellStyle name="Normal 23 6 2 2 3 2" xfId="32784"/>
    <cellStyle name="Normal 24 8 2 3 2" xfId="32785"/>
    <cellStyle name="Normal 24 2 6 2 3 2" xfId="32786"/>
    <cellStyle name="Normal 24 2 2 2 2 3 2" xfId="32787"/>
    <cellStyle name="Normal 24 2 3 2 2 3 2" xfId="32788"/>
    <cellStyle name="Normal 24 2 4 2 2 3 2" xfId="32789"/>
    <cellStyle name="Normal 24 2 5 2 2 3 2" xfId="32790"/>
    <cellStyle name="Normal 24 3 2 2 3 2" xfId="32791"/>
    <cellStyle name="Normal 24 4 2 2 3 2" xfId="32792"/>
    <cellStyle name="Normal 24 5 2 2 3 2" xfId="32793"/>
    <cellStyle name="Normal 24 6 2 2 3 2" xfId="32794"/>
    <cellStyle name="Normal 26 8 2 3 2" xfId="32795"/>
    <cellStyle name="Normal 26 2 6 2 3 2" xfId="32796"/>
    <cellStyle name="Normal 26 2 2 2 2 3 2" xfId="32797"/>
    <cellStyle name="Normal 26 2 3 2 2 3 2" xfId="32798"/>
    <cellStyle name="Normal 26 2 4 2 2 3 2" xfId="32799"/>
    <cellStyle name="Normal 26 2 5 2 2 3 2" xfId="32800"/>
    <cellStyle name="Normal 26 3 2 2 3 2" xfId="32801"/>
    <cellStyle name="Normal 26 4 2 2 3 2" xfId="32802"/>
    <cellStyle name="Normal 26 5 2 2 3 2" xfId="32803"/>
    <cellStyle name="Normal 26 6 2 2 3 2" xfId="32804"/>
    <cellStyle name="Normal 3 10 2 2 3 2" xfId="32805"/>
    <cellStyle name="Normal 3 11 2 2 3 2" xfId="32806"/>
    <cellStyle name="Normal 3 12 2 2 3 2" xfId="32807"/>
    <cellStyle name="Normal 3 13 2 2 3 2" xfId="32808"/>
    <cellStyle name="Normal 3 14 2 2 3 2" xfId="32809"/>
    <cellStyle name="Normal 3 15 2 2 3 2" xfId="32810"/>
    <cellStyle name="Normal 3 16 2 2 3 2" xfId="32811"/>
    <cellStyle name="Normal 3 17 2 2 3 2" xfId="32812"/>
    <cellStyle name="Normal 3 18 2 2 3 2" xfId="32813"/>
    <cellStyle name="Normal 3 19 2 2 3 2" xfId="32814"/>
    <cellStyle name="Normal 3 2 2 2 2 3 2" xfId="32815"/>
    <cellStyle name="Normal 3 2 3 2 2 3 2" xfId="32816"/>
    <cellStyle name="Normal 3 2 4 2 2 3 2" xfId="32817"/>
    <cellStyle name="Normal 3 2 5 2 2 3 2" xfId="32818"/>
    <cellStyle name="Normal 3 2 6 2 2 3 2" xfId="32819"/>
    <cellStyle name="Normal 3 20 2 2 3 2" xfId="32820"/>
    <cellStyle name="Normal 3 21 2 2 3 2" xfId="32821"/>
    <cellStyle name="Normal 3 22 2 2 3 2" xfId="32822"/>
    <cellStyle name="Normal 3 23 2 2 3 2" xfId="32823"/>
    <cellStyle name="Normal 3 24 2 2 3 2" xfId="32824"/>
    <cellStyle name="Normal 3 3 5 2 3 2" xfId="32825"/>
    <cellStyle name="Normal 3 3 2 2 2 3 2" xfId="32826"/>
    <cellStyle name="Normal 3 3 3 2 2 3 2" xfId="32827"/>
    <cellStyle name="Normal 3 4 3 2 3 2" xfId="32828"/>
    <cellStyle name="Normal 3 4 2 2 2 3 2" xfId="32829"/>
    <cellStyle name="Normal 3 5 3 2 3 2" xfId="32830"/>
    <cellStyle name="Normal 3 5 2 2 2 3 2" xfId="32831"/>
    <cellStyle name="Normal 3 6 2 2 3 2" xfId="32832"/>
    <cellStyle name="Normal 3 7 2 2 3 2" xfId="32833"/>
    <cellStyle name="Normal 3 8 2 2 3 2" xfId="32834"/>
    <cellStyle name="Normal 3 9 2 2 3 2" xfId="32835"/>
    <cellStyle name="Normal 4 2 10 2 2 3 2" xfId="32836"/>
    <cellStyle name="Normal 4 2 11 2 2 3 2" xfId="32837"/>
    <cellStyle name="Normal 4 2 12 2 2 3 2" xfId="32838"/>
    <cellStyle name="Normal 4 2 13 2 2 3 2" xfId="32839"/>
    <cellStyle name="Normal 4 2 14 2 2 3 2" xfId="32840"/>
    <cellStyle name="Normal 4 2 15 2 2 3 2" xfId="32841"/>
    <cellStyle name="Normal 4 2 16 2 2 3 2" xfId="32842"/>
    <cellStyle name="Normal 4 2 17 2 2 3 2" xfId="32843"/>
    <cellStyle name="Normal 4 2 18 2 2 3 2" xfId="32844"/>
    <cellStyle name="Normal 4 2 19 2 2 3 2" xfId="32845"/>
    <cellStyle name="Normal 4 2 2 6 2 3 2" xfId="32846"/>
    <cellStyle name="Normal 4 2 2 2 2 2 3 2" xfId="32847"/>
    <cellStyle name="Normal 4 2 2 3 2 2 3 2" xfId="32848"/>
    <cellStyle name="Normal 4 2 2 4 2 2 3 2" xfId="32849"/>
    <cellStyle name="Normal 4 2 2 5 2 2 3 2" xfId="32850"/>
    <cellStyle name="Normal 4 2 20 2 2 3 2" xfId="32851"/>
    <cellStyle name="Normal 4 2 21 2 2 3 2" xfId="32852"/>
    <cellStyle name="Normal 4 2 22 2 2 3 2" xfId="32853"/>
    <cellStyle name="Normal 4 2 23 2 2 3 2" xfId="32854"/>
    <cellStyle name="Normal 4 2 24 2 2 3 2" xfId="32855"/>
    <cellStyle name="Normal 4 2 3 3 2 3 2" xfId="32856"/>
    <cellStyle name="Normal 4 2 3 2 2 2 3 2" xfId="32857"/>
    <cellStyle name="Normal 4 2 4 3 2 3 2" xfId="32858"/>
    <cellStyle name="Normal 4 2 4 2 2 2 3 2" xfId="32859"/>
    <cellStyle name="Normal 4 2 5 3 2 3 2" xfId="32860"/>
    <cellStyle name="Normal 4 2 5 2 2 2 3 2" xfId="32861"/>
    <cellStyle name="Normal 4 2 6 2 2 3 2" xfId="32862"/>
    <cellStyle name="Normal 4 2 7 2 2 3 2" xfId="32863"/>
    <cellStyle name="Normal 4 2 8 2 2 3 2" xfId="32864"/>
    <cellStyle name="Normal 4 2 9 2 2 3 2" xfId="32865"/>
    <cellStyle name="Normal 4 3 7 2 3 2" xfId="32866"/>
    <cellStyle name="Normal 4 3 2 6 2 3 2" xfId="32867"/>
    <cellStyle name="Normal 4 3 2 2 5 2 3 2" xfId="32868"/>
    <cellStyle name="Normal 4 3 2 2 2 3 2 3 2" xfId="32869"/>
    <cellStyle name="Normal 4 3 2 2 2 2 2 2 3 2" xfId="32870"/>
    <cellStyle name="Normal 4 3 2 2 3 3 2 3 2" xfId="32871"/>
    <cellStyle name="Normal 4 3 2 2 3 2 2 2 3 2" xfId="32872"/>
    <cellStyle name="Normal 4 3 2 2 4 2 2 3 2" xfId="32873"/>
    <cellStyle name="Normal 4 3 2 3 3 2 3 2" xfId="32874"/>
    <cellStyle name="Normal 4 3 2 3 2 2 2 3 2" xfId="32875"/>
    <cellStyle name="Normal 4 3 2 4 3 2 3 2" xfId="32876"/>
    <cellStyle name="Normal 4 3 2 4 2 2 2 3 2" xfId="32877"/>
    <cellStyle name="Normal 4 3 2 5 2 2 3 2" xfId="32878"/>
    <cellStyle name="Normal 4 3 3 5 2 3 2" xfId="32879"/>
    <cellStyle name="Normal 4 3 3 2 3 2 3 2" xfId="32880"/>
    <cellStyle name="Normal 4 3 3 2 2 2 2 3 2" xfId="32881"/>
    <cellStyle name="Normal 4 3 3 3 3 2 3 2" xfId="32882"/>
    <cellStyle name="Normal 4 3 3 3 2 2 2 3 2" xfId="32883"/>
    <cellStyle name="Normal 4 3 3 4 2 2 3 2" xfId="32884"/>
    <cellStyle name="Normal 4 3 4 3 2 3 2" xfId="32885"/>
    <cellStyle name="Normal 4 3 4 2 2 2 3 2" xfId="32886"/>
    <cellStyle name="Normal 4 3 5 3 2 3 2" xfId="32887"/>
    <cellStyle name="Normal 4 3 5 2 2 2 3 2" xfId="32888"/>
    <cellStyle name="Normal 4 3 6 2 2 3 2" xfId="32889"/>
    <cellStyle name="Normal 4 4 4 2 3 2" xfId="32890"/>
    <cellStyle name="Normal 4 4 2 2 2 3 2" xfId="32891"/>
    <cellStyle name="Normal 4 5 2 2 3 2" xfId="32892"/>
    <cellStyle name="Normal 4 6 2 2 3 2" xfId="32893"/>
    <cellStyle name="Normal 4 7 2 2 3 2" xfId="32894"/>
    <cellStyle name="Normal 4 8 2 2 3 2" xfId="32895"/>
    <cellStyle name="Normal 41 2 2 2 3 2" xfId="32896"/>
    <cellStyle name="Normal 46 2 2 3 2" xfId="32897"/>
    <cellStyle name="Normal 5 28 2 2 3 2" xfId="32898"/>
    <cellStyle name="Normal 5 2 7 2 3 2" xfId="32899"/>
    <cellStyle name="Normal 5 2 2 2 2 2 2 3 2" xfId="32900"/>
    <cellStyle name="Normal 5 2 2 3 2 2 3 2" xfId="32901"/>
    <cellStyle name="Normal 5 2 3 2 2 2 2 3 2" xfId="32902"/>
    <cellStyle name="Normal 5 2 3 3 2 2 3 2" xfId="32903"/>
    <cellStyle name="Normal 5 2 4 2 2 2 3 2" xfId="32904"/>
    <cellStyle name="Normal 5 2 6 2 2 3 2" xfId="32905"/>
    <cellStyle name="Normal 5 24 2 2 3 2" xfId="32906"/>
    <cellStyle name="Normal 5 3 3 2 3 2" xfId="32907"/>
    <cellStyle name="Normal 5 4 3 2 3 2" xfId="32908"/>
    <cellStyle name="Normal 5 5 3 2 3 2" xfId="32909"/>
    <cellStyle name="Normal 5 6 3 2 3 2" xfId="32910"/>
    <cellStyle name="Normal 5 7 3 2 3 2" xfId="32911"/>
    <cellStyle name="Normal 7 25 2 2 3 2" xfId="32912"/>
    <cellStyle name="Normal 7 10 2 2 3 2" xfId="32913"/>
    <cellStyle name="Normal 7 11 2 2 3 2" xfId="32914"/>
    <cellStyle name="Normal 7 12 2 2 3 2" xfId="32915"/>
    <cellStyle name="Normal 7 13 2 2 3 2" xfId="32916"/>
    <cellStyle name="Normal 7 14 2 2 3 2" xfId="32917"/>
    <cellStyle name="Normal 7 15 2 2 3 2" xfId="32918"/>
    <cellStyle name="Normal 7 16 2 2 3 2" xfId="32919"/>
    <cellStyle name="Normal 7 17 2 2 3 2" xfId="32920"/>
    <cellStyle name="Normal 7 18 2 2 3 2" xfId="32921"/>
    <cellStyle name="Normal 7 19 2 2 3 2" xfId="32922"/>
    <cellStyle name="Normal 7 2 6 2 3 2" xfId="32923"/>
    <cellStyle name="Normal 7 2 2 2 2 3 2" xfId="32924"/>
    <cellStyle name="Normal 7 2 3 2 2 3 2" xfId="32925"/>
    <cellStyle name="Normal 7 2 4 2 2 3 2" xfId="32926"/>
    <cellStyle name="Normal 7 2 5 2 2 3 2" xfId="32927"/>
    <cellStyle name="Normal 7 20 2 2 3 2" xfId="32928"/>
    <cellStyle name="Normal 7 22 2 2 3 2" xfId="32929"/>
    <cellStyle name="Normal 7 3 6 2 3 2" xfId="32930"/>
    <cellStyle name="Normal 7 3 2 2 2 3 2" xfId="32931"/>
    <cellStyle name="Normal 7 3 3 2 2 3 2" xfId="32932"/>
    <cellStyle name="Normal 7 3 4 2 2 3 2" xfId="32933"/>
    <cellStyle name="Normal 7 3 5 2 2 3 2" xfId="32934"/>
    <cellStyle name="Normal 7 4 2 2 3 2" xfId="32935"/>
    <cellStyle name="Normal 7 5 2 2 3 2" xfId="32936"/>
    <cellStyle name="Normal 7 6 2 2 3 2" xfId="32937"/>
    <cellStyle name="Normal 7 7 2 2 3 2" xfId="32938"/>
    <cellStyle name="Normal 7 8 2 2 3 2" xfId="32939"/>
    <cellStyle name="Normal 7 9 2 2 3 2" xfId="32940"/>
    <cellStyle name="Normal 8 25 2 2 3 2" xfId="32941"/>
    <cellStyle name="Normal 8 10 2 2 3 2" xfId="32942"/>
    <cellStyle name="Normal 8 11 2 2 3 2" xfId="32943"/>
    <cellStyle name="Normal 8 12 2 2 3 2" xfId="32944"/>
    <cellStyle name="Normal 8 13 2 2 3 2" xfId="32945"/>
    <cellStyle name="Normal 8 14 2 2 3 2" xfId="32946"/>
    <cellStyle name="Normal 8 15 2 2 3 2" xfId="32947"/>
    <cellStyle name="Normal 8 16 2 2 3 2" xfId="32948"/>
    <cellStyle name="Normal 8 17 2 2 3 2" xfId="32949"/>
    <cellStyle name="Normal 8 18 2 2 3 2" xfId="32950"/>
    <cellStyle name="Normal 8 19 2 2 3 2" xfId="32951"/>
    <cellStyle name="Normal 8 2 6 2 2 3 2" xfId="32952"/>
    <cellStyle name="Normal 8 2 2 2 2 2 3 2" xfId="32953"/>
    <cellStyle name="Normal 8 2 3 2 2 3 2" xfId="32954"/>
    <cellStyle name="Normal 8 2 4 2 2 3 2" xfId="32955"/>
    <cellStyle name="Normal 8 2 5 2 2 3 2" xfId="32956"/>
    <cellStyle name="Normal 8 20 2 2 3 2" xfId="32957"/>
    <cellStyle name="Normal 8 22 2 2 3 2" xfId="32958"/>
    <cellStyle name="Normal 8 3 6 2 2 3 2" xfId="32959"/>
    <cellStyle name="Normal 8 3 2 2 2 3 2" xfId="32960"/>
    <cellStyle name="Normal 8 3 3 2 2 3 2" xfId="32961"/>
    <cellStyle name="Normal 8 3 4 2 2 3 2" xfId="32962"/>
    <cellStyle name="Normal 8 3 5 2 2 3 2" xfId="32963"/>
    <cellStyle name="Normal 8 4 2 2 3 2" xfId="32964"/>
    <cellStyle name="Normal 8 5 2 2 3 2" xfId="32965"/>
    <cellStyle name="Normal 8 6 2 2 3 2" xfId="32966"/>
    <cellStyle name="Normal 8 7 2 2 3 2" xfId="32967"/>
    <cellStyle name="Normal 8 8 2 2 3 2" xfId="32968"/>
    <cellStyle name="Normal 8 9 2 2 3 2" xfId="32969"/>
    <cellStyle name="Normal 9 25 2 2 3 2" xfId="32970"/>
    <cellStyle name="Normal 9 10 2 2 3 2" xfId="32971"/>
    <cellStyle name="Normal 9 11 2 2 3 2" xfId="32972"/>
    <cellStyle name="Normal 9 12 2 2 3 2" xfId="32973"/>
    <cellStyle name="Normal 9 13 2 2 3 2" xfId="32974"/>
    <cellStyle name="Normal 9 14 2 2 3 2" xfId="32975"/>
    <cellStyle name="Normal 9 15 2 2 3 2" xfId="32976"/>
    <cellStyle name="Normal 9 16 2 2 3 2" xfId="32977"/>
    <cellStyle name="Normal 9 17 2 2 3 2" xfId="32978"/>
    <cellStyle name="Normal 9 18 2 2 3 2" xfId="32979"/>
    <cellStyle name="Normal 9 19 2 2 3 2" xfId="32980"/>
    <cellStyle name="Normal 9 2 6 2 3 2" xfId="32981"/>
    <cellStyle name="Normal 9 2 2 2 2 3 2" xfId="32982"/>
    <cellStyle name="Normal 9 2 3 2 2 3 2" xfId="32983"/>
    <cellStyle name="Normal 9 2 4 2 2 3 2" xfId="32984"/>
    <cellStyle name="Normal 9 2 5 2 2 3 2" xfId="32985"/>
    <cellStyle name="Normal 9 20 2 2 3 2" xfId="32986"/>
    <cellStyle name="Normal 9 22 2 2 3 2" xfId="32987"/>
    <cellStyle name="Normal 9 3 6 2 3 2" xfId="32988"/>
    <cellStyle name="Normal 9 3 2 2 2 3 2" xfId="32989"/>
    <cellStyle name="Normal 9 3 3 2 2 3 2" xfId="32990"/>
    <cellStyle name="Normal 9 3 4 2 2 3 2" xfId="32991"/>
    <cellStyle name="Normal 9 3 5 2 2 3 2" xfId="32992"/>
    <cellStyle name="Normal 9 4 2 2 3 2" xfId="32993"/>
    <cellStyle name="Normal 9 5 2 2 3 2" xfId="32994"/>
    <cellStyle name="Normal 9 6 2 2 3 2" xfId="32995"/>
    <cellStyle name="Normal 9 7 2 2 3 2" xfId="32996"/>
    <cellStyle name="Normal 9 8 2 2 3 2" xfId="32997"/>
    <cellStyle name="Normal 9 9 2 2 3 2" xfId="32998"/>
    <cellStyle name="Note 2 2 2 3 2" xfId="32999"/>
    <cellStyle name="Note 3 2 2 3 2" xfId="33000"/>
    <cellStyle name="Note 4 2 2 3 2" xfId="33001"/>
    <cellStyle name="Note 7 2 2 3 2" xfId="33002"/>
    <cellStyle name="Percent 120 2 2 3 2" xfId="33003"/>
    <cellStyle name="Percent 121 2 2 3 2" xfId="33004"/>
    <cellStyle name="Percent 122 2 2 3 2" xfId="33005"/>
    <cellStyle name="Percent 123 2 2 3 2" xfId="33006"/>
    <cellStyle name="Percent 124 2 2 3 2" xfId="33007"/>
    <cellStyle name="Percent 125 2 2 3 2" xfId="33008"/>
    <cellStyle name="Percent 126 2 2 3 2" xfId="33009"/>
    <cellStyle name="Percent 127 2 2 3 2" xfId="33010"/>
    <cellStyle name="Percent 128 2 2 3 2" xfId="33011"/>
    <cellStyle name="Percent 129 2 2 3 2" xfId="33012"/>
    <cellStyle name="Percent 130 2 2 3 2" xfId="33013"/>
    <cellStyle name="Percent 159 2 2 3 2" xfId="33014"/>
    <cellStyle name="Percent 2 22 2 2 3 2" xfId="33015"/>
    <cellStyle name="Percent 25 2 3 2 3 2" xfId="33016"/>
    <cellStyle name="Percent 25 2 2 2 2 3 2" xfId="33017"/>
    <cellStyle name="Percent 25 3 3 2 3 2" xfId="33018"/>
    <cellStyle name="Percent 25 3 2 2 2 3 2" xfId="33019"/>
    <cellStyle name="Percent 25 4 2 2 2 3 2" xfId="33020"/>
    <cellStyle name="Percent 25 5 2 2 3 2" xfId="33021"/>
    <cellStyle name="Percent 26 2 3 2 3 2" xfId="33022"/>
    <cellStyle name="Percent 26 2 2 2 2 3 2" xfId="33023"/>
    <cellStyle name="Percent 26 3 3 2 3 2" xfId="33024"/>
    <cellStyle name="Percent 26 3 2 2 2 3 2" xfId="33025"/>
    <cellStyle name="Percent 26 4 2 2 2 3 2" xfId="33026"/>
    <cellStyle name="Percent 26 5 2 2 3 2" xfId="33027"/>
    <cellStyle name="Percent 27 2 3 2 3 2" xfId="33028"/>
    <cellStyle name="Percent 27 2 2 2 2 3 2" xfId="33029"/>
    <cellStyle name="Percent 27 3 3 2 3 2" xfId="33030"/>
    <cellStyle name="Percent 27 3 2 2 2 3 2" xfId="33031"/>
    <cellStyle name="Percent 27 4 2 2 2 3 2" xfId="33032"/>
    <cellStyle name="Percent 27 5 2 2 3 2" xfId="33033"/>
    <cellStyle name="Percent 28 2 3 2 3 2" xfId="33034"/>
    <cellStyle name="Percent 28 2 2 2 2 3 2" xfId="33035"/>
    <cellStyle name="Percent 28 3 3 2 3 2" xfId="33036"/>
    <cellStyle name="Percent 28 3 2 2 2 3 2" xfId="33037"/>
    <cellStyle name="Percent 28 4 2 2 2 3 2" xfId="33038"/>
    <cellStyle name="Percent 28 5 2 2 3 2" xfId="33039"/>
    <cellStyle name="Percent 29 2 3 2 3 2" xfId="33040"/>
    <cellStyle name="Percent 29 2 2 2 2 3 2" xfId="33041"/>
    <cellStyle name="Percent 29 3 3 2 3 2" xfId="33042"/>
    <cellStyle name="Percent 29 3 2 2 2 3 2" xfId="33043"/>
    <cellStyle name="Percent 29 4 2 2 2 3 2" xfId="33044"/>
    <cellStyle name="Percent 29 5 2 2 3 2" xfId="33045"/>
    <cellStyle name="Percent 3 10 2 2 3 2" xfId="33046"/>
    <cellStyle name="Percent 3 11 2 2 3 2" xfId="33047"/>
    <cellStyle name="Percent 3 12 2 2 3 2" xfId="33048"/>
    <cellStyle name="Percent 3 13 2 2 3 2" xfId="33049"/>
    <cellStyle name="Percent 3 14 2 2 3 2" xfId="33050"/>
    <cellStyle name="Percent 3 15 2 2 3 2" xfId="33051"/>
    <cellStyle name="Percent 3 16 2 2 3 2" xfId="33052"/>
    <cellStyle name="Percent 3 17 2 2 3 2" xfId="33053"/>
    <cellStyle name="Percent 3 18 2 2 3 2" xfId="33054"/>
    <cellStyle name="Percent 3 19 2 2 3 2" xfId="33055"/>
    <cellStyle name="Percent 3 2 23 2 3 2" xfId="33056"/>
    <cellStyle name="Percent 3 2 10 2 2 3 2" xfId="33057"/>
    <cellStyle name="Percent 3 2 11 2 2 3 2" xfId="33058"/>
    <cellStyle name="Percent 3 2 12 2 2 3 2" xfId="33059"/>
    <cellStyle name="Percent 3 2 13 2 2 3 2" xfId="33060"/>
    <cellStyle name="Percent 3 2 14 2 2 3 2" xfId="33061"/>
    <cellStyle name="Percent 3 2 15 2 2 3 2" xfId="33062"/>
    <cellStyle name="Percent 3 2 16 2 2 3 2" xfId="33063"/>
    <cellStyle name="Percent 3 2 17 2 2 3 2" xfId="33064"/>
    <cellStyle name="Percent 3 2 18 2 2 3 2" xfId="33065"/>
    <cellStyle name="Percent 3 2 19 2 2 3 2" xfId="33066"/>
    <cellStyle name="Percent 3 2 2 2 2 2 3 2" xfId="33067"/>
    <cellStyle name="Percent 3 2 2 3 2 2 3 2" xfId="33068"/>
    <cellStyle name="Percent 3 2 2 4 2 2 3 2" xfId="33069"/>
    <cellStyle name="Percent 3 2 2 5 2 2 3 2" xfId="33070"/>
    <cellStyle name="Percent 3 2 20 2 2 3 2" xfId="33071"/>
    <cellStyle name="Percent 3 2 21 2 2 2 3 2" xfId="33072"/>
    <cellStyle name="Percent 3 2 3 6 2 3 2" xfId="33073"/>
    <cellStyle name="Percent 3 2 3 2 2 2 3 2" xfId="33074"/>
    <cellStyle name="Percent 3 2 3 3 2 2 3 2" xfId="33075"/>
    <cellStyle name="Percent 3 2 3 4 2 2 3 2" xfId="33076"/>
    <cellStyle name="Percent 3 2 3 5 2 2 3 2" xfId="33077"/>
    <cellStyle name="Percent 3 2 4 3 2 3 2" xfId="33078"/>
    <cellStyle name="Percent 3 2 4 2 2 2 3 2" xfId="33079"/>
    <cellStyle name="Percent 3 2 5 3 2 3 2" xfId="33080"/>
    <cellStyle name="Percent 3 2 5 2 2 2 3 2" xfId="33081"/>
    <cellStyle name="Percent 3 2 6 3 2 3 2" xfId="33082"/>
    <cellStyle name="Percent 3 2 6 2 2 2 3 2" xfId="33083"/>
    <cellStyle name="Percent 3 2 7 2 2 3 2" xfId="33084"/>
    <cellStyle name="Percent 3 2 8 2 2 3 2" xfId="33085"/>
    <cellStyle name="Percent 3 2 9 2 2 3 2" xfId="33086"/>
    <cellStyle name="Percent 3 20 2 2 3 2" xfId="33087"/>
    <cellStyle name="Percent 3 21 2 2 3 2" xfId="33088"/>
    <cellStyle name="Percent 3 3 2 2 2 3 2" xfId="33089"/>
    <cellStyle name="Percent 3 3 3 2 2 3 2" xfId="33090"/>
    <cellStyle name="Percent 3 3 4 2 2 3 2" xfId="33091"/>
    <cellStyle name="Percent 3 3 5 2 2 3 2" xfId="33092"/>
    <cellStyle name="Percent 3 4 6 2 3 2" xfId="33093"/>
    <cellStyle name="Percent 3 4 2 2 2 3 2" xfId="33094"/>
    <cellStyle name="Percent 3 4 3 2 2 3 2" xfId="33095"/>
    <cellStyle name="Percent 3 4 4 2 2 3 2" xfId="33096"/>
    <cellStyle name="Percent 3 4 5 2 2 3 2" xfId="33097"/>
    <cellStyle name="Percent 3 5 3 2 3 2" xfId="33098"/>
    <cellStyle name="Percent 3 5 2 2 2 3 2" xfId="33099"/>
    <cellStyle name="Percent 3 6 3 2 3 2" xfId="33100"/>
    <cellStyle name="Percent 3 6 2 2 2 3 2" xfId="33101"/>
    <cellStyle name="Percent 3 7 3 2 3 2" xfId="33102"/>
    <cellStyle name="Percent 3 7 2 2 2 3 2" xfId="33103"/>
    <cellStyle name="Percent 3 8 2 2 3 2" xfId="33104"/>
    <cellStyle name="Percent 3 9 2 2 3 2" xfId="33105"/>
    <cellStyle name="Percent 30 2 3 2 3 2" xfId="33106"/>
    <cellStyle name="Percent 30 2 2 2 2 3 2" xfId="33107"/>
    <cellStyle name="Percent 30 3 3 2 3 2" xfId="33108"/>
    <cellStyle name="Percent 30 3 2 2 2 3 2" xfId="33109"/>
    <cellStyle name="Percent 30 4 2 2 2 3 2" xfId="33110"/>
    <cellStyle name="Percent 30 5 2 2 3 2" xfId="33111"/>
    <cellStyle name="Percent 31 2 3 2 3 2" xfId="33112"/>
    <cellStyle name="Percent 31 2 2 2 2 3 2" xfId="33113"/>
    <cellStyle name="Percent 31 3 3 2 3 2" xfId="33114"/>
    <cellStyle name="Percent 31 3 2 2 2 3 2" xfId="33115"/>
    <cellStyle name="Percent 31 4 2 2 2 3 2" xfId="33116"/>
    <cellStyle name="Percent 31 5 2 2 3 2" xfId="33117"/>
    <cellStyle name="Percent 32 2 3 2 3 2" xfId="33118"/>
    <cellStyle name="Percent 32 2 2 2 2 3 2" xfId="33119"/>
    <cellStyle name="Percent 32 3 3 2 3 2" xfId="33120"/>
    <cellStyle name="Percent 32 3 2 2 2 3 2" xfId="33121"/>
    <cellStyle name="Percent 32 4 2 2 2 3 2" xfId="33122"/>
    <cellStyle name="Percent 32 5 2 2 3 2" xfId="33123"/>
    <cellStyle name="Percent 33 2 3 2 3 2" xfId="33124"/>
    <cellStyle name="Percent 33 2 2 2 2 3 2" xfId="33125"/>
    <cellStyle name="Percent 33 3 3 2 3 2" xfId="33126"/>
    <cellStyle name="Percent 33 3 2 2 2 3 2" xfId="33127"/>
    <cellStyle name="Percent 33 4 2 2 2 3 2" xfId="33128"/>
    <cellStyle name="Percent 33 5 2 2 3 2" xfId="33129"/>
    <cellStyle name="Percent 34 2 3 2 3 2" xfId="33130"/>
    <cellStyle name="Percent 34 2 2 2 2 3 2" xfId="33131"/>
    <cellStyle name="Percent 34 3 3 2 3 2" xfId="33132"/>
    <cellStyle name="Percent 34 3 2 2 2 3 2" xfId="33133"/>
    <cellStyle name="Percent 34 4 2 2 2 3 2" xfId="33134"/>
    <cellStyle name="Percent 34 5 2 2 3 2" xfId="33135"/>
    <cellStyle name="Percent 35 2 3 2 3 2" xfId="33136"/>
    <cellStyle name="Percent 35 2 2 2 2 3 2" xfId="33137"/>
    <cellStyle name="Percent 35 3 3 2 3 2" xfId="33138"/>
    <cellStyle name="Percent 35 3 2 2 2 3 2" xfId="33139"/>
    <cellStyle name="Percent 35 4 2 2 2 3 2" xfId="33140"/>
    <cellStyle name="Percent 35 5 2 2 3 2" xfId="33141"/>
    <cellStyle name="Currency 5 4 2 2 3 2" xfId="33142"/>
    <cellStyle name="Comma 5 7 2 2 3 2" xfId="33143"/>
    <cellStyle name="Percent 5 4 2 2 3 2" xfId="33144"/>
    <cellStyle name="Comma 6 5 2 2 3 2" xfId="33145"/>
    <cellStyle name="Currency 5 2 4 2 2 3 2" xfId="33146"/>
    <cellStyle name="Comma 5 2 4 2 2 3 2" xfId="33147"/>
    <cellStyle name="Percent 5 2 4 2 2 3 2" xfId="33148"/>
    <cellStyle name="Comma 6 2 3 2 2 3 2" xfId="33149"/>
    <cellStyle name="Currency 5 3 2 2 2 3 2" xfId="33150"/>
    <cellStyle name="Comma 5 3 2 2 2 3 2" xfId="33151"/>
    <cellStyle name="Percent 5 3 2 2 2 3 2" xfId="33152"/>
    <cellStyle name="Comma 6 3 4 2 2 3 2" xfId="33153"/>
    <cellStyle name="Normal 11 2 2 2 2 3 2" xfId="33154"/>
    <cellStyle name="Currency 5 2 2 2 2 2 3 2" xfId="33155"/>
    <cellStyle name="Comma 5 2 2 2 2 2 3 2" xfId="33156"/>
    <cellStyle name="Percent 5 2 2 2 2 2 3 2" xfId="33157"/>
    <cellStyle name="Comma 6 2 2 2 2 2 3 2" xfId="33158"/>
    <cellStyle name="Normal 54 2 2" xfId="33159"/>
    <cellStyle name="Currency 5 8 2 2" xfId="33160"/>
    <cellStyle name="Normal 8 28 2 2" xfId="33161"/>
    <cellStyle name="Comma 5 11 2 2 2" xfId="33162"/>
    <cellStyle name="Percent 5 8 2 2 2" xfId="33163"/>
    <cellStyle name="Comma 6 9 2 2" xfId="33164"/>
    <cellStyle name="Normal 11 7 2 2" xfId="33165"/>
    <cellStyle name="Currency 5 2 8 2 2" xfId="33166"/>
    <cellStyle name="Normal 8 2 9 2 2" xfId="33167"/>
    <cellStyle name="Comma 5 2 8 2 2" xfId="33168"/>
    <cellStyle name="Percent 5 2 8 2 2" xfId="33169"/>
    <cellStyle name="Comma 6 2 7 2 2" xfId="33170"/>
    <cellStyle name="Currency 5 3 6 2 2" xfId="33171"/>
    <cellStyle name="Normal 8 3 9 2 2" xfId="33172"/>
    <cellStyle name="Comma 5 3 6 2 2" xfId="33173"/>
    <cellStyle name="Percent 5 3 6 2 2" xfId="33174"/>
    <cellStyle name="Comma 6 3 8 2 2" xfId="33175"/>
    <cellStyle name="Normal 11 2 6 2 2" xfId="33176"/>
    <cellStyle name="Currency 5 2 2 6 2 2" xfId="33177"/>
    <cellStyle name="Normal 8 2 2 5 2 2" xfId="33178"/>
    <cellStyle name="Comma 5 2 2 6 2 2" xfId="33179"/>
    <cellStyle name="Percent 5 2 2 6 2 2" xfId="33180"/>
    <cellStyle name="Comma 6 2 2 5 2 2" xfId="33181"/>
    <cellStyle name="Normal 50 4 2 2" xfId="33182"/>
    <cellStyle name="Comma 186 4 2 2" xfId="33183"/>
    <cellStyle name="Percent 162 4 2 2" xfId="33184"/>
    <cellStyle name="Normal 2 24 4 2 2" xfId="33185"/>
    <cellStyle name="20% - Accent1 2 4 2 2" xfId="33186"/>
    <cellStyle name="20% - Accent1 3 4 2 2" xfId="33187"/>
    <cellStyle name="20% - Accent1 4 4 2 2" xfId="33188"/>
    <cellStyle name="20% - Accent1 5 4 2 2" xfId="33189"/>
    <cellStyle name="20% - Accent2 2 4 2 2" xfId="33190"/>
    <cellStyle name="20% - Accent2 3 4 2 2" xfId="33191"/>
    <cellStyle name="20% - Accent2 4 4 2 2" xfId="33192"/>
    <cellStyle name="20% - Accent2 5 4 2 2" xfId="33193"/>
    <cellStyle name="20% - Accent3 2 4 2 2" xfId="33194"/>
    <cellStyle name="20% - Accent3 3 4 2 2" xfId="33195"/>
    <cellStyle name="20% - Accent3 4 4 2 2" xfId="33196"/>
    <cellStyle name="20% - Accent3 5 4 2 2" xfId="33197"/>
    <cellStyle name="20% - Accent4 2 4 2 2" xfId="33198"/>
    <cellStyle name="20% - Accent4 3 4 2 2" xfId="33199"/>
    <cellStyle name="20% - Accent4 4 4 2 2" xfId="33200"/>
    <cellStyle name="20% - Accent4 5 4 2 2" xfId="33201"/>
    <cellStyle name="20% - Accent5 2 4 2 2" xfId="33202"/>
    <cellStyle name="20% - Accent5 3 4 2 2" xfId="33203"/>
    <cellStyle name="20% - Accent5 4 4 2 2" xfId="33204"/>
    <cellStyle name="20% - Accent6 2 4 2 2" xfId="33205"/>
    <cellStyle name="20% - Accent6 3 4 2 2" xfId="33206"/>
    <cellStyle name="20% - Accent6 4 4 2 2" xfId="33207"/>
    <cellStyle name="40% - Accent1 2 4 2 2" xfId="33208"/>
    <cellStyle name="40% - Accent1 3 4 2 2" xfId="33209"/>
    <cellStyle name="40% - Accent1 4 4 2 2" xfId="33210"/>
    <cellStyle name="40% - Accent1 5 4 2 2" xfId="33211"/>
    <cellStyle name="40% - Accent2 2 4 2 2" xfId="33212"/>
    <cellStyle name="40% - Accent2 3 4 2 2" xfId="33213"/>
    <cellStyle name="40% - Accent2 4 4 2 2" xfId="33214"/>
    <cellStyle name="40% - Accent3 2 4 2 2" xfId="33215"/>
    <cellStyle name="40% - Accent3 3 4 2 2" xfId="33216"/>
    <cellStyle name="40% - Accent3 4 4 2 2" xfId="33217"/>
    <cellStyle name="40% - Accent3 5 4 2 2" xfId="33218"/>
    <cellStyle name="40% - Accent4 2 4 2 2" xfId="33219"/>
    <cellStyle name="40% - Accent4 3 4 2 2" xfId="33220"/>
    <cellStyle name="40% - Accent4 4 4 2 2" xfId="33221"/>
    <cellStyle name="40% - Accent4 5 4 2 2" xfId="33222"/>
    <cellStyle name="40% - Accent5 2 4 2 2" xfId="33223"/>
    <cellStyle name="40% - Accent5 3 4 2 2" xfId="33224"/>
    <cellStyle name="40% - Accent5 4 4 2 2" xfId="33225"/>
    <cellStyle name="40% - Accent6 2 4 2 2" xfId="33226"/>
    <cellStyle name="40% - Accent6 3 4 2 2" xfId="33227"/>
    <cellStyle name="40% - Accent6 4 4 2 2" xfId="33228"/>
    <cellStyle name="40% - Accent6 5 4 2 2" xfId="33229"/>
    <cellStyle name="Comma 143 4 2 2" xfId="33230"/>
    <cellStyle name="Comma 144 4 2 2" xfId="33231"/>
    <cellStyle name="Comma 145 4 2 2" xfId="33232"/>
    <cellStyle name="Comma 146 4 2 2" xfId="33233"/>
    <cellStyle name="Comma 147 4 2 2" xfId="33234"/>
    <cellStyle name="Comma 148 4 2 2" xfId="33235"/>
    <cellStyle name="Comma 149 4 2 2" xfId="33236"/>
    <cellStyle name="Comma 150 4 2 2" xfId="33237"/>
    <cellStyle name="Comma 151 4 2 2" xfId="33238"/>
    <cellStyle name="Comma 152 4 2 2" xfId="33239"/>
    <cellStyle name="Comma 153 4 2 2" xfId="33240"/>
    <cellStyle name="Comma 182 4 2 2" xfId="33241"/>
    <cellStyle name="Comma 2 23 4 2 2" xfId="33242"/>
    <cellStyle name="Comma 2 2 10 4 2 2" xfId="33243"/>
    <cellStyle name="Comma 2 2 11 4 2 2" xfId="33244"/>
    <cellStyle name="Comma 2 2 12 4 2 2" xfId="33245"/>
    <cellStyle name="Comma 2 2 13 4 2 2" xfId="33246"/>
    <cellStyle name="Comma 2 2 14 4 2 2" xfId="33247"/>
    <cellStyle name="Comma 2 2 15 4 2 2" xfId="33248"/>
    <cellStyle name="Comma 2 2 16 4 2 2" xfId="33249"/>
    <cellStyle name="Comma 2 2 17 4 2 2" xfId="33250"/>
    <cellStyle name="Comma 2 2 2 2 8 2 2" xfId="33251"/>
    <cellStyle name="Comma 2 2 2 2 2 4 2 2" xfId="33252"/>
    <cellStyle name="Comma 2 2 2 2 3 4 2 2" xfId="33253"/>
    <cellStyle name="Comma 2 2 2 2 4 4 2 2" xfId="33254"/>
    <cellStyle name="Comma 2 2 2 2 5 4 2 2" xfId="33255"/>
    <cellStyle name="Comma 2 2 2 3 4 2 2" xfId="33256"/>
    <cellStyle name="Comma 2 2 2 4 4 2 2" xfId="33257"/>
    <cellStyle name="Comma 2 2 2 5 4 2 2" xfId="33258"/>
    <cellStyle name="Comma 2 2 2 6 4 2 2" xfId="33259"/>
    <cellStyle name="Comma 2 2 3 8 2 2" xfId="33260"/>
    <cellStyle name="Comma 2 2 3 2 2 4 2 2" xfId="33261"/>
    <cellStyle name="Comma 2 2 3 2 3 4 2 2" xfId="33262"/>
    <cellStyle name="Comma 2 2 3 2 4 4 2 2" xfId="33263"/>
    <cellStyle name="Comma 2 2 3 2 5 4 2 2" xfId="33264"/>
    <cellStyle name="Comma 2 2 3 3 4 2 2" xfId="33265"/>
    <cellStyle name="Comma 2 2 4 2 4 2 2" xfId="33266"/>
    <cellStyle name="Comma 2 2 5 4 2 2" xfId="33267"/>
    <cellStyle name="Comma 2 2 6 4 2 2" xfId="33268"/>
    <cellStyle name="Comma 2 2 7 4 2 2" xfId="33269"/>
    <cellStyle name="Comma 2 2 8 4 2 2" xfId="33270"/>
    <cellStyle name="Comma 2 2 9 4 2 2" xfId="33271"/>
    <cellStyle name="Comma 3 10 4 2 2" xfId="33272"/>
    <cellStyle name="Comma 3 11 4 2 2" xfId="33273"/>
    <cellStyle name="Comma 3 12 4 2 2" xfId="33274"/>
    <cellStyle name="Comma 3 13 4 2 2" xfId="33275"/>
    <cellStyle name="Comma 3 14 4 2 2" xfId="33276"/>
    <cellStyle name="Comma 3 15 4 2 2" xfId="33277"/>
    <cellStyle name="Comma 3 16 4 2 2" xfId="33278"/>
    <cellStyle name="Comma 3 17 4 2 2" xfId="33279"/>
    <cellStyle name="Comma 3 18 4 2 2" xfId="33280"/>
    <cellStyle name="Comma 3 19 4 2 2" xfId="33281"/>
    <cellStyle name="Comma 3 2 2 4 2 2" xfId="33282"/>
    <cellStyle name="Comma 3 2 3 4 2 2" xfId="33283"/>
    <cellStyle name="Comma 3 2 4 4 2 2" xfId="33284"/>
    <cellStyle name="Comma 3 2 5 4 2 2" xfId="33285"/>
    <cellStyle name="Comma 3 20 4 2 2" xfId="33286"/>
    <cellStyle name="Comma 3 21 4 2 2" xfId="33287"/>
    <cellStyle name="Comma 3 3 8 2 2" xfId="33288"/>
    <cellStyle name="Comma 3 3 2 4 2 2" xfId="33289"/>
    <cellStyle name="Comma 3 3 3 4 2 2" xfId="33290"/>
    <cellStyle name="Comma 3 3 4 4 2 2" xfId="33291"/>
    <cellStyle name="Comma 3 3 5 4 2 2" xfId="33292"/>
    <cellStyle name="Comma 3 4 5 2 2" xfId="33293"/>
    <cellStyle name="Comma 3 4 2 4 2 2" xfId="33294"/>
    <cellStyle name="Comma 3 5 5 2 2" xfId="33295"/>
    <cellStyle name="Comma 3 5 2 4 2 2" xfId="33296"/>
    <cellStyle name="Comma 3 6 5 2 2" xfId="33297"/>
    <cellStyle name="Comma 3 6 2 4 2 2" xfId="33298"/>
    <cellStyle name="Comma 3 7 4 2 2" xfId="33299"/>
    <cellStyle name="Comma 3 8 4 2 2" xfId="33300"/>
    <cellStyle name="Comma 3 9 4 2 2" xfId="33301"/>
    <cellStyle name="Currency 120 4 2 2" xfId="33302"/>
    <cellStyle name="Currency 121 4 2 2" xfId="33303"/>
    <cellStyle name="Currency 122 4 2 2" xfId="33304"/>
    <cellStyle name="Currency 123 4 2 2" xfId="33305"/>
    <cellStyle name="Currency 124 4 2 2" xfId="33306"/>
    <cellStyle name="Currency 125 4 2 2" xfId="33307"/>
    <cellStyle name="Currency 126 4 2 2" xfId="33308"/>
    <cellStyle name="Currency 127 4 2 2" xfId="33309"/>
    <cellStyle name="Currency 128 4 2 2" xfId="33310"/>
    <cellStyle name="Currency 129 4 2 2" xfId="33311"/>
    <cellStyle name="Currency 130 4 2 2" xfId="33312"/>
    <cellStyle name="Currency 159 4 2 2" xfId="33313"/>
    <cellStyle name="Currency 2 27 4 2 2" xfId="33314"/>
    <cellStyle name="Currency 2 2 20 4 2 2" xfId="33315"/>
    <cellStyle name="Currency 2 2 10 4 2 2" xfId="33316"/>
    <cellStyle name="Currency 2 2 11 4 2 2" xfId="33317"/>
    <cellStyle name="Currency 2 2 12 4 2 2" xfId="33318"/>
    <cellStyle name="Currency 2 2 13 4 2 2" xfId="33319"/>
    <cellStyle name="Currency 2 2 14 4 2 2" xfId="33320"/>
    <cellStyle name="Currency 2 2 15 4 2 2" xfId="33321"/>
    <cellStyle name="Currency 2 2 16 4 2 2" xfId="33322"/>
    <cellStyle name="Currency 2 2 17 4 2 2" xfId="33323"/>
    <cellStyle name="Currency 2 2 18 4 2 2" xfId="33324"/>
    <cellStyle name="Currency 2 2 2 2 4 2 2" xfId="33325"/>
    <cellStyle name="Currency 2 2 2 3 4 2 2" xfId="33326"/>
    <cellStyle name="Currency 2 2 2 4 4 2 2" xfId="33327"/>
    <cellStyle name="Currency 2 2 2 5 4 2 2" xfId="33328"/>
    <cellStyle name="Currency 2 2 3 8 2 2" xfId="33329"/>
    <cellStyle name="Currency 2 2 3 2 4 2 2" xfId="33330"/>
    <cellStyle name="Currency 2 2 3 3 4 2 2" xfId="33331"/>
    <cellStyle name="Currency 2 2 3 4 4 2 2" xfId="33332"/>
    <cellStyle name="Currency 2 2 3 5 4 2 2" xfId="33333"/>
    <cellStyle name="Currency 2 2 4 4 2 2" xfId="33334"/>
    <cellStyle name="Currency 2 2 5 4 2 2" xfId="33335"/>
    <cellStyle name="Currency 2 2 6 4 2 2" xfId="33336"/>
    <cellStyle name="Currency 2 2 7 4 2 2" xfId="33337"/>
    <cellStyle name="Currency 2 2 8 4 2 2" xfId="33338"/>
    <cellStyle name="Currency 2 2 9 4 2 2" xfId="33339"/>
    <cellStyle name="Currency 3 10 4 2 2" xfId="33340"/>
    <cellStyle name="Currency 3 11 4 2 2" xfId="33341"/>
    <cellStyle name="Currency 3 12 4 2 2" xfId="33342"/>
    <cellStyle name="Currency 3 13 4 2 2" xfId="33343"/>
    <cellStyle name="Currency 3 14 4 2 2" xfId="33344"/>
    <cellStyle name="Currency 3 15 4 2 2" xfId="33345"/>
    <cellStyle name="Currency 3 16 4 2 2" xfId="33346"/>
    <cellStyle name="Currency 3 17 4 2 2" xfId="33347"/>
    <cellStyle name="Currency 3 18 4 2 2" xfId="33348"/>
    <cellStyle name="Currency 3 19 4 2 2" xfId="33349"/>
    <cellStyle name="Currency 3 2 2 4 2 2" xfId="33350"/>
    <cellStyle name="Currency 3 2 3 4 2 2" xfId="33351"/>
    <cellStyle name="Currency 3 2 4 4 2 2" xfId="33352"/>
    <cellStyle name="Currency 3 2 5 4 2 2" xfId="33353"/>
    <cellStyle name="Currency 3 20 4 2 2" xfId="33354"/>
    <cellStyle name="Currency 3 21 4 2 2" xfId="33355"/>
    <cellStyle name="Currency 3 3 10 2 2" xfId="33356"/>
    <cellStyle name="Currency 3 3 2 4 2 2" xfId="33357"/>
    <cellStyle name="Currency 3 3 3 4 2 2" xfId="33358"/>
    <cellStyle name="Currency 3 3 4 4 2 2" xfId="33359"/>
    <cellStyle name="Currency 3 3 5 4 2 2" xfId="33360"/>
    <cellStyle name="Currency 3 3 6 4 2 2" xfId="33361"/>
    <cellStyle name="Currency 3 4 5 2 2" xfId="33362"/>
    <cellStyle name="Currency 3 4 2 4 2 2" xfId="33363"/>
    <cellStyle name="Currency 3 5 5 2 2" xfId="33364"/>
    <cellStyle name="Currency 3 5 2 4 2 2" xfId="33365"/>
    <cellStyle name="Currency 3 6 5 2 2" xfId="33366"/>
    <cellStyle name="Currency 3 6 2 4 2 2" xfId="33367"/>
    <cellStyle name="Currency 3 7 4 2 2" xfId="33368"/>
    <cellStyle name="Currency 3 8 4 2 2" xfId="33369"/>
    <cellStyle name="Currency 3 9 4 2 2" xfId="33370"/>
    <cellStyle name="Normal 10 3 8 2 2" xfId="33371"/>
    <cellStyle name="Normal 10 3 2 7 2 2" xfId="33372"/>
    <cellStyle name="Normal 10 3 2 2 5 2 2" xfId="33373"/>
    <cellStyle name="Normal 10 3 2 2 2 4 2 2" xfId="33374"/>
    <cellStyle name="Normal 10 3 2 3 5 2 2" xfId="33375"/>
    <cellStyle name="Normal 10 3 2 3 2 4 2 2" xfId="33376"/>
    <cellStyle name="Normal 10 3 2 4 4 2 2" xfId="33377"/>
    <cellStyle name="Normal 10 3 3 5 2 2" xfId="33378"/>
    <cellStyle name="Normal 10 3 3 2 4 2 2" xfId="33379"/>
    <cellStyle name="Normal 10 3 4 5 2 2" xfId="33380"/>
    <cellStyle name="Normal 10 3 4 2 4 2 2" xfId="33381"/>
    <cellStyle name="Normal 10 3 5 4 2 2" xfId="33382"/>
    <cellStyle name="Normal 10 4 7 2 2" xfId="33383"/>
    <cellStyle name="Normal 10 4 2 5 2 2" xfId="33384"/>
    <cellStyle name="Normal 10 4 2 2 4 2 2" xfId="33385"/>
    <cellStyle name="Normal 10 4 3 5 2 2" xfId="33386"/>
    <cellStyle name="Normal 10 4 3 2 4 2 2" xfId="33387"/>
    <cellStyle name="Normal 10 4 4 4 2 2" xfId="33388"/>
    <cellStyle name="Normal 10 5 7 2 2" xfId="33389"/>
    <cellStyle name="Normal 10 5 2 5 2 2" xfId="33390"/>
    <cellStyle name="Normal 10 5 2 2 4 2 2" xfId="33391"/>
    <cellStyle name="Normal 10 5 3 5 2 2" xfId="33392"/>
    <cellStyle name="Normal 10 5 3 2 4 2 2" xfId="33393"/>
    <cellStyle name="Normal 10 5 4 4 2 2" xfId="33394"/>
    <cellStyle name="Normal 10 6 5 2 2" xfId="33395"/>
    <cellStyle name="Normal 10 6 2 4 2 2" xfId="33396"/>
    <cellStyle name="Normal 10 7 5 2 2" xfId="33397"/>
    <cellStyle name="Normal 10 7 2 4 2 2" xfId="33398"/>
    <cellStyle name="Normal 10 8 2 4 2 2" xfId="33399"/>
    <cellStyle name="Normal 10 9 4 2 2" xfId="33400"/>
    <cellStyle name="Normal 11 4 4 2 2" xfId="33401"/>
    <cellStyle name="Normal 11 3 4 2 2" xfId="33402"/>
    <cellStyle name="Normal 12 10 2 2" xfId="33403"/>
    <cellStyle name="Normal 12 2 2 7 2 2" xfId="33404"/>
    <cellStyle name="Normal 12 2 2 2 5 2 2" xfId="33405"/>
    <cellStyle name="Normal 12 2 2 2 2 4 2 2" xfId="33406"/>
    <cellStyle name="Normal 12 2 2 3 5 2 2" xfId="33407"/>
    <cellStyle name="Normal 12 2 2 3 2 4 2 2" xfId="33408"/>
    <cellStyle name="Normal 12 2 2 4 4 2 2" xfId="33409"/>
    <cellStyle name="Normal 12 2 3 5 2 2" xfId="33410"/>
    <cellStyle name="Normal 12 2 3 2 4 2 2" xfId="33411"/>
    <cellStyle name="Normal 12 2 4 5 2 2" xfId="33412"/>
    <cellStyle name="Normal 12 2 4 2 4 2 2" xfId="33413"/>
    <cellStyle name="Normal 12 2 5 2 4 2 2" xfId="33414"/>
    <cellStyle name="Normal 12 2 6 4 2 2" xfId="33415"/>
    <cellStyle name="Normal 12 3 7 2 2" xfId="33416"/>
    <cellStyle name="Normal 12 3 2 5 2 2" xfId="33417"/>
    <cellStyle name="Normal 12 3 2 2 4 2 2" xfId="33418"/>
    <cellStyle name="Normal 12 3 3 5 2 2" xfId="33419"/>
    <cellStyle name="Normal 12 3 3 2 4 2 2" xfId="33420"/>
    <cellStyle name="Normal 12 3 4 4 2 2" xfId="33421"/>
    <cellStyle name="Normal 12 4 7 2 2" xfId="33422"/>
    <cellStyle name="Normal 12 4 2 5 2 2" xfId="33423"/>
    <cellStyle name="Normal 12 4 2 2 4 2 2" xfId="33424"/>
    <cellStyle name="Normal 12 4 3 5 2 2" xfId="33425"/>
    <cellStyle name="Normal 12 4 3 2 4 2 2" xfId="33426"/>
    <cellStyle name="Normal 12 4 4 4 2 2" xfId="33427"/>
    <cellStyle name="Normal 12 5 5 2 2" xfId="33428"/>
    <cellStyle name="Normal 12 5 2 4 2 2" xfId="33429"/>
    <cellStyle name="Normal 12 6 5 2 2" xfId="33430"/>
    <cellStyle name="Normal 12 6 2 4 2 2" xfId="33431"/>
    <cellStyle name="Normal 12 7 4 2 2" xfId="33432"/>
    <cellStyle name="Normal 15 8 2 2" xfId="33433"/>
    <cellStyle name="Normal 15 3 4 2 2" xfId="33434"/>
    <cellStyle name="Normal 16 2 7 2 2" xfId="33435"/>
    <cellStyle name="Normal 16 2 2 5 2 2" xfId="33436"/>
    <cellStyle name="Normal 16 2 2 2 4 2 2" xfId="33437"/>
    <cellStyle name="Normal 16 2 3 5 2 2" xfId="33438"/>
    <cellStyle name="Normal 16 2 3 2 4 2 2" xfId="33439"/>
    <cellStyle name="Normal 16 2 4 4 2 2" xfId="33440"/>
    <cellStyle name="Normal 16 3 5 2 2" xfId="33441"/>
    <cellStyle name="Normal 16 3 2 4 2 2" xfId="33442"/>
    <cellStyle name="Normal 16 4 5 2 2" xfId="33443"/>
    <cellStyle name="Normal 16 4 2 4 2 2" xfId="33444"/>
    <cellStyle name="Normal 16 5 2 4 2 2" xfId="33445"/>
    <cellStyle name="Normal 16 6 4 2 2" xfId="33446"/>
    <cellStyle name="Normal 17 2 7 2 2" xfId="33447"/>
    <cellStyle name="Normal 17 2 2 5 2 2" xfId="33448"/>
    <cellStyle name="Normal 17 2 2 2 4 2 2" xfId="33449"/>
    <cellStyle name="Normal 17 2 3 5 2 2" xfId="33450"/>
    <cellStyle name="Normal 17 2 3 2 4 2 2" xfId="33451"/>
    <cellStyle name="Normal 17 2 4 4 2 2" xfId="33452"/>
    <cellStyle name="Normal 17 3 5 2 2" xfId="33453"/>
    <cellStyle name="Normal 17 3 2 4 2 2" xfId="33454"/>
    <cellStyle name="Normal 17 4 5 2 2" xfId="33455"/>
    <cellStyle name="Normal 17 4 2 4 2 2" xfId="33456"/>
    <cellStyle name="Normal 17 5 2 4 2 2" xfId="33457"/>
    <cellStyle name="Normal 17 6 4 2 2" xfId="33458"/>
    <cellStyle name="Normal 2 10 3 4 2 2" xfId="33459"/>
    <cellStyle name="Normal 2 11 3 4 2 2" xfId="33460"/>
    <cellStyle name="Normal 2 12 3 4 2 2" xfId="33461"/>
    <cellStyle name="Normal 2 13 3 4 2 2" xfId="33462"/>
    <cellStyle name="Normal 2 14 3 4 2 2" xfId="33463"/>
    <cellStyle name="Normal 2 15 3 4 2 2" xfId="33464"/>
    <cellStyle name="Normal 2 16 3 4 2 2" xfId="33465"/>
    <cellStyle name="Normal 2 17 3 4 2 2" xfId="33466"/>
    <cellStyle name="Normal 2 18 3 4 2 2" xfId="33467"/>
    <cellStyle name="Normal 2 19 3 4 2 2" xfId="33468"/>
    <cellStyle name="Normal 2 2 10 4 2 2" xfId="33469"/>
    <cellStyle name="Normal 2 2 11 4 2 2" xfId="33470"/>
    <cellStyle name="Normal 2 2 12 4 2 2" xfId="33471"/>
    <cellStyle name="Normal 2 2 13 4 2 2" xfId="33472"/>
    <cellStyle name="Normal 2 2 14 4 2 2" xfId="33473"/>
    <cellStyle name="Normal 2 2 15 4 2 2" xfId="33474"/>
    <cellStyle name="Normal 2 2 16 4 2 2" xfId="33475"/>
    <cellStyle name="Normal 2 2 17 4 2 2" xfId="33476"/>
    <cellStyle name="Normal 2 2 18 4 2 2" xfId="33477"/>
    <cellStyle name="Normal 2 2 19 4 2 2" xfId="33478"/>
    <cellStyle name="Normal 2 2 2 2 8 2 2" xfId="33479"/>
    <cellStyle name="Normal 2 2 2 2 2 5 2 2" xfId="33480"/>
    <cellStyle name="Normal 2 2 2 2 2 2 4 2 2" xfId="33481"/>
    <cellStyle name="Normal 2 2 2 2 3 4 2 2" xfId="33482"/>
    <cellStyle name="Normal 2 2 2 2 4 4 2 2" xfId="33483"/>
    <cellStyle name="Normal 2 2 2 2 5 4 2 2" xfId="33484"/>
    <cellStyle name="Normal 2 2 20 4 2 2" xfId="33485"/>
    <cellStyle name="Normal 2 2 21 4 2 2" xfId="33486"/>
    <cellStyle name="Normal 2 2 22 4 2 2" xfId="33487"/>
    <cellStyle name="Normal 2 2 3 11 2 2" xfId="33488"/>
    <cellStyle name="Normal 2 2 3 2 4 2 2" xfId="33489"/>
    <cellStyle name="Normal 2 2 3 3 4 2 2" xfId="33490"/>
    <cellStyle name="Normal 2 2 3 4 4 2 2" xfId="33491"/>
    <cellStyle name="Normal 2 2 3 5 4 2 2" xfId="33492"/>
    <cellStyle name="Normal 2 2 3 6 4 2 2" xfId="33493"/>
    <cellStyle name="Normal 2 2 4 7 2 2" xfId="33494"/>
    <cellStyle name="Normal 2 2 4 2 4 2 2" xfId="33495"/>
    <cellStyle name="Normal 2 2 5 6 2 2" xfId="33496"/>
    <cellStyle name="Normal 2 2 5 2 4 2 2" xfId="33497"/>
    <cellStyle name="Normal 2 2 6 4 2 2" xfId="33498"/>
    <cellStyle name="Normal 2 2 7 4 2 2" xfId="33499"/>
    <cellStyle name="Normal 2 2 8 4 2 2" xfId="33500"/>
    <cellStyle name="Normal 2 2 9 4 2 2" xfId="33501"/>
    <cellStyle name="Normal 2 20 4 2 2" xfId="33502"/>
    <cellStyle name="Normal 2 3 2 5 2 2" xfId="33503"/>
    <cellStyle name="Normal 2 3 3 4 2 2" xfId="33504"/>
    <cellStyle name="Normal 2 3 4 4 2 2" xfId="33505"/>
    <cellStyle name="Normal 2 3 5 4 2 2" xfId="33506"/>
    <cellStyle name="Normal 2 3 6 4 2 2" xfId="33507"/>
    <cellStyle name="Normal 2 4 5 4 2 2" xfId="33508"/>
    <cellStyle name="Normal 2 4 2 4 2 2" xfId="33509"/>
    <cellStyle name="Normal 2 5 3 4 2 2" xfId="33510"/>
    <cellStyle name="Normal 2 6 3 4 2 2" xfId="33511"/>
    <cellStyle name="Normal 2 7 3 4 2 2" xfId="33512"/>
    <cellStyle name="Normal 2 8 3 4 2 2" xfId="33513"/>
    <cellStyle name="Normal 2 9 3 4 2 2" xfId="33514"/>
    <cellStyle name="Normal 21 11 2 2" xfId="33515"/>
    <cellStyle name="Normal 21 2 9 2 2" xfId="33516"/>
    <cellStyle name="Normal 21 2 2 4 2 2" xfId="33517"/>
    <cellStyle name="Normal 21 2 3 4 2 2" xfId="33518"/>
    <cellStyle name="Normal 21 2 4 4 2 2" xfId="33519"/>
    <cellStyle name="Normal 21 2 5 4 2 2" xfId="33520"/>
    <cellStyle name="Normal 21 2 6 4 2 2" xfId="33521"/>
    <cellStyle name="Normal 21 3 5 2 2" xfId="33522"/>
    <cellStyle name="Normal 21 3 2 4 2 2" xfId="33523"/>
    <cellStyle name="Normal 21 4 4 2 2" xfId="33524"/>
    <cellStyle name="Normal 21 5 4 2 2" xfId="33525"/>
    <cellStyle name="Normal 21 6 4 2 2" xfId="33526"/>
    <cellStyle name="Normal 21 8 4 2 2" xfId="33527"/>
    <cellStyle name="Normal 22 10 2 2" xfId="33528"/>
    <cellStyle name="Normal 22 2 9 2 2" xfId="33529"/>
    <cellStyle name="Normal 22 2 2 4 2 2" xfId="33530"/>
    <cellStyle name="Normal 22 2 3 4 2 2" xfId="33531"/>
    <cellStyle name="Normal 22 2 4 4 2 2" xfId="33532"/>
    <cellStyle name="Normal 22 2 5 4 2 2" xfId="33533"/>
    <cellStyle name="Normal 22 3 4 2 2" xfId="33534"/>
    <cellStyle name="Normal 22 4 4 2 2" xfId="33535"/>
    <cellStyle name="Normal 22 5 4 2 2" xfId="33536"/>
    <cellStyle name="Normal 22 6 4 2 2" xfId="33537"/>
    <cellStyle name="Normal 23 10 2 2" xfId="33538"/>
    <cellStyle name="Normal 23 2 8 2 2" xfId="33539"/>
    <cellStyle name="Normal 23 2 2 4 2 2" xfId="33540"/>
    <cellStyle name="Normal 23 2 3 4 2 2" xfId="33541"/>
    <cellStyle name="Normal 23 2 4 4 2 2" xfId="33542"/>
    <cellStyle name="Normal 23 2 5 4 2 2" xfId="33543"/>
    <cellStyle name="Normal 23 3 4 2 2" xfId="33544"/>
    <cellStyle name="Normal 23 4 4 2 2" xfId="33545"/>
    <cellStyle name="Normal 23 5 4 2 2" xfId="33546"/>
    <cellStyle name="Normal 23 6 4 2 2" xfId="33547"/>
    <cellStyle name="Normal 24 10 2 2" xfId="33548"/>
    <cellStyle name="Normal 24 2 8 2 2" xfId="33549"/>
    <cellStyle name="Normal 24 2 2 4 2 2" xfId="33550"/>
    <cellStyle name="Normal 24 2 3 4 2 2" xfId="33551"/>
    <cellStyle name="Normal 24 2 4 4 2 2" xfId="33552"/>
    <cellStyle name="Normal 24 2 5 4 2 2" xfId="33553"/>
    <cellStyle name="Normal 24 3 4 2 2" xfId="33554"/>
    <cellStyle name="Normal 24 4 4 2 2" xfId="33555"/>
    <cellStyle name="Normal 24 5 4 2 2" xfId="33556"/>
    <cellStyle name="Normal 24 6 4 2 2" xfId="33557"/>
    <cellStyle name="Normal 26 10 2 2" xfId="33558"/>
    <cellStyle name="Normal 26 2 8 2 2" xfId="33559"/>
    <cellStyle name="Normal 26 2 2 4 2 2" xfId="33560"/>
    <cellStyle name="Normal 26 2 3 4 2 2" xfId="33561"/>
    <cellStyle name="Normal 26 2 4 4 2 2" xfId="33562"/>
    <cellStyle name="Normal 26 2 5 4 2 2" xfId="33563"/>
    <cellStyle name="Normal 26 3 4 2 2" xfId="33564"/>
    <cellStyle name="Normal 26 4 4 2 2" xfId="33565"/>
    <cellStyle name="Normal 26 5 4 2 2" xfId="33566"/>
    <cellStyle name="Normal 26 6 4 2 2" xfId="33567"/>
    <cellStyle name="Normal 3 10 4 2 2" xfId="33568"/>
    <cellStyle name="Normal 3 11 4 2 2" xfId="33569"/>
    <cellStyle name="Normal 3 12 4 2 2" xfId="33570"/>
    <cellStyle name="Normal 3 13 4 2 2" xfId="33571"/>
    <cellStyle name="Normal 3 14 4 2 2" xfId="33572"/>
    <cellStyle name="Normal 3 15 4 2 2" xfId="33573"/>
    <cellStyle name="Normal 3 16 4 2 2" xfId="33574"/>
    <cellStyle name="Normal 3 17 4 2 2" xfId="33575"/>
    <cellStyle name="Normal 3 18 4 2 2" xfId="33576"/>
    <cellStyle name="Normal 3 19 4 2 2" xfId="33577"/>
    <cellStyle name="Normal 3 2 2 4 2 2" xfId="33578"/>
    <cellStyle name="Normal 3 2 3 4 2 2" xfId="33579"/>
    <cellStyle name="Normal 3 2 4 4 2 2" xfId="33580"/>
    <cellStyle name="Normal 3 2 5 4 2 2" xfId="33581"/>
    <cellStyle name="Normal 3 2 6 4 2 2" xfId="33582"/>
    <cellStyle name="Normal 3 20 4 2 2" xfId="33583"/>
    <cellStyle name="Normal 3 21 4 2 2" xfId="33584"/>
    <cellStyle name="Normal 3 22 4 2 2" xfId="33585"/>
    <cellStyle name="Normal 3 23 4 2 2" xfId="33586"/>
    <cellStyle name="Normal 3 24 4 2 2" xfId="33587"/>
    <cellStyle name="Normal 3 3 7 2 2" xfId="33588"/>
    <cellStyle name="Normal 3 3 2 4 2 2" xfId="33589"/>
    <cellStyle name="Normal 3 3 3 4 2 2" xfId="33590"/>
    <cellStyle name="Normal 3 4 5 2 2" xfId="33591"/>
    <cellStyle name="Normal 3 4 2 4 2 2" xfId="33592"/>
    <cellStyle name="Normal 3 5 5 2 2" xfId="33593"/>
    <cellStyle name="Normal 3 5 2 4 2 2" xfId="33594"/>
    <cellStyle name="Normal 3 6 4 2 2" xfId="33595"/>
    <cellStyle name="Normal 3 7 4 2 2" xfId="33596"/>
    <cellStyle name="Normal 3 8 4 2 2" xfId="33597"/>
    <cellStyle name="Normal 3 9 4 2 2" xfId="33598"/>
    <cellStyle name="Normal 4 2 10 4 2 2" xfId="33599"/>
    <cellStyle name="Normal 4 2 11 4 2 2" xfId="33600"/>
    <cellStyle name="Normal 4 2 12 4 2 2" xfId="33601"/>
    <cellStyle name="Normal 4 2 13 4 2 2" xfId="33602"/>
    <cellStyle name="Normal 4 2 14 4 2 2" xfId="33603"/>
    <cellStyle name="Normal 4 2 15 4 2 2" xfId="33604"/>
    <cellStyle name="Normal 4 2 16 4 2 2" xfId="33605"/>
    <cellStyle name="Normal 4 2 17 4 2 2" xfId="33606"/>
    <cellStyle name="Normal 4 2 18 4 2 2" xfId="33607"/>
    <cellStyle name="Normal 4 2 19 4 2 2" xfId="33608"/>
    <cellStyle name="Normal 4 2 2 8 2 2" xfId="33609"/>
    <cellStyle name="Normal 4 2 2 2 4 2 2" xfId="33610"/>
    <cellStyle name="Normal 4 2 2 3 4 2 2" xfId="33611"/>
    <cellStyle name="Normal 4 2 2 4 4 2 2" xfId="33612"/>
    <cellStyle name="Normal 4 2 2 5 4 2 2" xfId="33613"/>
    <cellStyle name="Normal 4 2 20 4 2 2" xfId="33614"/>
    <cellStyle name="Normal 4 2 21 4 2 2" xfId="33615"/>
    <cellStyle name="Normal 4 2 22 4 2 2" xfId="33616"/>
    <cellStyle name="Normal 4 2 23 4 2 2" xfId="33617"/>
    <cellStyle name="Normal 4 2 24 4 2 2" xfId="33618"/>
    <cellStyle name="Normal 4 2 3 5 2 2" xfId="33619"/>
    <cellStyle name="Normal 4 2 3 2 4 2 2" xfId="33620"/>
    <cellStyle name="Normal 4 2 4 5 2 2" xfId="33621"/>
    <cellStyle name="Normal 4 2 4 2 4 2 2" xfId="33622"/>
    <cellStyle name="Normal 4 2 5 5 2 2" xfId="33623"/>
    <cellStyle name="Normal 4 2 5 2 4 2 2" xfId="33624"/>
    <cellStyle name="Normal 4 2 6 4 2 2" xfId="33625"/>
    <cellStyle name="Normal 4 2 7 4 2 2" xfId="33626"/>
    <cellStyle name="Normal 4 2 8 4 2 2" xfId="33627"/>
    <cellStyle name="Normal 4 2 9 4 2 2" xfId="33628"/>
    <cellStyle name="Normal 4 3 9 2 2" xfId="33629"/>
    <cellStyle name="Normal 4 3 2 8 2 2" xfId="33630"/>
    <cellStyle name="Normal 4 3 2 2 7 2 2" xfId="33631"/>
    <cellStyle name="Normal 4 3 2 2 2 5 2 2" xfId="33632"/>
    <cellStyle name="Normal 4 3 2 2 2 2 4 2 2" xfId="33633"/>
    <cellStyle name="Normal 4 3 2 2 3 5 2 2" xfId="33634"/>
    <cellStyle name="Normal 4 3 2 2 3 2 4 2 2" xfId="33635"/>
    <cellStyle name="Normal 4 3 2 2 4 4 2 2" xfId="33636"/>
    <cellStyle name="Normal 4 3 2 3 5 2 2" xfId="33637"/>
    <cellStyle name="Normal 4 3 2 3 2 4 2 2" xfId="33638"/>
    <cellStyle name="Normal 4 3 2 4 5 2 2" xfId="33639"/>
    <cellStyle name="Normal 4 3 2 4 2 4 2 2" xfId="33640"/>
    <cellStyle name="Normal 4 3 2 5 4 2 2" xfId="33641"/>
    <cellStyle name="Normal 4 3 3 7 2 2" xfId="33642"/>
    <cellStyle name="Normal 4 3 3 2 5 2 2" xfId="33643"/>
    <cellStyle name="Normal 4 3 3 2 2 4 2 2" xfId="33644"/>
    <cellStyle name="Normal 4 3 3 3 5 2 2" xfId="33645"/>
    <cellStyle name="Normal 4 3 3 3 2 4 2 2" xfId="33646"/>
    <cellStyle name="Normal 4 3 3 4 4 2 2" xfId="33647"/>
    <cellStyle name="Normal 4 3 4 5 2 2" xfId="33648"/>
    <cellStyle name="Normal 4 3 4 2 4 2 2" xfId="33649"/>
    <cellStyle name="Normal 4 3 5 5 2 2" xfId="33650"/>
    <cellStyle name="Normal 4 3 5 2 4 2 2" xfId="33651"/>
    <cellStyle name="Normal 4 3 6 4 2 2" xfId="33652"/>
    <cellStyle name="Normal 4 4 6 2 2" xfId="33653"/>
    <cellStyle name="Normal 4 4 2 4 2 2" xfId="33654"/>
    <cellStyle name="Normal 4 5 4 2 2" xfId="33655"/>
    <cellStyle name="Normal 4 6 4 2 2" xfId="33656"/>
    <cellStyle name="Normal 4 7 4 2 2" xfId="33657"/>
    <cellStyle name="Normal 4 8 4 2 2" xfId="33658"/>
    <cellStyle name="Normal 41 2 4 2 2" xfId="33659"/>
    <cellStyle name="Normal 46 4 2 2" xfId="33660"/>
    <cellStyle name="Normal 5 28 4 2 2" xfId="33661"/>
    <cellStyle name="Normal 5 2 9 2 2" xfId="33662"/>
    <cellStyle name="Normal 5 2 2 2 2 4 2 2" xfId="33663"/>
    <cellStyle name="Normal 5 2 2 3 4 2 2" xfId="33664"/>
    <cellStyle name="Normal 5 2 3 2 2 4 2 2" xfId="33665"/>
    <cellStyle name="Normal 5 2 3 3 4 2 2" xfId="33666"/>
    <cellStyle name="Normal 5 2 4 2 4 2 2" xfId="33667"/>
    <cellStyle name="Normal 5 2 6 4 2 2" xfId="33668"/>
    <cellStyle name="Normal 5 24 4 2 2" xfId="33669"/>
    <cellStyle name="Normal 5 3 5 2 2" xfId="33670"/>
    <cellStyle name="Normal 5 4 5 2 2" xfId="33671"/>
    <cellStyle name="Normal 5 5 5 2 2" xfId="33672"/>
    <cellStyle name="Normal 5 6 5 2 2" xfId="33673"/>
    <cellStyle name="Normal 5 7 5 2 2" xfId="33674"/>
    <cellStyle name="Normal 7 25 4 2 2" xfId="33675"/>
    <cellStyle name="Normal 7 10 4 2 2" xfId="33676"/>
    <cellStyle name="Normal 7 11 4 2 2" xfId="33677"/>
    <cellStyle name="Normal 7 12 4 2 2" xfId="33678"/>
    <cellStyle name="Normal 7 13 4 2 2" xfId="33679"/>
    <cellStyle name="Normal 7 14 4 2 2" xfId="33680"/>
    <cellStyle name="Normal 7 15 4 2 2" xfId="33681"/>
    <cellStyle name="Normal 7 16 4 2 2" xfId="33682"/>
    <cellStyle name="Normal 7 17 4 2 2" xfId="33683"/>
    <cellStyle name="Normal 7 18 4 2 2" xfId="33684"/>
    <cellStyle name="Normal 7 19 4 2 2" xfId="33685"/>
    <cellStyle name="Normal 7 2 8 2 2" xfId="33686"/>
    <cellStyle name="Normal 7 2 2 4 2 2" xfId="33687"/>
    <cellStyle name="Normal 7 2 3 4 2 2" xfId="33688"/>
    <cellStyle name="Normal 7 2 4 4 2 2" xfId="33689"/>
    <cellStyle name="Normal 7 2 5 4 2 2" xfId="33690"/>
    <cellStyle name="Normal 7 20 4 2 2" xfId="33691"/>
    <cellStyle name="Normal 7 22 4 2 2" xfId="33692"/>
    <cellStyle name="Normal 7 3 8 2 2" xfId="33693"/>
    <cellStyle name="Normal 7 3 2 4 2 2" xfId="33694"/>
    <cellStyle name="Normal 7 3 3 4 2 2" xfId="33695"/>
    <cellStyle name="Normal 7 3 4 4 2 2" xfId="33696"/>
    <cellStyle name="Normal 7 3 5 4 2 2" xfId="33697"/>
    <cellStyle name="Normal 7 4 4 2 2" xfId="33698"/>
    <cellStyle name="Normal 7 5 4 2 2" xfId="33699"/>
    <cellStyle name="Normal 7 6 4 2 2" xfId="33700"/>
    <cellStyle name="Normal 7 7 4 2 2" xfId="33701"/>
    <cellStyle name="Normal 7 8 4 2 2" xfId="33702"/>
    <cellStyle name="Normal 7 9 4 2 2" xfId="33703"/>
    <cellStyle name="Normal 8 25 4 2 2" xfId="33704"/>
    <cellStyle name="Normal 8 10 4 2 2" xfId="33705"/>
    <cellStyle name="Normal 8 11 4 2 2" xfId="33706"/>
    <cellStyle name="Normal 8 12 4 2 2" xfId="33707"/>
    <cellStyle name="Normal 8 13 4 2 2" xfId="33708"/>
    <cellStyle name="Normal 8 14 4 2 2" xfId="33709"/>
    <cellStyle name="Normal 8 15 4 2 2" xfId="33710"/>
    <cellStyle name="Normal 8 16 4 2 2" xfId="33711"/>
    <cellStyle name="Normal 8 17 4 2 2" xfId="33712"/>
    <cellStyle name="Normal 8 18 4 2 2" xfId="33713"/>
    <cellStyle name="Normal 8 19 4 2 2" xfId="33714"/>
    <cellStyle name="Normal 8 2 6 4 2 2" xfId="33715"/>
    <cellStyle name="Normal 8 2 2 2 4 2 2" xfId="33716"/>
    <cellStyle name="Normal 8 2 3 4 2 2" xfId="33717"/>
    <cellStyle name="Normal 8 2 4 4 2 2" xfId="33718"/>
    <cellStyle name="Normal 8 2 5 4 2 2" xfId="33719"/>
    <cellStyle name="Normal 8 20 4 2 2" xfId="33720"/>
    <cellStyle name="Normal 8 22 4 2 2" xfId="33721"/>
    <cellStyle name="Normal 8 3 6 4 2 2" xfId="33722"/>
    <cellStyle name="Normal 8 3 2 4 2 2" xfId="33723"/>
    <cellStyle name="Normal 8 3 3 4 2 2" xfId="33724"/>
    <cellStyle name="Normal 8 3 4 4 2 2" xfId="33725"/>
    <cellStyle name="Normal 8 3 5 4 2 2" xfId="33726"/>
    <cellStyle name="Normal 8 4 4 2 2" xfId="33727"/>
    <cellStyle name="Normal 8 5 4 2 2" xfId="33728"/>
    <cellStyle name="Normal 8 6 4 2 2" xfId="33729"/>
    <cellStyle name="Normal 8 7 4 2 2" xfId="33730"/>
    <cellStyle name="Normal 8 8 4 2 2" xfId="33731"/>
    <cellStyle name="Normal 8 9 4 2 2" xfId="33732"/>
    <cellStyle name="Normal 9 25 4 2 2" xfId="33733"/>
    <cellStyle name="Normal 9 10 4 2 2" xfId="33734"/>
    <cellStyle name="Normal 9 11 4 2 2" xfId="33735"/>
    <cellStyle name="Normal 9 12 4 2 2" xfId="33736"/>
    <cellStyle name="Normal 9 13 4 2 2" xfId="33737"/>
    <cellStyle name="Normal 9 14 4 2 2" xfId="33738"/>
    <cellStyle name="Normal 9 15 4 2 2" xfId="33739"/>
    <cellStyle name="Normal 9 16 4 2 2" xfId="33740"/>
    <cellStyle name="Normal 9 17 4 2 2" xfId="33741"/>
    <cellStyle name="Normal 9 18 4 2 2" xfId="33742"/>
    <cellStyle name="Normal 9 19 4 2 2" xfId="33743"/>
    <cellStyle name="Normal 9 2 8 2 2" xfId="33744"/>
    <cellStyle name="Normal 9 2 2 4 2 2" xfId="33745"/>
    <cellStyle name="Normal 9 2 3 4 2 2" xfId="33746"/>
    <cellStyle name="Normal 9 2 4 4 2 2" xfId="33747"/>
    <cellStyle name="Normal 9 2 5 4 2 2" xfId="33748"/>
    <cellStyle name="Normal 9 20 4 2 2" xfId="33749"/>
    <cellStyle name="Normal 9 22 4 2 2" xfId="33750"/>
    <cellStyle name="Normal 9 3 8 2 2" xfId="33751"/>
    <cellStyle name="Normal 9 3 2 4 2 2" xfId="33752"/>
    <cellStyle name="Normal 9 3 3 4 2 2" xfId="33753"/>
    <cellStyle name="Normal 9 3 4 4 2 2" xfId="33754"/>
    <cellStyle name="Normal 9 3 5 4 2 2" xfId="33755"/>
    <cellStyle name="Normal 9 4 4 2 2" xfId="33756"/>
    <cellStyle name="Normal 9 5 4 2 2" xfId="33757"/>
    <cellStyle name="Normal 9 6 4 2 2" xfId="33758"/>
    <cellStyle name="Normal 9 7 4 2 2" xfId="33759"/>
    <cellStyle name="Normal 9 8 4 2 2" xfId="33760"/>
    <cellStyle name="Normal 9 9 4 2 2" xfId="33761"/>
    <cellStyle name="Note 2 4 2 2 2" xfId="33762"/>
    <cellStyle name="Note 3 4 2 2" xfId="33763"/>
    <cellStyle name="Note 4 4 2 2" xfId="33764"/>
    <cellStyle name="Note 7 4 2 2" xfId="33765"/>
    <cellStyle name="Percent 120 4 2 2" xfId="33766"/>
    <cellStyle name="Percent 121 4 2 2" xfId="33767"/>
    <cellStyle name="Percent 122 4 2 2" xfId="33768"/>
    <cellStyle name="Percent 123 4 2 2" xfId="33769"/>
    <cellStyle name="Percent 124 4 2 2" xfId="33770"/>
    <cellStyle name="Percent 125 4 2 2" xfId="33771"/>
    <cellStyle name="Percent 126 4 2 2" xfId="33772"/>
    <cellStyle name="Percent 127 4 2 2" xfId="33773"/>
    <cellStyle name="Percent 128 4 2 2" xfId="33774"/>
    <cellStyle name="Percent 129 4 2 2" xfId="33775"/>
    <cellStyle name="Percent 130 4 2 2" xfId="33776"/>
    <cellStyle name="Percent 159 4 2 2" xfId="33777"/>
    <cellStyle name="Percent 2 22 4 2 2" xfId="33778"/>
    <cellStyle name="Percent 25 2 5 2 2" xfId="33779"/>
    <cellStyle name="Percent 25 2 2 4 2 2" xfId="33780"/>
    <cellStyle name="Percent 25 3 5 2 2" xfId="33781"/>
    <cellStyle name="Percent 25 3 2 4 2 2" xfId="33782"/>
    <cellStyle name="Percent 25 4 2 4 2 2" xfId="33783"/>
    <cellStyle name="Percent 25 5 4 2 2" xfId="33784"/>
    <cellStyle name="Percent 26 2 5 2 2" xfId="33785"/>
    <cellStyle name="Percent 26 2 2 4 2 2" xfId="33786"/>
    <cellStyle name="Percent 26 3 5 2 2" xfId="33787"/>
    <cellStyle name="Percent 26 3 2 4 2 2" xfId="33788"/>
    <cellStyle name="Percent 26 4 2 4 2 2" xfId="33789"/>
    <cellStyle name="Percent 26 5 4 2 2" xfId="33790"/>
    <cellStyle name="Percent 27 2 5 2 2" xfId="33791"/>
    <cellStyle name="Percent 27 2 2 4 2 2" xfId="33792"/>
    <cellStyle name="Percent 27 3 5 2 2" xfId="33793"/>
    <cellStyle name="Percent 27 3 2 4 2 2" xfId="33794"/>
    <cellStyle name="Percent 27 4 2 4 2 2" xfId="33795"/>
    <cellStyle name="Percent 27 5 4 2 2" xfId="33796"/>
    <cellStyle name="Percent 28 2 5 2 2" xfId="33797"/>
    <cellStyle name="Percent 28 2 2 4 2 2" xfId="33798"/>
    <cellStyle name="Percent 28 3 5 2 2" xfId="33799"/>
    <cellStyle name="Percent 28 3 2 4 2 2" xfId="33800"/>
    <cellStyle name="Percent 28 4 2 4 2 2" xfId="33801"/>
    <cellStyle name="Percent 28 5 4 2 2" xfId="33802"/>
    <cellStyle name="Percent 29 2 5 2 2" xfId="33803"/>
    <cellStyle name="Percent 29 2 2 4 2 2" xfId="33804"/>
    <cellStyle name="Percent 29 3 5 2 2" xfId="33805"/>
    <cellStyle name="Percent 29 3 2 4 2 2" xfId="33806"/>
    <cellStyle name="Percent 29 4 2 4 2 2" xfId="33807"/>
    <cellStyle name="Percent 29 5 4 2 2" xfId="33808"/>
    <cellStyle name="Percent 3 10 4 2 2" xfId="33809"/>
    <cellStyle name="Percent 3 11 4 2 2" xfId="33810"/>
    <cellStyle name="Percent 3 12 4 2 2" xfId="33811"/>
    <cellStyle name="Percent 3 13 4 2 2" xfId="33812"/>
    <cellStyle name="Percent 3 14 4 2 2" xfId="33813"/>
    <cellStyle name="Percent 3 15 4 2 2" xfId="33814"/>
    <cellStyle name="Percent 3 16 4 2 2" xfId="33815"/>
    <cellStyle name="Percent 3 17 4 2 2" xfId="33816"/>
    <cellStyle name="Percent 3 18 4 2 2" xfId="33817"/>
    <cellStyle name="Percent 3 19 4 2 2" xfId="33818"/>
    <cellStyle name="Percent 3 2 25 2 2" xfId="33819"/>
    <cellStyle name="Percent 3 2 10 4 2 2" xfId="33820"/>
    <cellStyle name="Percent 3 2 11 4 2 2" xfId="33821"/>
    <cellStyle name="Percent 3 2 12 4 2 2" xfId="33822"/>
    <cellStyle name="Percent 3 2 13 4 2 2" xfId="33823"/>
    <cellStyle name="Percent 3 2 14 4 2 2" xfId="33824"/>
    <cellStyle name="Percent 3 2 15 4 2 2" xfId="33825"/>
    <cellStyle name="Percent 3 2 16 4 2 2" xfId="33826"/>
    <cellStyle name="Percent 3 2 17 4 2 2" xfId="33827"/>
    <cellStyle name="Percent 3 2 18 4 2 2" xfId="33828"/>
    <cellStyle name="Percent 3 2 19 4 2 2" xfId="33829"/>
    <cellStyle name="Percent 3 2 2 2 4 2 2" xfId="33830"/>
    <cellStyle name="Percent 3 2 2 3 4 2 2" xfId="33831"/>
    <cellStyle name="Percent 3 2 2 4 4 2 2" xfId="33832"/>
    <cellStyle name="Percent 3 2 2 5 4 2 2" xfId="33833"/>
    <cellStyle name="Percent 3 2 20 4 2 2" xfId="33834"/>
    <cellStyle name="Percent 3 2 21 2 4 2 2" xfId="33835"/>
    <cellStyle name="Percent 3 2 3 8 2 2" xfId="33836"/>
    <cellStyle name="Percent 3 2 3 2 4 2 2" xfId="33837"/>
    <cellStyle name="Percent 3 2 3 3 4 2 2" xfId="33838"/>
    <cellStyle name="Percent 3 2 3 4 4 2 2" xfId="33839"/>
    <cellStyle name="Percent 3 2 3 5 4 2 2" xfId="33840"/>
    <cellStyle name="Percent 3 2 4 5 2 2" xfId="33841"/>
    <cellStyle name="Percent 3 2 4 2 4 2 2" xfId="33842"/>
    <cellStyle name="Percent 3 2 5 5 2 2" xfId="33843"/>
    <cellStyle name="Percent 3 2 5 2 4 2 2" xfId="33844"/>
    <cellStyle name="Percent 3 2 6 5 2 2" xfId="33845"/>
    <cellStyle name="Percent 3 2 6 2 4 2 2" xfId="33846"/>
    <cellStyle name="Percent 3 2 7 4 2 2" xfId="33847"/>
    <cellStyle name="Percent 3 2 8 4 2 2" xfId="33848"/>
    <cellStyle name="Percent 3 2 9 4 2 2" xfId="33849"/>
    <cellStyle name="Percent 3 20 4 2 2" xfId="33850"/>
    <cellStyle name="Percent 3 21 4 2 2" xfId="33851"/>
    <cellStyle name="Percent 3 3 2 4 2 2" xfId="33852"/>
    <cellStyle name="Percent 3 3 3 4 2 2" xfId="33853"/>
    <cellStyle name="Percent 3 3 4 4 2 2" xfId="33854"/>
    <cellStyle name="Percent 3 3 5 4 2 2" xfId="33855"/>
    <cellStyle name="Percent 3 4 8 2 2" xfId="33856"/>
    <cellStyle name="Percent 3 4 2 4 2 2" xfId="33857"/>
    <cellStyle name="Percent 3 4 3 4 2 2" xfId="33858"/>
    <cellStyle name="Percent 3 4 4 4 2 2" xfId="33859"/>
    <cellStyle name="Percent 3 4 5 4 2 2" xfId="33860"/>
    <cellStyle name="Percent 3 5 5 2 2" xfId="33861"/>
    <cellStyle name="Percent 3 5 2 4 2 2" xfId="33862"/>
    <cellStyle name="Percent 3 6 5 2 2" xfId="33863"/>
    <cellStyle name="Percent 3 6 2 4 2 2" xfId="33864"/>
    <cellStyle name="Percent 3 7 5 2 2" xfId="33865"/>
    <cellStyle name="Percent 3 7 2 4 2 2" xfId="33866"/>
    <cellStyle name="Percent 3 8 4 2 2" xfId="33867"/>
    <cellStyle name="Percent 3 9 4 2 2" xfId="33868"/>
    <cellStyle name="Percent 30 2 5 2 2" xfId="33869"/>
    <cellStyle name="Percent 30 2 2 4 2 2" xfId="33870"/>
    <cellStyle name="Percent 30 3 5 2 2" xfId="33871"/>
    <cellStyle name="Percent 30 3 2 4 2 2" xfId="33872"/>
    <cellStyle name="Percent 30 4 2 4 2 2" xfId="33873"/>
    <cellStyle name="Percent 30 5 4 2 2" xfId="33874"/>
    <cellStyle name="Percent 31 2 5 2 2" xfId="33875"/>
    <cellStyle name="Percent 31 2 2 4 2 2" xfId="33876"/>
    <cellStyle name="Percent 31 3 5 2 2" xfId="33877"/>
    <cellStyle name="Percent 31 3 2 4 2 2" xfId="33878"/>
    <cellStyle name="Percent 31 4 2 4 2 2" xfId="33879"/>
    <cellStyle name="Percent 31 5 4 2 2" xfId="33880"/>
    <cellStyle name="Percent 32 2 5 2 2" xfId="33881"/>
    <cellStyle name="Percent 32 2 2 4 2 2" xfId="33882"/>
    <cellStyle name="Percent 32 3 5 2 2" xfId="33883"/>
    <cellStyle name="Percent 32 3 2 4 2 2" xfId="33884"/>
    <cellStyle name="Percent 32 4 2 4 2 2" xfId="33885"/>
    <cellStyle name="Percent 32 5 4 2 2" xfId="33886"/>
    <cellStyle name="Percent 33 2 5 2 2" xfId="33887"/>
    <cellStyle name="Percent 33 2 2 4 2 2" xfId="33888"/>
    <cellStyle name="Percent 33 3 5 2 2" xfId="33889"/>
    <cellStyle name="Percent 33 3 2 4 2 2" xfId="33890"/>
    <cellStyle name="Percent 33 4 2 4 2 2" xfId="33891"/>
    <cellStyle name="Percent 33 5 4 2 2" xfId="33892"/>
    <cellStyle name="Percent 34 2 5 2 2" xfId="33893"/>
    <cellStyle name="Percent 34 2 2 4 2 2" xfId="33894"/>
    <cellStyle name="Percent 34 3 5 2 2" xfId="33895"/>
    <cellStyle name="Percent 34 3 2 4 2 2" xfId="33896"/>
    <cellStyle name="Percent 34 4 2 4 2 2" xfId="33897"/>
    <cellStyle name="Percent 34 5 4 2 2" xfId="33898"/>
    <cellStyle name="Percent 35 2 5 2 2" xfId="33899"/>
    <cellStyle name="Percent 35 2 2 4 2 2" xfId="33900"/>
    <cellStyle name="Percent 35 3 5 2 2" xfId="33901"/>
    <cellStyle name="Percent 35 3 2 4 2 2" xfId="33902"/>
    <cellStyle name="Percent 35 4 2 4 2 2" xfId="33903"/>
    <cellStyle name="Percent 35 5 4 2 2" xfId="33904"/>
    <cellStyle name="Currency 5 4 4 2 2" xfId="33905"/>
    <cellStyle name="Comma 5 7 4 2 2" xfId="33906"/>
    <cellStyle name="Percent 5 4 4 2 2" xfId="33907"/>
    <cellStyle name="Comma 6 5 4 2 2" xfId="33908"/>
    <cellStyle name="Currency 5 2 4 4 2 2" xfId="33909"/>
    <cellStyle name="Comma 5 2 4 4 2 2" xfId="33910"/>
    <cellStyle name="Percent 5 2 4 4 2 2" xfId="33911"/>
    <cellStyle name="Comma 6 2 3 4 2 2" xfId="33912"/>
    <cellStyle name="Currency 5 3 2 4 2 2" xfId="33913"/>
    <cellStyle name="Comma 5 3 2 4 2 2" xfId="33914"/>
    <cellStyle name="Percent 5 3 2 4 2 2" xfId="33915"/>
    <cellStyle name="Comma 6 3 4 4 2 2" xfId="33916"/>
    <cellStyle name="Normal 11 2 2 4 2 2" xfId="33917"/>
    <cellStyle name="Currency 5 2 2 2 4 2 2" xfId="33918"/>
    <cellStyle name="Comma 5 2 2 2 4 2 2" xfId="33919"/>
    <cellStyle name="Percent 5 2 2 2 4 2 2" xfId="33920"/>
    <cellStyle name="Comma 6 2 2 2 4 2 2" xfId="33921"/>
    <cellStyle name="Normal 51 4 2 2" xfId="33922"/>
    <cellStyle name="Comma 187 4 2 2" xfId="33923"/>
    <cellStyle name="Percent 163 4 2 2" xfId="33924"/>
    <cellStyle name="Currency 162 4 2 2" xfId="33925"/>
    <cellStyle name="Currency 5 6 3 2 2" xfId="33926"/>
    <cellStyle name="Currency 179 3 2 2" xfId="33927"/>
    <cellStyle name="Percent 180 3 2 2" xfId="33928"/>
    <cellStyle name="Comma 204 3 2 2" xfId="33929"/>
    <cellStyle name="Normal 8 26 3 2 2" xfId="33930"/>
    <cellStyle name="Comma 5 9 3 2 2" xfId="33931"/>
    <cellStyle name="Percent 5 6 3 2 2" xfId="33932"/>
    <cellStyle name="Comma 6 7 3 2 2" xfId="33933"/>
    <cellStyle name="Normal 11 5 3 2 2" xfId="33934"/>
    <cellStyle name="Currency 5 2 6 3 2 2" xfId="33935"/>
    <cellStyle name="Normal 8 2 7 3 2 2" xfId="33936"/>
    <cellStyle name="Comma 5 2 6 3 2 2" xfId="33937"/>
    <cellStyle name="Percent 5 2 6 3 2 2" xfId="33938"/>
    <cellStyle name="Comma 6 2 5 3 2 2" xfId="33939"/>
    <cellStyle name="Currency 5 3 4 3 2 2" xfId="33940"/>
    <cellStyle name="Normal 8 3 7 3 2 2" xfId="33941"/>
    <cellStyle name="Comma 5 3 4 3 2 2" xfId="33942"/>
    <cellStyle name="Percent 5 3 4 3 2 2" xfId="33943"/>
    <cellStyle name="Comma 6 3 6 3 2 2" xfId="33944"/>
    <cellStyle name="Normal 11 2 4 3 2 2" xfId="33945"/>
    <cellStyle name="Currency 5 2 2 4 3 2 2" xfId="33946"/>
    <cellStyle name="Normal 8 2 2 3 3 2 2" xfId="33947"/>
    <cellStyle name="Comma 5 2 2 4 3 2 2" xfId="33948"/>
    <cellStyle name="Percent 5 2 2 4 3 2 2" xfId="33949"/>
    <cellStyle name="Comma 6 2 2 3 3 2 2" xfId="33950"/>
    <cellStyle name="Normal 50 2 3 2 2" xfId="33951"/>
    <cellStyle name="Comma 186 2 3 2 2" xfId="33952"/>
    <cellStyle name="Percent 162 2 3 2 2" xfId="33953"/>
    <cellStyle name="Normal 2 24 2 3 2 2" xfId="33954"/>
    <cellStyle name="20% - Accent1 2 2 3 2 2" xfId="33955"/>
    <cellStyle name="20% - Accent1 3 2 3 2 2" xfId="33956"/>
    <cellStyle name="20% - Accent1 4 2 3 2 2" xfId="33957"/>
    <cellStyle name="20% - Accent1 5 2 3 2 2" xfId="33958"/>
    <cellStyle name="20% - Accent2 2 2 3 2 2" xfId="33959"/>
    <cellStyle name="20% - Accent2 3 2 3 2 2" xfId="33960"/>
    <cellStyle name="20% - Accent2 4 2 3 2 2" xfId="33961"/>
    <cellStyle name="20% - Accent2 5 2 3 2 2" xfId="33962"/>
    <cellStyle name="20% - Accent3 2 2 3 2 2" xfId="33963"/>
    <cellStyle name="20% - Accent3 3 2 3 2 2" xfId="33964"/>
    <cellStyle name="20% - Accent3 4 2 3 2 2" xfId="33965"/>
    <cellStyle name="20% - Accent3 5 2 3 2 2" xfId="33966"/>
    <cellStyle name="20% - Accent4 2 2 3 2 2" xfId="33967"/>
    <cellStyle name="20% - Accent4 3 2 3 2 2" xfId="33968"/>
    <cellStyle name="20% - Accent4 4 2 3 2 2" xfId="33969"/>
    <cellStyle name="20% - Accent4 5 2 3 2 2" xfId="33970"/>
    <cellStyle name="20% - Accent5 2 2 3 2 2" xfId="33971"/>
    <cellStyle name="20% - Accent5 3 2 3 2 2" xfId="33972"/>
    <cellStyle name="20% - Accent5 4 2 3 2 2" xfId="33973"/>
    <cellStyle name="20% - Accent6 2 2 3 2 2" xfId="33974"/>
    <cellStyle name="20% - Accent6 3 2 3 2 2" xfId="33975"/>
    <cellStyle name="20% - Accent6 4 2 3 2 2" xfId="33976"/>
    <cellStyle name="40% - Accent1 2 2 3 2 2" xfId="33977"/>
    <cellStyle name="40% - Accent1 3 2 3 2 2" xfId="33978"/>
    <cellStyle name="40% - Accent1 4 2 3 2 2" xfId="33979"/>
    <cellStyle name="40% - Accent1 5 2 3 2 2" xfId="33980"/>
    <cellStyle name="40% - Accent2 2 2 3 2 2" xfId="33981"/>
    <cellStyle name="40% - Accent2 3 2 3 2 2" xfId="33982"/>
    <cellStyle name="40% - Accent2 4 2 3 2 2" xfId="33983"/>
    <cellStyle name="40% - Accent3 2 2 3 2 2" xfId="33984"/>
    <cellStyle name="40% - Accent3 3 2 3 2 2" xfId="33985"/>
    <cellStyle name="40% - Accent3 4 2 3 2 2" xfId="33986"/>
    <cellStyle name="40% - Accent3 5 2 3 2 2" xfId="33987"/>
    <cellStyle name="40% - Accent4 2 2 3 2 2" xfId="33988"/>
    <cellStyle name="40% - Accent4 3 2 3 2 2" xfId="33989"/>
    <cellStyle name="40% - Accent4 4 2 3 2 2" xfId="33990"/>
    <cellStyle name="40% - Accent4 5 2 3 2 2" xfId="33991"/>
    <cellStyle name="40% - Accent5 2 2 3 2 2" xfId="33992"/>
    <cellStyle name="40% - Accent5 3 2 3 2 2" xfId="33993"/>
    <cellStyle name="40% - Accent5 4 2 3 2 2" xfId="33994"/>
    <cellStyle name="40% - Accent6 2 2 3 2 2" xfId="33995"/>
    <cellStyle name="40% - Accent6 3 2 3 2 2" xfId="33996"/>
    <cellStyle name="40% - Accent6 4 2 3 2 2" xfId="33997"/>
    <cellStyle name="40% - Accent6 5 2 3 2 2" xfId="33998"/>
    <cellStyle name="Comma 143 2 3 2 2" xfId="33999"/>
    <cellStyle name="Comma 144 2 3 2 2" xfId="34000"/>
    <cellStyle name="Comma 145 2 3 2 2" xfId="34001"/>
    <cellStyle name="Comma 146 2 3 2 2" xfId="34002"/>
    <cellStyle name="Comma 147 2 3 2 2" xfId="34003"/>
    <cellStyle name="Comma 148 2 3 2 2" xfId="34004"/>
    <cellStyle name="Comma 149 2 3 2 2" xfId="34005"/>
    <cellStyle name="Comma 150 2 3 2 2" xfId="34006"/>
    <cellStyle name="Comma 151 2 3 2 2" xfId="34007"/>
    <cellStyle name="Comma 152 2 3 2 2" xfId="34008"/>
    <cellStyle name="Comma 153 2 3 2 2" xfId="34009"/>
    <cellStyle name="Comma 182 2 3 2 2" xfId="34010"/>
    <cellStyle name="Comma 2 23 2 3 2 2" xfId="34011"/>
    <cellStyle name="Comma 2 2 10 2 3 2 2" xfId="34012"/>
    <cellStyle name="Comma 2 2 11 2 3 2 2" xfId="34013"/>
    <cellStyle name="Comma 2 2 12 2 3 2 2" xfId="34014"/>
    <cellStyle name="Comma 2 2 13 2 3 2 2" xfId="34015"/>
    <cellStyle name="Comma 2 2 14 2 3 2 2" xfId="34016"/>
    <cellStyle name="Comma 2 2 15 2 3 2 2" xfId="34017"/>
    <cellStyle name="Comma 2 2 16 2 3 2 2" xfId="34018"/>
    <cellStyle name="Comma 2 2 17 2 3 2 2" xfId="34019"/>
    <cellStyle name="Comma 2 2 2 2 6 3 2 2" xfId="34020"/>
    <cellStyle name="Comma 2 2 2 2 2 2 3 2 2" xfId="34021"/>
    <cellStyle name="Comma 2 2 2 2 3 2 3 2 2" xfId="34022"/>
    <cellStyle name="Comma 2 2 2 2 4 2 3 2 2" xfId="34023"/>
    <cellStyle name="Comma 2 2 2 2 5 2 3 2 2" xfId="34024"/>
    <cellStyle name="Comma 2 2 2 3 2 3 2 2" xfId="34025"/>
    <cellStyle name="Comma 2 2 2 4 2 3 2 2" xfId="34026"/>
    <cellStyle name="Comma 2 2 2 5 2 3 2 2" xfId="34027"/>
    <cellStyle name="Comma 2 2 2 6 2 3 2 2" xfId="34028"/>
    <cellStyle name="Comma 2 2 3 6 3 2 2" xfId="34029"/>
    <cellStyle name="Comma 2 2 3 2 2 2 3 2 2" xfId="34030"/>
    <cellStyle name="Comma 2 2 3 2 3 2 3 2 2" xfId="34031"/>
    <cellStyle name="Comma 2 2 3 2 4 2 3 2 2" xfId="34032"/>
    <cellStyle name="Comma 2 2 3 2 5 2 3 2 2" xfId="34033"/>
    <cellStyle name="Comma 2 2 3 3 2 3 2 2" xfId="34034"/>
    <cellStyle name="Comma 2 2 4 2 2 3 2 2" xfId="34035"/>
    <cellStyle name="Comma 2 2 5 2 3 2 2" xfId="34036"/>
    <cellStyle name="Comma 2 2 6 2 3 2 2" xfId="34037"/>
    <cellStyle name="Comma 2 2 7 2 3 2 2" xfId="34038"/>
    <cellStyle name="Comma 2 2 8 2 3 2 2" xfId="34039"/>
    <cellStyle name="Comma 2 2 9 2 3 2 2" xfId="34040"/>
    <cellStyle name="Comma 3 10 2 3 2 2" xfId="34041"/>
    <cellStyle name="Comma 3 11 2 3 2 2" xfId="34042"/>
    <cellStyle name="Comma 3 12 2 3 2 2" xfId="34043"/>
    <cellStyle name="Comma 3 13 2 3 2 2" xfId="34044"/>
    <cellStyle name="Comma 3 14 2 3 2 2" xfId="34045"/>
    <cellStyle name="Comma 3 15 2 3 2 2" xfId="34046"/>
    <cellStyle name="Comma 3 16 2 3 2 2" xfId="34047"/>
    <cellStyle name="Comma 3 17 2 3 2 2" xfId="34048"/>
    <cellStyle name="Comma 3 18 2 3 2 2" xfId="34049"/>
    <cellStyle name="Comma 3 19 2 3 2 2" xfId="34050"/>
    <cellStyle name="Comma 3 2 2 2 3 2 2" xfId="34051"/>
    <cellStyle name="Comma 3 2 3 2 3 2 2" xfId="34052"/>
    <cellStyle name="Comma 3 2 4 2 3 2 2" xfId="34053"/>
    <cellStyle name="Comma 3 2 5 2 3 2 2" xfId="34054"/>
    <cellStyle name="Comma 3 20 2 3 2 2" xfId="34055"/>
    <cellStyle name="Comma 3 21 2 3 2 2" xfId="34056"/>
    <cellStyle name="Comma 3 3 6 3 2 2" xfId="34057"/>
    <cellStyle name="Comma 3 3 2 2 3 2 2" xfId="34058"/>
    <cellStyle name="Comma 3 3 3 2 3 2 2" xfId="34059"/>
    <cellStyle name="Comma 3 3 4 2 3 2 2" xfId="34060"/>
    <cellStyle name="Comma 3 3 5 2 3 2 2" xfId="34061"/>
    <cellStyle name="Comma 3 4 3 3 2 2" xfId="34062"/>
    <cellStyle name="Comma 3 4 2 2 3 2 2" xfId="34063"/>
    <cellStyle name="Comma 3 5 3 3 2 2" xfId="34064"/>
    <cellStyle name="Comma 3 5 2 2 3 2 2" xfId="34065"/>
    <cellStyle name="Comma 3 6 3 3 2 2" xfId="34066"/>
    <cellStyle name="Comma 3 6 2 2 3 2 2" xfId="34067"/>
    <cellStyle name="Comma 3 7 2 3 2 2" xfId="34068"/>
    <cellStyle name="Comma 3 8 2 3 2 2" xfId="34069"/>
    <cellStyle name="Comma 3 9 2 3 2 2" xfId="34070"/>
    <cellStyle name="Currency 120 2 3 2 2" xfId="34071"/>
    <cellStyle name="Currency 121 2 3 2 2" xfId="34072"/>
    <cellStyle name="Currency 122 2 3 2 2" xfId="34073"/>
    <cellStyle name="Currency 123 2 3 2 2" xfId="34074"/>
    <cellStyle name="Currency 124 2 3 2 2" xfId="34075"/>
    <cellStyle name="Currency 125 2 3 2 2" xfId="34076"/>
    <cellStyle name="Currency 126 2 3 2 2" xfId="34077"/>
    <cellStyle name="Currency 127 2 3 2 2" xfId="34078"/>
    <cellStyle name="Currency 128 2 3 2 2" xfId="34079"/>
    <cellStyle name="Currency 129 2 3 2 2" xfId="34080"/>
    <cellStyle name="Currency 130 2 3 2 2" xfId="34081"/>
    <cellStyle name="Currency 159 2 3 2 2" xfId="34082"/>
    <cellStyle name="Currency 2 27 2 3 2 2" xfId="34083"/>
    <cellStyle name="Currency 2 2 20 2 3 2 2" xfId="34084"/>
    <cellStyle name="Currency 2 2 10 2 3 2 2" xfId="34085"/>
    <cellStyle name="Currency 2 2 11 2 3 2 2" xfId="34086"/>
    <cellStyle name="Currency 2 2 12 2 3 2 2" xfId="34087"/>
    <cellStyle name="Currency 2 2 13 2 3 2 2" xfId="34088"/>
    <cellStyle name="Currency 2 2 14 2 3 2 2" xfId="34089"/>
    <cellStyle name="Currency 2 2 15 2 3 2 2" xfId="34090"/>
    <cellStyle name="Currency 2 2 16 2 3 2 2" xfId="34091"/>
    <cellStyle name="Currency 2 2 17 2 3 2 2" xfId="34092"/>
    <cellStyle name="Currency 2 2 18 2 3 2 2" xfId="34093"/>
    <cellStyle name="Currency 2 2 2 2 2 3 2 2" xfId="34094"/>
    <cellStyle name="Currency 2 2 2 3 2 3 2 2" xfId="34095"/>
    <cellStyle name="Currency 2 2 2 4 2 3 2 2" xfId="34096"/>
    <cellStyle name="Currency 2 2 2 5 2 3 2 2" xfId="34097"/>
    <cellStyle name="Currency 2 2 3 6 3 2 2" xfId="34098"/>
    <cellStyle name="Currency 2 2 3 2 2 3 2 2" xfId="34099"/>
    <cellStyle name="Currency 2 2 3 3 2 3 2 2" xfId="34100"/>
    <cellStyle name="Currency 2 2 3 4 2 3 2 2" xfId="34101"/>
    <cellStyle name="Currency 2 2 3 5 2 3 2 2" xfId="34102"/>
    <cellStyle name="Currency 2 2 4 2 3 2 2" xfId="34103"/>
    <cellStyle name="Currency 2 2 5 2 3 2 2" xfId="34104"/>
    <cellStyle name="Currency 2 2 6 2 3 2 2" xfId="34105"/>
    <cellStyle name="Currency 2 2 7 2 3 2 2" xfId="34106"/>
    <cellStyle name="Currency 2 2 8 2 3 2 2" xfId="34107"/>
    <cellStyle name="Currency 2 2 9 2 3 2 2" xfId="34108"/>
    <cellStyle name="Currency 3 10 2 3 2 2" xfId="34109"/>
    <cellStyle name="Currency 3 11 2 3 2 2" xfId="34110"/>
    <cellStyle name="Currency 3 12 2 3 2 2" xfId="34111"/>
    <cellStyle name="Currency 3 13 2 3 2 2" xfId="34112"/>
    <cellStyle name="Currency 3 14 2 3 2 2" xfId="34113"/>
    <cellStyle name="Currency 3 15 2 3 2 2" xfId="34114"/>
    <cellStyle name="Currency 3 16 2 3 2 2" xfId="34115"/>
    <cellStyle name="Currency 3 17 2 3 2 2" xfId="34116"/>
    <cellStyle name="Currency 3 18 2 3 2 2" xfId="34117"/>
    <cellStyle name="Currency 3 19 2 3 2 2" xfId="34118"/>
    <cellStyle name="Currency 3 2 2 2 3 2 2" xfId="34119"/>
    <cellStyle name="Currency 3 2 3 2 3 2 2" xfId="34120"/>
    <cellStyle name="Currency 3 2 4 2 3 2 2" xfId="34121"/>
    <cellStyle name="Currency 3 2 5 2 3 2 2" xfId="34122"/>
    <cellStyle name="Currency 3 20 2 3 2 2" xfId="34123"/>
    <cellStyle name="Currency 3 21 2 3 2 2" xfId="34124"/>
    <cellStyle name="Currency 3 3 8 3 2 2" xfId="34125"/>
    <cellStyle name="Currency 3 3 2 2 3 2 2" xfId="34126"/>
    <cellStyle name="Currency 3 3 3 2 3 2 2" xfId="34127"/>
    <cellStyle name="Currency 3 3 4 2 3 2 2" xfId="34128"/>
    <cellStyle name="Currency 3 3 5 2 3 2 2" xfId="34129"/>
    <cellStyle name="Currency 3 3 6 2 3 2 2" xfId="34130"/>
    <cellStyle name="Currency 3 4 3 3 2 2" xfId="34131"/>
    <cellStyle name="Currency 3 4 2 2 3 2 2" xfId="34132"/>
    <cellStyle name="Currency 3 5 3 3 2 2" xfId="34133"/>
    <cellStyle name="Currency 3 5 2 2 3 2 2" xfId="34134"/>
    <cellStyle name="Currency 3 6 3 3 2 2" xfId="34135"/>
    <cellStyle name="Currency 3 6 2 2 3 2 2" xfId="34136"/>
    <cellStyle name="Currency 3 7 2 3 2 2" xfId="34137"/>
    <cellStyle name="Currency 3 8 2 3 2 2" xfId="34138"/>
    <cellStyle name="Currency 3 9 2 3 2 2" xfId="34139"/>
    <cellStyle name="Normal 10 3 6 3 2 2" xfId="34140"/>
    <cellStyle name="Normal 10 3 2 5 3 2 2" xfId="34141"/>
    <cellStyle name="Normal 10 3 2 2 3 3 2 2" xfId="34142"/>
    <cellStyle name="Normal 10 3 2 2 2 2 3 2 2" xfId="34143"/>
    <cellStyle name="Normal 10 3 2 3 3 3 2 2" xfId="34144"/>
    <cellStyle name="Normal 10 3 2 3 2 2 3 2 2" xfId="34145"/>
    <cellStyle name="Normal 10 3 2 4 2 3 2 2" xfId="34146"/>
    <cellStyle name="Normal 10 3 3 3 3 2 2" xfId="34147"/>
    <cellStyle name="Normal 10 3 3 2 2 3 2 2" xfId="34148"/>
    <cellStyle name="Normal 10 3 4 3 3 2 2" xfId="34149"/>
    <cellStyle name="Normal 10 3 4 2 2 3 2 2" xfId="34150"/>
    <cellStyle name="Normal 10 3 5 2 3 2 2" xfId="34151"/>
    <cellStyle name="Normal 10 4 5 3 2 2" xfId="34152"/>
    <cellStyle name="Normal 10 4 2 3 3 2 2" xfId="34153"/>
    <cellStyle name="Normal 10 4 2 2 2 3 2 2" xfId="34154"/>
    <cellStyle name="Normal 10 4 3 3 3 2 2" xfId="34155"/>
    <cellStyle name="Normal 10 4 3 2 2 3 2 2" xfId="34156"/>
    <cellStyle name="Normal 10 4 4 2 3 2 2" xfId="34157"/>
    <cellStyle name="Normal 10 5 5 3 2 2" xfId="34158"/>
    <cellStyle name="Normal 10 5 2 3 3 2 2" xfId="34159"/>
    <cellStyle name="Normal 10 5 2 2 2 3 2 2" xfId="34160"/>
    <cellStyle name="Normal 10 5 3 3 3 2 2" xfId="34161"/>
    <cellStyle name="Normal 10 5 3 2 2 3 2 2" xfId="34162"/>
    <cellStyle name="Normal 10 5 4 2 3 2 2" xfId="34163"/>
    <cellStyle name="Normal 10 6 3 3 2 2" xfId="34164"/>
    <cellStyle name="Normal 10 6 2 2 3 2 2" xfId="34165"/>
    <cellStyle name="Normal 10 7 3 3 2 2" xfId="34166"/>
    <cellStyle name="Normal 10 7 2 2 3 2 2" xfId="34167"/>
    <cellStyle name="Normal 10 8 2 2 3 2 2" xfId="34168"/>
    <cellStyle name="Normal 10 9 2 3 2 2" xfId="34169"/>
    <cellStyle name="Normal 11 4 2 3 2 2" xfId="34170"/>
    <cellStyle name="Normal 11 3 2 3 2 2" xfId="34171"/>
    <cellStyle name="Normal 12 8 3 2 2" xfId="34172"/>
    <cellStyle name="Normal 12 2 2 5 3 2 2" xfId="34173"/>
    <cellStyle name="Normal 12 2 2 2 3 3 2 2" xfId="34174"/>
    <cellStyle name="Normal 12 2 2 2 2 2 3 2 2" xfId="34175"/>
    <cellStyle name="Normal 12 2 2 3 3 3 2 2" xfId="34176"/>
    <cellStyle name="Normal 12 2 2 3 2 2 3 2 2" xfId="34177"/>
    <cellStyle name="Normal 12 2 2 4 2 3 2 2" xfId="34178"/>
    <cellStyle name="Normal 12 2 3 3 3 2 2" xfId="34179"/>
    <cellStyle name="Normal 12 2 3 2 2 3 2 2" xfId="34180"/>
    <cellStyle name="Normal 12 2 4 3 3 2 2" xfId="34181"/>
    <cellStyle name="Normal 12 2 4 2 2 3 2 2" xfId="34182"/>
    <cellStyle name="Normal 12 2 5 2 2 3 2 2" xfId="34183"/>
    <cellStyle name="Normal 12 2 6 2 3 2 2" xfId="34184"/>
    <cellStyle name="Normal 12 3 5 3 2 2" xfId="34185"/>
    <cellStyle name="Normal 12 3 2 3 3 2 2" xfId="34186"/>
    <cellStyle name="Normal 12 3 2 2 2 3 2 2" xfId="34187"/>
    <cellStyle name="Normal 12 3 3 3 3 2 2" xfId="34188"/>
    <cellStyle name="Normal 12 3 3 2 2 3 2 2" xfId="34189"/>
    <cellStyle name="Normal 12 3 4 2 3 2 2" xfId="34190"/>
    <cellStyle name="Normal 12 4 5 3 2 2" xfId="34191"/>
    <cellStyle name="Normal 12 4 2 3 3 2 2" xfId="34192"/>
    <cellStyle name="Normal 12 4 2 2 2 3 2 2" xfId="34193"/>
    <cellStyle name="Normal 12 4 3 3 3 2 2" xfId="34194"/>
    <cellStyle name="Normal 12 4 3 2 2 3 2 2" xfId="34195"/>
    <cellStyle name="Normal 12 4 4 2 3 2 2" xfId="34196"/>
    <cellStyle name="Normal 12 5 3 3 2 2" xfId="34197"/>
    <cellStyle name="Normal 12 5 2 2 3 2 2" xfId="34198"/>
    <cellStyle name="Normal 12 6 3 3 2 2" xfId="34199"/>
    <cellStyle name="Normal 12 6 2 2 3 2 2" xfId="34200"/>
    <cellStyle name="Normal 12 7 2 3 2 2" xfId="34201"/>
    <cellStyle name="Normal 15 6 3 2 2" xfId="34202"/>
    <cellStyle name="Normal 15 3 2 3 2 2" xfId="34203"/>
    <cellStyle name="Normal 16 2 5 3 2 2" xfId="34204"/>
    <cellStyle name="Normal 16 2 2 3 3 2 2" xfId="34205"/>
    <cellStyle name="Normal 16 2 2 2 2 3 2 2" xfId="34206"/>
    <cellStyle name="Normal 16 2 3 3 3 2 2" xfId="34207"/>
    <cellStyle name="Normal 16 2 3 2 2 3 2 2" xfId="34208"/>
    <cellStyle name="Normal 16 2 4 2 3 2 2" xfId="34209"/>
    <cellStyle name="Normal 16 3 3 3 2 2" xfId="34210"/>
    <cellStyle name="Normal 16 3 2 2 3 2 2" xfId="34211"/>
    <cellStyle name="Normal 16 4 3 3 2 2" xfId="34212"/>
    <cellStyle name="Normal 16 4 2 2 3 2 2" xfId="34213"/>
    <cellStyle name="Normal 16 5 2 2 3 2 2" xfId="34214"/>
    <cellStyle name="Normal 16 6 2 3 2 2" xfId="34215"/>
    <cellStyle name="Normal 17 2 5 3 2 2" xfId="34216"/>
    <cellStyle name="Normal 17 2 2 3 3 2 2" xfId="34217"/>
    <cellStyle name="Normal 17 2 2 2 2 3 2 2" xfId="34218"/>
    <cellStyle name="Normal 17 2 3 3 3 2 2" xfId="34219"/>
    <cellStyle name="Normal 17 2 3 2 2 3 2 2" xfId="34220"/>
    <cellStyle name="Normal 17 2 4 2 3 2 2" xfId="34221"/>
    <cellStyle name="Normal 17 3 3 3 2 2" xfId="34222"/>
    <cellStyle name="Normal 17 3 2 2 3 2 2" xfId="34223"/>
    <cellStyle name="Normal 17 4 3 3 2 2" xfId="34224"/>
    <cellStyle name="Normal 17 4 2 2 3 2 2" xfId="34225"/>
    <cellStyle name="Normal 17 5 2 2 3 2 2" xfId="34226"/>
    <cellStyle name="Normal 17 6 2 3 2 2" xfId="34227"/>
    <cellStyle name="Normal 2 10 3 2 3 2 2" xfId="34228"/>
    <cellStyle name="Normal 2 11 3 2 3 2 2" xfId="34229"/>
    <cellStyle name="Normal 2 12 3 2 3 2 2" xfId="34230"/>
    <cellStyle name="Normal 2 13 3 2 3 2 2" xfId="34231"/>
    <cellStyle name="Normal 2 14 3 2 3 2 2" xfId="34232"/>
    <cellStyle name="Normal 2 15 3 2 3 2 2" xfId="34233"/>
    <cellStyle name="Normal 2 16 3 2 3 2 2" xfId="34234"/>
    <cellStyle name="Normal 2 17 3 2 3 2 2" xfId="34235"/>
    <cellStyle name="Normal 2 18 3 2 3 2 2" xfId="34236"/>
    <cellStyle name="Normal 2 19 3 2 3 2 2" xfId="34237"/>
    <cellStyle name="Normal 2 2 10 2 3 2 2" xfId="34238"/>
    <cellStyle name="Normal 2 2 11 2 3 2 2" xfId="34239"/>
    <cellStyle name="Normal 2 2 12 2 3 2 2" xfId="34240"/>
    <cellStyle name="Normal 2 2 13 2 3 2 2" xfId="34241"/>
    <cellStyle name="Normal 2 2 14 2 3 2 2" xfId="34242"/>
    <cellStyle name="Normal 2 2 15 2 3 2 2" xfId="34243"/>
    <cellStyle name="Normal 2 2 16 2 3 2 2" xfId="34244"/>
    <cellStyle name="Normal 2 2 17 2 3 2 2" xfId="34245"/>
    <cellStyle name="Normal 2 2 18 2 3 2 2" xfId="34246"/>
    <cellStyle name="Normal 2 2 19 2 3 2 2" xfId="34247"/>
    <cellStyle name="Normal 2 2 2 2 6 3 2 2" xfId="34248"/>
    <cellStyle name="Normal 2 2 2 2 2 3 3 2 2" xfId="34249"/>
    <cellStyle name="Normal 2 2 2 2 2 2 2 3 2 2" xfId="34250"/>
    <cellStyle name="Normal 2 2 2 2 3 2 3 2 2" xfId="34251"/>
    <cellStyle name="Normal 2 2 2 2 4 2 3 2 2" xfId="34252"/>
    <cellStyle name="Normal 2 2 2 2 5 2 3 2 2" xfId="34253"/>
    <cellStyle name="Normal 2 2 20 2 3 2 2" xfId="34254"/>
    <cellStyle name="Normal 2 2 21 2 3 2 2" xfId="34255"/>
    <cellStyle name="Normal 2 2 22 2 3 2 2" xfId="34256"/>
    <cellStyle name="Normal 2 2 3 9 3 2 2" xfId="34257"/>
    <cellStyle name="Normal 2 2 3 2 2 3 2 2" xfId="34258"/>
    <cellStyle name="Normal 2 2 3 3 2 3 2 2" xfId="34259"/>
    <cellStyle name="Normal 2 2 3 4 2 3 2 2" xfId="34260"/>
    <cellStyle name="Normal 2 2 3 5 2 3 2 2" xfId="34261"/>
    <cellStyle name="Normal 2 2 3 6 2 3 2 2" xfId="34262"/>
    <cellStyle name="Normal 2 2 4 5 3 2 2" xfId="34263"/>
    <cellStyle name="Normal 2 2 4 2 2 3 2 2" xfId="34264"/>
    <cellStyle name="Normal 2 2 5 4 3 2 2" xfId="34265"/>
    <cellStyle name="Normal 2 2 5 2 2 3 2 2" xfId="34266"/>
    <cellStyle name="Normal 2 2 6 2 3 2 2" xfId="34267"/>
    <cellStyle name="Normal 2 2 7 2 3 2 2" xfId="34268"/>
    <cellStyle name="Normal 2 2 8 2 3 2 2" xfId="34269"/>
    <cellStyle name="Normal 2 2 9 2 3 2 2" xfId="34270"/>
    <cellStyle name="Normal 2 20 2 3 2 2" xfId="34271"/>
    <cellStyle name="Normal 2 3 2 3 3 2 2" xfId="34272"/>
    <cellStyle name="Normal 2 3 3 2 3 2 2" xfId="34273"/>
    <cellStyle name="Normal 2 3 4 2 3 2 2" xfId="34274"/>
    <cellStyle name="Normal 2 3 5 2 3 2 2" xfId="34275"/>
    <cellStyle name="Normal 2 3 6 2 3 2 2" xfId="34276"/>
    <cellStyle name="Normal 2 4 5 2 3 2 2" xfId="34277"/>
    <cellStyle name="Normal 2 4 2 2 3 2 2" xfId="34278"/>
    <cellStyle name="Normal 2 5 3 2 3 2 2" xfId="34279"/>
    <cellStyle name="Normal 2 6 3 2 3 2 2" xfId="34280"/>
    <cellStyle name="Normal 2 7 3 2 3 2 2" xfId="34281"/>
    <cellStyle name="Normal 2 8 3 2 3 2 2" xfId="34282"/>
    <cellStyle name="Normal 2 9 3 2 3 2 2" xfId="34283"/>
    <cellStyle name="Normal 21 9 3 2 2" xfId="34284"/>
    <cellStyle name="Normal 21 2 7 3 2 2" xfId="34285"/>
    <cellStyle name="Normal 21 2 2 2 3 2 2" xfId="34286"/>
    <cellStyle name="Normal 21 2 3 2 3 2 2" xfId="34287"/>
    <cellStyle name="Normal 21 2 4 2 3 2 2" xfId="34288"/>
    <cellStyle name="Normal 21 2 5 2 3 2 2" xfId="34289"/>
    <cellStyle name="Normal 21 2 6 2 3 2 2" xfId="34290"/>
    <cellStyle name="Normal 21 3 3 3 2 2" xfId="34291"/>
    <cellStyle name="Normal 21 3 2 2 3 2 2" xfId="34292"/>
    <cellStyle name="Normal 21 4 2 3 2 2" xfId="34293"/>
    <cellStyle name="Normal 21 5 2 3 2 2" xfId="34294"/>
    <cellStyle name="Normal 21 6 2 3 2 2" xfId="34295"/>
    <cellStyle name="Normal 21 8 2 3 2 2" xfId="34296"/>
    <cellStyle name="Normal 22 8 3 2 2" xfId="34297"/>
    <cellStyle name="Normal 22 2 7 3 2 2" xfId="34298"/>
    <cellStyle name="Normal 22 2 2 2 3 2 2" xfId="34299"/>
    <cellStyle name="Normal 22 2 3 2 3 2 2" xfId="34300"/>
    <cellStyle name="Normal 22 2 4 2 3 2 2" xfId="34301"/>
    <cellStyle name="Normal 22 2 5 2 3 2 2" xfId="34302"/>
    <cellStyle name="Normal 22 3 2 3 2 2" xfId="34303"/>
    <cellStyle name="Normal 22 4 2 3 2 2" xfId="34304"/>
    <cellStyle name="Normal 22 5 2 3 2 2" xfId="34305"/>
    <cellStyle name="Normal 22 6 2 3 2 2" xfId="34306"/>
    <cellStyle name="Normal 23 8 3 2 2" xfId="34307"/>
    <cellStyle name="Normal 23 2 6 3 2 2" xfId="34308"/>
    <cellStyle name="Normal 23 2 2 2 3 2 2" xfId="34309"/>
    <cellStyle name="Normal 23 2 3 2 3 2 2" xfId="34310"/>
    <cellStyle name="Normal 23 2 4 2 3 2 2" xfId="34311"/>
    <cellStyle name="Normal 23 2 5 2 3 2 2" xfId="34312"/>
    <cellStyle name="Normal 23 3 2 3 2 2" xfId="34313"/>
    <cellStyle name="Normal 23 4 2 3 2 2" xfId="34314"/>
    <cellStyle name="Normal 23 5 2 3 2 2" xfId="34315"/>
    <cellStyle name="Normal 23 6 2 3 2 2" xfId="34316"/>
    <cellStyle name="Normal 24 8 3 2 2" xfId="34317"/>
    <cellStyle name="Normal 24 2 6 3 2 2" xfId="34318"/>
    <cellStyle name="Normal 24 2 2 2 3 2 2" xfId="34319"/>
    <cellStyle name="Normal 24 2 3 2 3 2 2" xfId="34320"/>
    <cellStyle name="Normal 24 2 4 2 3 2 2" xfId="34321"/>
    <cellStyle name="Normal 24 2 5 2 3 2 2" xfId="34322"/>
    <cellStyle name="Normal 24 3 2 3 2 2" xfId="34323"/>
    <cellStyle name="Normal 24 4 2 3 2 2" xfId="34324"/>
    <cellStyle name="Normal 24 5 2 3 2 2" xfId="34325"/>
    <cellStyle name="Normal 24 6 2 3 2 2" xfId="34326"/>
    <cellStyle name="Normal 26 8 3 2 2" xfId="34327"/>
    <cellStyle name="Normal 26 2 6 3 2 2" xfId="34328"/>
    <cellStyle name="Normal 26 2 2 2 3 2 2" xfId="34329"/>
    <cellStyle name="Normal 26 2 3 2 3 2 2" xfId="34330"/>
    <cellStyle name="Normal 26 2 4 2 3 2 2" xfId="34331"/>
    <cellStyle name="Normal 26 2 5 2 3 2 2" xfId="34332"/>
    <cellStyle name="Normal 26 3 2 3 2 2" xfId="34333"/>
    <cellStyle name="Normal 26 4 2 3 2 2" xfId="34334"/>
    <cellStyle name="Normal 26 5 2 3 2 2" xfId="34335"/>
    <cellStyle name="Normal 26 6 2 3 2 2" xfId="34336"/>
    <cellStyle name="Normal 3 10 2 3 2 2" xfId="34337"/>
    <cellStyle name="Normal 3 11 2 3 2 2" xfId="34338"/>
    <cellStyle name="Normal 3 12 2 3 2 2" xfId="34339"/>
    <cellStyle name="Normal 3 13 2 3 2 2" xfId="34340"/>
    <cellStyle name="Normal 3 14 2 3 2 2" xfId="34341"/>
    <cellStyle name="Normal 3 15 2 3 2 2" xfId="34342"/>
    <cellStyle name="Normal 3 16 2 3 2 2" xfId="34343"/>
    <cellStyle name="Normal 3 17 2 3 2 2" xfId="34344"/>
    <cellStyle name="Normal 3 18 2 3 2 2" xfId="34345"/>
    <cellStyle name="Normal 3 19 2 3 2 2" xfId="34346"/>
    <cellStyle name="Normal 3 2 2 2 3 2 2" xfId="34347"/>
    <cellStyle name="Normal 3 2 3 2 3 2 2" xfId="34348"/>
    <cellStyle name="Normal 3 2 4 2 3 2 2" xfId="34349"/>
    <cellStyle name="Normal 3 2 5 2 3 2 2" xfId="34350"/>
    <cellStyle name="Normal 3 2 6 2 3 2 2" xfId="34351"/>
    <cellStyle name="Normal 3 20 2 3 2 2" xfId="34352"/>
    <cellStyle name="Normal 3 21 2 3 2 2" xfId="34353"/>
    <cellStyle name="Normal 3 22 2 3 2 2" xfId="34354"/>
    <cellStyle name="Normal 3 23 2 3 2 2" xfId="34355"/>
    <cellStyle name="Normal 3 24 2 3 2 2" xfId="34356"/>
    <cellStyle name="Normal 3 3 5 3 2 2" xfId="34357"/>
    <cellStyle name="Normal 3 3 2 2 3 2 2" xfId="34358"/>
    <cellStyle name="Normal 3 3 3 2 3 2 2" xfId="34359"/>
    <cellStyle name="Normal 3 4 3 3 2 2" xfId="34360"/>
    <cellStyle name="Normal 3 4 2 2 3 2 2" xfId="34361"/>
    <cellStyle name="Normal 3 5 3 3 2 2" xfId="34362"/>
    <cellStyle name="Normal 3 5 2 2 3 2 2" xfId="34363"/>
    <cellStyle name="Normal 3 6 2 3 2 2" xfId="34364"/>
    <cellStyle name="Normal 3 7 2 3 2 2" xfId="34365"/>
    <cellStyle name="Normal 3 8 2 3 2 2" xfId="34366"/>
    <cellStyle name="Normal 3 9 2 3 2 2" xfId="34367"/>
    <cellStyle name="Normal 4 2 10 2 3 2 2" xfId="34368"/>
    <cellStyle name="Normal 4 2 11 2 3 2 2" xfId="34369"/>
    <cellStyle name="Normal 4 2 12 2 3 2 2" xfId="34370"/>
    <cellStyle name="Normal 4 2 13 2 3 2 2" xfId="34371"/>
    <cellStyle name="Normal 4 2 14 2 3 2 2" xfId="34372"/>
    <cellStyle name="Normal 4 2 15 2 3 2 2" xfId="34373"/>
    <cellStyle name="Normal 4 2 16 2 3 2 2" xfId="34374"/>
    <cellStyle name="Normal 4 2 17 2 3 2 2" xfId="34375"/>
    <cellStyle name="Normal 4 2 18 2 3 2 2" xfId="34376"/>
    <cellStyle name="Normal 4 2 19 2 3 2 2" xfId="34377"/>
    <cellStyle name="Normal 4 2 2 6 3 2 2" xfId="34378"/>
    <cellStyle name="Normal 4 2 2 2 2 3 2 2" xfId="34379"/>
    <cellStyle name="Normal 4 2 2 3 2 3 2 2" xfId="34380"/>
    <cellStyle name="Normal 4 2 2 4 2 3 2 2" xfId="34381"/>
    <cellStyle name="Normal 4 2 2 5 2 3 2 2" xfId="34382"/>
    <cellStyle name="Normal 4 2 20 2 3 2 2" xfId="34383"/>
    <cellStyle name="Normal 4 2 21 2 3 2 2" xfId="34384"/>
    <cellStyle name="Normal 4 2 22 2 3 2 2" xfId="34385"/>
    <cellStyle name="Normal 4 2 23 2 3 2 2" xfId="34386"/>
    <cellStyle name="Normal 4 2 24 2 3 2 2" xfId="34387"/>
    <cellStyle name="Normal 4 2 3 3 3 2 2" xfId="34388"/>
    <cellStyle name="Normal 4 2 3 2 2 3 2 2" xfId="34389"/>
    <cellStyle name="Normal 4 2 4 3 3 2 2" xfId="34390"/>
    <cellStyle name="Normal 4 2 4 2 2 3 2 2" xfId="34391"/>
    <cellStyle name="Normal 4 2 5 3 3 2 2" xfId="34392"/>
    <cellStyle name="Normal 4 2 5 2 2 3 2 2" xfId="34393"/>
    <cellStyle name="Normal 4 2 6 2 3 2 2" xfId="34394"/>
    <cellStyle name="Normal 4 2 7 2 3 2 2" xfId="34395"/>
    <cellStyle name="Normal 4 2 8 2 3 2 2" xfId="34396"/>
    <cellStyle name="Normal 4 2 9 2 3 2 2" xfId="34397"/>
    <cellStyle name="Normal 4 3 7 3 2 2" xfId="34398"/>
    <cellStyle name="Normal 4 3 2 6 3 2 2" xfId="34399"/>
    <cellStyle name="Normal 4 3 2 2 5 3 2 2" xfId="34400"/>
    <cellStyle name="Normal 4 3 2 2 2 3 3 2 2" xfId="34401"/>
    <cellStyle name="Normal 4 3 2 2 2 2 2 3 2 2" xfId="34402"/>
    <cellStyle name="Normal 4 3 2 2 3 3 3 2 2" xfId="34403"/>
    <cellStyle name="Normal 4 3 2 2 3 2 2 3 2 2" xfId="34404"/>
    <cellStyle name="Normal 4 3 2 2 4 2 3 2 2" xfId="34405"/>
    <cellStyle name="Normal 4 3 2 3 3 3 2 2" xfId="34406"/>
    <cellStyle name="Normal 4 3 2 3 2 2 3 2 2" xfId="34407"/>
    <cellStyle name="Normal 4 3 2 4 3 3 2 2" xfId="34408"/>
    <cellStyle name="Normal 4 3 2 4 2 2 3 2 2" xfId="34409"/>
    <cellStyle name="Normal 4 3 2 5 2 3 2 2" xfId="34410"/>
    <cellStyle name="Normal 4 3 3 5 3 2 2" xfId="34411"/>
    <cellStyle name="Normal 4 3 3 2 3 3 2 2" xfId="34412"/>
    <cellStyle name="Normal 4 3 3 2 2 2 3 2 2" xfId="34413"/>
    <cellStyle name="Normal 4 3 3 3 3 3 2 2" xfId="34414"/>
    <cellStyle name="Normal 4 3 3 3 2 2 3 2 2" xfId="34415"/>
    <cellStyle name="Normal 4 3 3 4 2 3 2 2" xfId="34416"/>
    <cellStyle name="Normal 4 3 4 3 3 2 2" xfId="34417"/>
    <cellStyle name="Normal 4 3 4 2 2 3 2 2" xfId="34418"/>
    <cellStyle name="Normal 4 3 5 3 3 2 2" xfId="34419"/>
    <cellStyle name="Normal 4 3 5 2 2 3 2 2" xfId="34420"/>
    <cellStyle name="Normal 4 3 6 2 3 2 2" xfId="34421"/>
    <cellStyle name="Normal 4 4 4 3 2 2" xfId="34422"/>
    <cellStyle name="Normal 4 4 2 2 3 2 2" xfId="34423"/>
    <cellStyle name="Normal 4 5 2 3 2 2" xfId="34424"/>
    <cellStyle name="Normal 4 6 2 3 2 2" xfId="34425"/>
    <cellStyle name="Normal 4 7 2 3 2 2" xfId="34426"/>
    <cellStyle name="Normal 4 8 2 3 2 2" xfId="34427"/>
    <cellStyle name="Normal 41 2 2 3 2 2" xfId="34428"/>
    <cellStyle name="Normal 46 2 3 2 2" xfId="34429"/>
    <cellStyle name="Normal 5 28 2 3 2 2" xfId="34430"/>
    <cellStyle name="Normal 5 2 7 3 2 2" xfId="34431"/>
    <cellStyle name="Normal 5 2 2 2 2 2 3 2 2" xfId="34432"/>
    <cellStyle name="Normal 5 2 2 3 2 3 2 2" xfId="34433"/>
    <cellStyle name="Normal 5 2 3 2 2 2 3 2 2" xfId="34434"/>
    <cellStyle name="Normal 5 2 3 3 2 3 2 2" xfId="34435"/>
    <cellStyle name="Normal 5 2 4 2 2 3 2 2" xfId="34436"/>
    <cellStyle name="Normal 5 2 6 2 3 2 2" xfId="34437"/>
    <cellStyle name="Normal 5 24 2 3 2 2" xfId="34438"/>
    <cellStyle name="Normal 5 3 3 3 2 2" xfId="34439"/>
    <cellStyle name="Normal 5 4 3 3 2 2" xfId="34440"/>
    <cellStyle name="Normal 5 5 3 3 2 2" xfId="34441"/>
    <cellStyle name="Normal 5 6 3 3 2 2" xfId="34442"/>
    <cellStyle name="Normal 5 7 3 3 2 2" xfId="34443"/>
    <cellStyle name="Normal 7 25 2 3 2 2" xfId="34444"/>
    <cellStyle name="Normal 7 10 2 3 2 2" xfId="34445"/>
    <cellStyle name="Normal 7 11 2 3 2 2" xfId="34446"/>
    <cellStyle name="Normal 7 12 2 3 2 2" xfId="34447"/>
    <cellStyle name="Normal 7 13 2 3 2 2" xfId="34448"/>
    <cellStyle name="Normal 7 14 2 3 2 2" xfId="34449"/>
    <cellStyle name="Normal 7 15 2 3 2 2" xfId="34450"/>
    <cellStyle name="Normal 7 16 2 3 2 2" xfId="34451"/>
    <cellStyle name="Normal 7 17 2 3 2 2" xfId="34452"/>
    <cellStyle name="Normal 7 18 2 3 2 2" xfId="34453"/>
    <cellStyle name="Normal 7 19 2 3 2 2" xfId="34454"/>
    <cellStyle name="Normal 7 2 6 3 2 2" xfId="34455"/>
    <cellStyle name="Normal 7 2 2 2 3 2 2" xfId="34456"/>
    <cellStyle name="Normal 7 2 3 2 3 2 2" xfId="34457"/>
    <cellStyle name="Normal 7 2 4 2 3 2 2" xfId="34458"/>
    <cellStyle name="Normal 7 2 5 2 3 2 2" xfId="34459"/>
    <cellStyle name="Normal 7 20 2 3 2 2" xfId="34460"/>
    <cellStyle name="Normal 7 22 2 3 2 2" xfId="34461"/>
    <cellStyle name="Normal 7 3 6 3 2 2" xfId="34462"/>
    <cellStyle name="Normal 7 3 2 2 3 2 2" xfId="34463"/>
    <cellStyle name="Normal 7 3 3 2 3 2 2" xfId="34464"/>
    <cellStyle name="Normal 7 3 4 2 3 2 2" xfId="34465"/>
    <cellStyle name="Normal 7 3 5 2 3 2 2" xfId="34466"/>
    <cellStyle name="Normal 7 4 2 3 2 2" xfId="34467"/>
    <cellStyle name="Normal 7 5 2 3 2 2" xfId="34468"/>
    <cellStyle name="Normal 7 6 2 3 2 2" xfId="34469"/>
    <cellStyle name="Normal 7 7 2 3 2 2" xfId="34470"/>
    <cellStyle name="Normal 7 8 2 3 2 2" xfId="34471"/>
    <cellStyle name="Normal 7 9 2 3 2 2" xfId="34472"/>
    <cellStyle name="Normal 8 25 2 3 2 2" xfId="34473"/>
    <cellStyle name="Normal 8 10 2 3 2 2" xfId="34474"/>
    <cellStyle name="Normal 8 11 2 3 2 2" xfId="34475"/>
    <cellStyle name="Normal 8 12 2 3 2 2" xfId="34476"/>
    <cellStyle name="Normal 8 13 2 3 2 2" xfId="34477"/>
    <cellStyle name="Normal 8 14 2 3 2 2" xfId="34478"/>
    <cellStyle name="Normal 8 15 2 3 2 2" xfId="34479"/>
    <cellStyle name="Normal 8 16 2 3 2 2" xfId="34480"/>
    <cellStyle name="Normal 8 17 2 3 2 2" xfId="34481"/>
    <cellStyle name="Normal 8 18 2 3 2 2" xfId="34482"/>
    <cellStyle name="Normal 8 19 2 3 2 2" xfId="34483"/>
    <cellStyle name="Normal 8 2 6 2 3 2 2" xfId="34484"/>
    <cellStyle name="Normal 8 2 2 2 2 3 2 2" xfId="34485"/>
    <cellStyle name="Normal 8 2 3 2 3 2 2" xfId="34486"/>
    <cellStyle name="Normal 8 2 4 2 3 2 2" xfId="34487"/>
    <cellStyle name="Normal 8 2 5 2 3 2 2" xfId="34488"/>
    <cellStyle name="Normal 8 20 2 3 2 2" xfId="34489"/>
    <cellStyle name="Normal 8 22 2 3 2 2" xfId="34490"/>
    <cellStyle name="Normal 8 3 6 2 3 2 2" xfId="34491"/>
    <cellStyle name="Normal 8 3 2 2 3 2 2" xfId="34492"/>
    <cellStyle name="Normal 8 3 3 2 3 2 2" xfId="34493"/>
    <cellStyle name="Normal 8 3 4 2 3 2 2" xfId="34494"/>
    <cellStyle name="Normal 8 3 5 2 3 2 2" xfId="34495"/>
    <cellStyle name="Normal 8 4 2 3 2 2" xfId="34496"/>
    <cellStyle name="Normal 8 5 2 3 2 2" xfId="34497"/>
    <cellStyle name="Normal 8 6 2 3 2 2" xfId="34498"/>
    <cellStyle name="Normal 8 7 2 3 2 2" xfId="34499"/>
    <cellStyle name="Normal 8 8 2 3 2 2" xfId="34500"/>
    <cellStyle name="Normal 8 9 2 3 2 2" xfId="34501"/>
    <cellStyle name="Normal 9 25 2 3 2 2" xfId="34502"/>
    <cellStyle name="Normal 9 10 2 3 2 2" xfId="34503"/>
    <cellStyle name="Normal 9 11 2 3 2 2" xfId="34504"/>
    <cellStyle name="Normal 9 12 2 3 2 2" xfId="34505"/>
    <cellStyle name="Normal 9 13 2 3 2 2" xfId="34506"/>
    <cellStyle name="Normal 9 14 2 3 2 2" xfId="34507"/>
    <cellStyle name="Normal 9 15 2 3 2 2" xfId="34508"/>
    <cellStyle name="Normal 9 16 2 3 2 2" xfId="34509"/>
    <cellStyle name="Normal 9 17 2 3 2 2" xfId="34510"/>
    <cellStyle name="Normal 9 18 2 3 2 2" xfId="34511"/>
    <cellStyle name="Normal 9 19 2 3 2 2" xfId="34512"/>
    <cellStyle name="Normal 9 2 6 3 2 2" xfId="34513"/>
    <cellStyle name="Normal 9 2 2 2 3 2 2" xfId="34514"/>
    <cellStyle name="Normal 9 2 3 2 3 2 2" xfId="34515"/>
    <cellStyle name="Normal 9 2 4 2 3 2 2" xfId="34516"/>
    <cellStyle name="Normal 9 2 5 2 3 2 2" xfId="34517"/>
    <cellStyle name="Normal 9 20 2 3 2 2" xfId="34518"/>
    <cellStyle name="Normal 9 22 2 3 2 2" xfId="34519"/>
    <cellStyle name="Normal 9 3 6 3 2 2" xfId="34520"/>
    <cellStyle name="Normal 9 3 2 2 3 2 2" xfId="34521"/>
    <cellStyle name="Normal 9 3 3 2 3 2 2" xfId="34522"/>
    <cellStyle name="Normal 9 3 4 2 3 2 2" xfId="34523"/>
    <cellStyle name="Normal 9 3 5 2 3 2 2" xfId="34524"/>
    <cellStyle name="Normal 9 4 2 3 2 2" xfId="34525"/>
    <cellStyle name="Normal 9 5 2 3 2 2" xfId="34526"/>
    <cellStyle name="Normal 9 6 2 3 2 2" xfId="34527"/>
    <cellStyle name="Normal 9 7 2 3 2 2" xfId="34528"/>
    <cellStyle name="Normal 9 8 2 3 2 2" xfId="34529"/>
    <cellStyle name="Normal 9 9 2 3 2 2" xfId="34530"/>
    <cellStyle name="Note 2 2 3 2 2" xfId="34531"/>
    <cellStyle name="Note 3 2 3 2 2" xfId="34532"/>
    <cellStyle name="Note 4 2 3 2 2" xfId="34533"/>
    <cellStyle name="Note 7 2 3 2 2" xfId="34534"/>
    <cellStyle name="Percent 120 2 3 2 2" xfId="34535"/>
    <cellStyle name="Percent 121 2 3 2 2" xfId="34536"/>
    <cellStyle name="Percent 122 2 3 2 2" xfId="34537"/>
    <cellStyle name="Percent 123 2 3 2 2" xfId="34538"/>
    <cellStyle name="Percent 124 2 3 2 2" xfId="34539"/>
    <cellStyle name="Percent 125 2 3 2 2" xfId="34540"/>
    <cellStyle name="Percent 126 2 3 2 2" xfId="34541"/>
    <cellStyle name="Percent 127 2 3 2 2" xfId="34542"/>
    <cellStyle name="Percent 128 2 3 2 2" xfId="34543"/>
    <cellStyle name="Percent 129 2 3 2 2" xfId="34544"/>
    <cellStyle name="Percent 130 2 3 2 2" xfId="34545"/>
    <cellStyle name="Percent 159 2 3 2 2" xfId="34546"/>
    <cellStyle name="Percent 2 22 2 3 2 2" xfId="34547"/>
    <cellStyle name="Percent 25 2 3 3 2 2" xfId="34548"/>
    <cellStyle name="Percent 25 2 2 2 3 2 2" xfId="34549"/>
    <cellStyle name="Percent 25 3 3 3 2 2" xfId="34550"/>
    <cellStyle name="Percent 25 3 2 2 3 2 2" xfId="34551"/>
    <cellStyle name="Percent 25 4 2 2 3 2 2" xfId="34552"/>
    <cellStyle name="Percent 25 5 2 3 2 2" xfId="34553"/>
    <cellStyle name="Percent 26 2 3 3 2 2" xfId="34554"/>
    <cellStyle name="Percent 26 2 2 2 3 2 2" xfId="34555"/>
    <cellStyle name="Percent 26 3 3 3 2 2" xfId="34556"/>
    <cellStyle name="Percent 26 3 2 2 3 2 2" xfId="34557"/>
    <cellStyle name="Percent 26 4 2 2 3 2 2" xfId="34558"/>
    <cellStyle name="Percent 26 5 2 3 2 2" xfId="34559"/>
    <cellStyle name="Percent 27 2 3 3 2 2" xfId="34560"/>
    <cellStyle name="Percent 27 2 2 2 3 2 2" xfId="34561"/>
    <cellStyle name="Percent 27 3 3 3 2 2" xfId="34562"/>
    <cellStyle name="Percent 27 3 2 2 3 2 2" xfId="34563"/>
    <cellStyle name="Percent 27 4 2 2 3 2 2" xfId="34564"/>
    <cellStyle name="Percent 27 5 2 3 2 2" xfId="34565"/>
    <cellStyle name="Percent 28 2 3 3 2 2" xfId="34566"/>
    <cellStyle name="Percent 28 2 2 2 3 2 2" xfId="34567"/>
    <cellStyle name="Percent 28 3 3 3 2 2" xfId="34568"/>
    <cellStyle name="Percent 28 3 2 2 3 2 2" xfId="34569"/>
    <cellStyle name="Percent 28 4 2 2 3 2 2" xfId="34570"/>
    <cellStyle name="Percent 28 5 2 3 2 2" xfId="34571"/>
    <cellStyle name="Percent 29 2 3 3 2 2" xfId="34572"/>
    <cellStyle name="Percent 29 2 2 2 3 2 2" xfId="34573"/>
    <cellStyle name="Percent 29 3 3 3 2 2" xfId="34574"/>
    <cellStyle name="Percent 29 3 2 2 3 2 2" xfId="34575"/>
    <cellStyle name="Percent 29 4 2 2 3 2 2" xfId="34576"/>
    <cellStyle name="Percent 29 5 2 3 2 2" xfId="34577"/>
    <cellStyle name="Percent 3 10 2 3 2 2" xfId="34578"/>
    <cellStyle name="Percent 3 11 2 3 2 2" xfId="34579"/>
    <cellStyle name="Percent 3 12 2 3 2 2" xfId="34580"/>
    <cellStyle name="Percent 3 13 2 3 2 2" xfId="34581"/>
    <cellStyle name="Percent 3 14 2 3 2 2" xfId="34582"/>
    <cellStyle name="Percent 3 15 2 3 2 2" xfId="34583"/>
    <cellStyle name="Percent 3 16 2 3 2 2" xfId="34584"/>
    <cellStyle name="Percent 3 17 2 3 2 2" xfId="34585"/>
    <cellStyle name="Percent 3 18 2 3 2 2" xfId="34586"/>
    <cellStyle name="Percent 3 19 2 3 2 2" xfId="34587"/>
    <cellStyle name="Percent 3 2 23 3 2 2" xfId="34588"/>
    <cellStyle name="Percent 3 2 10 2 3 2 2" xfId="34589"/>
    <cellStyle name="Percent 3 2 11 2 3 2 2" xfId="34590"/>
    <cellStyle name="Percent 3 2 12 2 3 2 2" xfId="34591"/>
    <cellStyle name="Percent 3 2 13 2 3 2 2" xfId="34592"/>
    <cellStyle name="Percent 3 2 14 2 3 2 2" xfId="34593"/>
    <cellStyle name="Percent 3 2 15 2 3 2 2" xfId="34594"/>
    <cellStyle name="Percent 3 2 16 2 3 2 2" xfId="34595"/>
    <cellStyle name="Percent 3 2 17 2 3 2 2" xfId="34596"/>
    <cellStyle name="Percent 3 2 18 2 3 2 2" xfId="34597"/>
    <cellStyle name="Percent 3 2 19 2 3 2 2" xfId="34598"/>
    <cellStyle name="Percent 3 2 2 2 2 3 2 2" xfId="34599"/>
    <cellStyle name="Percent 3 2 2 3 2 3 2 2" xfId="34600"/>
    <cellStyle name="Percent 3 2 2 4 2 3 2 2" xfId="34601"/>
    <cellStyle name="Percent 3 2 2 5 2 3 2 2" xfId="34602"/>
    <cellStyle name="Percent 3 2 20 2 3 2 2" xfId="34603"/>
    <cellStyle name="Percent 3 2 21 2 2 3 2 2" xfId="34604"/>
    <cellStyle name="Percent 3 2 3 6 3 2 2" xfId="34605"/>
    <cellStyle name="Percent 3 2 3 2 2 3 2 2" xfId="34606"/>
    <cellStyle name="Percent 3 2 3 3 2 3 2 2" xfId="34607"/>
    <cellStyle name="Percent 3 2 3 4 2 3 2 2" xfId="34608"/>
    <cellStyle name="Percent 3 2 3 5 2 3 2 2" xfId="34609"/>
    <cellStyle name="Percent 3 2 4 3 3 2 2" xfId="34610"/>
    <cellStyle name="Percent 3 2 4 2 2 3 2 2" xfId="34611"/>
    <cellStyle name="Percent 3 2 5 3 3 2 2" xfId="34612"/>
    <cellStyle name="Percent 3 2 5 2 2 3 2 2" xfId="34613"/>
    <cellStyle name="Percent 3 2 6 3 3 2 2" xfId="34614"/>
    <cellStyle name="Percent 3 2 6 2 2 3 2 2" xfId="34615"/>
    <cellStyle name="Percent 3 2 7 2 3 2 2" xfId="34616"/>
    <cellStyle name="Percent 3 2 8 2 3 2 2" xfId="34617"/>
    <cellStyle name="Percent 3 2 9 2 3 2 2" xfId="34618"/>
    <cellStyle name="Percent 3 20 2 3 2 2" xfId="34619"/>
    <cellStyle name="Percent 3 21 2 3 2 2" xfId="34620"/>
    <cellStyle name="Percent 3 3 2 2 3 2 2" xfId="34621"/>
    <cellStyle name="Percent 3 3 3 2 3 2 2" xfId="34622"/>
    <cellStyle name="Percent 3 3 4 2 3 2 2" xfId="34623"/>
    <cellStyle name="Percent 3 3 5 2 3 2 2" xfId="34624"/>
    <cellStyle name="Percent 3 4 6 3 2 2" xfId="34625"/>
    <cellStyle name="Percent 3 4 2 2 3 2 2" xfId="34626"/>
    <cellStyle name="Percent 3 4 3 2 3 2 2" xfId="34627"/>
    <cellStyle name="Percent 3 4 4 2 3 2 2" xfId="34628"/>
    <cellStyle name="Percent 3 4 5 2 3 2 2" xfId="34629"/>
    <cellStyle name="Percent 3 5 3 3 2 2" xfId="34630"/>
    <cellStyle name="Percent 3 5 2 2 3 2 2" xfId="34631"/>
    <cellStyle name="Percent 3 6 3 3 2 2" xfId="34632"/>
    <cellStyle name="Percent 3 6 2 2 3 2 2" xfId="34633"/>
    <cellStyle name="Percent 3 7 3 3 2 2" xfId="34634"/>
    <cellStyle name="Percent 3 7 2 2 3 2 2" xfId="34635"/>
    <cellStyle name="Percent 3 8 2 3 2 2" xfId="34636"/>
    <cellStyle name="Percent 3 9 2 3 2 2" xfId="34637"/>
    <cellStyle name="Percent 30 2 3 3 2 2" xfId="34638"/>
    <cellStyle name="Percent 30 2 2 2 3 2 2" xfId="34639"/>
    <cellStyle name="Percent 30 3 3 3 2 2" xfId="34640"/>
    <cellStyle name="Percent 30 3 2 2 3 2 2" xfId="34641"/>
    <cellStyle name="Percent 30 4 2 2 3 2 2" xfId="34642"/>
    <cellStyle name="Percent 30 5 2 3 2 2" xfId="34643"/>
    <cellStyle name="Percent 31 2 3 3 2 2" xfId="34644"/>
    <cellStyle name="Percent 31 2 2 2 3 2 2" xfId="34645"/>
    <cellStyle name="Percent 31 3 3 3 2 2" xfId="34646"/>
    <cellStyle name="Percent 31 3 2 2 3 2 2" xfId="34647"/>
    <cellStyle name="Percent 31 4 2 2 3 2 2" xfId="34648"/>
    <cellStyle name="Percent 31 5 2 3 2 2" xfId="34649"/>
    <cellStyle name="Percent 32 2 3 3 2 2" xfId="34650"/>
    <cellStyle name="Percent 32 2 2 2 3 2 2" xfId="34651"/>
    <cellStyle name="Percent 32 3 3 3 2 2" xfId="34652"/>
    <cellStyle name="Percent 32 3 2 2 3 2 2" xfId="34653"/>
    <cellStyle name="Percent 32 4 2 2 3 2 2" xfId="34654"/>
    <cellStyle name="Percent 32 5 2 3 2 2" xfId="34655"/>
    <cellStyle name="Percent 33 2 3 3 2 2" xfId="34656"/>
    <cellStyle name="Percent 33 2 2 2 3 2 2" xfId="34657"/>
    <cellStyle name="Percent 33 3 3 3 2 2" xfId="34658"/>
    <cellStyle name="Percent 33 3 2 2 3 2 2" xfId="34659"/>
    <cellStyle name="Percent 33 4 2 2 3 2 2" xfId="34660"/>
    <cellStyle name="Percent 33 5 2 3 2 2" xfId="34661"/>
    <cellStyle name="Percent 34 2 3 3 2 2" xfId="34662"/>
    <cellStyle name="Percent 34 2 2 2 3 2 2" xfId="34663"/>
    <cellStyle name="Percent 34 3 3 3 2 2" xfId="34664"/>
    <cellStyle name="Percent 34 3 2 2 3 2 2" xfId="34665"/>
    <cellStyle name="Percent 34 4 2 2 3 2 2" xfId="34666"/>
    <cellStyle name="Percent 34 5 2 3 2 2" xfId="34667"/>
    <cellStyle name="Percent 35 2 3 3 2 2" xfId="34668"/>
    <cellStyle name="Percent 35 2 2 2 3 2 2" xfId="34669"/>
    <cellStyle name="Percent 35 3 3 3 2 2" xfId="34670"/>
    <cellStyle name="Percent 35 3 2 2 3 2 2" xfId="34671"/>
    <cellStyle name="Percent 35 4 2 2 3 2 2" xfId="34672"/>
    <cellStyle name="Percent 35 5 2 3 2 2" xfId="34673"/>
    <cellStyle name="Currency 5 4 2 3 2 2" xfId="34674"/>
    <cellStyle name="Comma 5 7 2 3 2 2" xfId="34675"/>
    <cellStyle name="Percent 5 4 2 3 2 2" xfId="34676"/>
    <cellStyle name="Comma 6 5 2 3 2 2" xfId="34677"/>
    <cellStyle name="Currency 5 2 4 2 3 2 2" xfId="34678"/>
    <cellStyle name="Comma 5 2 4 2 3 2 2" xfId="34679"/>
    <cellStyle name="Percent 5 2 4 2 3 2 2" xfId="34680"/>
    <cellStyle name="Comma 6 2 3 2 3 2 2" xfId="34681"/>
    <cellStyle name="Currency 5 3 2 2 3 2 2" xfId="34682"/>
    <cellStyle name="Comma 5 3 2 2 3 2 2" xfId="34683"/>
    <cellStyle name="Percent 5 3 2 2 3 2 2" xfId="34684"/>
    <cellStyle name="Comma 6 3 4 2 3 2 2" xfId="34685"/>
    <cellStyle name="Normal 11 2 2 2 3 2 2" xfId="34686"/>
    <cellStyle name="Currency 5 2 2 2 2 3 2 2" xfId="34687"/>
    <cellStyle name="Comma 5 2 2 2 2 3 2 2" xfId="34688"/>
    <cellStyle name="Percent 5 2 2 2 2 3 2 2" xfId="34689"/>
    <cellStyle name="Comma 6 2 2 2 2 3 2 2" xfId="34690"/>
    <cellStyle name="Normal 52 2 2 2" xfId="34691"/>
    <cellStyle name="Comma 205 2 2 2" xfId="34692"/>
    <cellStyle name="Comma 206 2 2 2" xfId="34693"/>
    <cellStyle name="Currency 5 7 2 2 2" xfId="34694"/>
    <cellStyle name="Normal 8 27 2 2 2" xfId="34695"/>
    <cellStyle name="Comma 5 10 2 2 2" xfId="34696"/>
    <cellStyle name="Percent 5 7 2 2 2" xfId="34697"/>
    <cellStyle name="Comma 6 8 2 2 2" xfId="34698"/>
    <cellStyle name="Normal 11 6 2 2 2" xfId="34699"/>
    <cellStyle name="Currency 5 2 7 2 2 2" xfId="34700"/>
    <cellStyle name="Normal 8 2 8 2 2 2" xfId="34701"/>
    <cellStyle name="Comma 5 2 7 2 2 2" xfId="34702"/>
    <cellStyle name="Percent 5 2 7 2 2 2" xfId="34703"/>
    <cellStyle name="Comma 6 2 6 2 2 2" xfId="34704"/>
    <cellStyle name="Currency 5 3 5 2 2 2" xfId="34705"/>
    <cellStyle name="Normal 8 3 8 2 2 2" xfId="34706"/>
    <cellStyle name="Comma 5 3 5 2 2 2" xfId="34707"/>
    <cellStyle name="Percent 5 3 5 2 2 2" xfId="34708"/>
    <cellStyle name="Comma 6 3 7 2 2 2" xfId="34709"/>
    <cellStyle name="Normal 11 2 5 2 2 2" xfId="34710"/>
    <cellStyle name="Currency 5 2 2 5 2 2 2" xfId="34711"/>
    <cellStyle name="Normal 8 2 2 4 2 2 2" xfId="34712"/>
    <cellStyle name="Comma 5 2 2 5 2 2 2" xfId="34713"/>
    <cellStyle name="Percent 5 2 2 5 2 2 2" xfId="34714"/>
    <cellStyle name="Comma 6 2 2 4 2 2 2" xfId="34715"/>
    <cellStyle name="Normal 50 3 2 2 2" xfId="34716"/>
    <cellStyle name="Comma 186 3 2 2 2" xfId="34717"/>
    <cellStyle name="Percent 162 3 2 2 2" xfId="34718"/>
    <cellStyle name="Normal 2 24 3 2 2 2" xfId="34719"/>
    <cellStyle name="20% - Accent1 2 3 2 2 2" xfId="34720"/>
    <cellStyle name="20% - Accent1 3 3 2 2 2" xfId="34721"/>
    <cellStyle name="20% - Accent1 4 3 2 2 2" xfId="34722"/>
    <cellStyle name="20% - Accent1 5 3 2 2 2" xfId="34723"/>
    <cellStyle name="20% - Accent2 2 3 2 2 2" xfId="34724"/>
    <cellStyle name="20% - Accent2 3 3 2 2 2" xfId="34725"/>
    <cellStyle name="20% - Accent2 4 3 2 2 2" xfId="34726"/>
    <cellStyle name="20% - Accent2 5 3 2 2 2" xfId="34727"/>
    <cellStyle name="20% - Accent3 2 3 2 2 2" xfId="34728"/>
    <cellStyle name="20% - Accent3 3 3 2 2 2" xfId="34729"/>
    <cellStyle name="20% - Accent3 4 3 2 2 2" xfId="34730"/>
    <cellStyle name="20% - Accent3 5 3 2 2 2" xfId="34731"/>
    <cellStyle name="20% - Accent4 2 3 2 2 2" xfId="34732"/>
    <cellStyle name="20% - Accent4 3 3 2 2 2" xfId="34733"/>
    <cellStyle name="20% - Accent4 4 3 2 2 2" xfId="34734"/>
    <cellStyle name="20% - Accent4 5 3 2 2 2" xfId="34735"/>
    <cellStyle name="20% - Accent5 2 3 2 2 2" xfId="34736"/>
    <cellStyle name="20% - Accent5 3 3 2 2 2" xfId="34737"/>
    <cellStyle name="20% - Accent5 4 3 2 2 2" xfId="34738"/>
    <cellStyle name="20% - Accent6 2 3 2 2 2" xfId="34739"/>
    <cellStyle name="20% - Accent6 3 3 2 2 2" xfId="34740"/>
    <cellStyle name="20% - Accent6 4 3 2 2 2" xfId="34741"/>
    <cellStyle name="40% - Accent1 2 3 2 2 2" xfId="34742"/>
    <cellStyle name="40% - Accent1 3 3 2 2 2" xfId="34743"/>
    <cellStyle name="40% - Accent1 4 3 2 2 2" xfId="34744"/>
    <cellStyle name="40% - Accent1 5 3 2 2 2" xfId="34745"/>
    <cellStyle name="40% - Accent2 2 3 2 2 2" xfId="34746"/>
    <cellStyle name="40% - Accent2 3 3 2 2 2" xfId="34747"/>
    <cellStyle name="40% - Accent2 4 3 2 2 2" xfId="34748"/>
    <cellStyle name="40% - Accent3 2 3 2 2 2" xfId="34749"/>
    <cellStyle name="40% - Accent3 3 3 2 2 2" xfId="34750"/>
    <cellStyle name="40% - Accent3 4 3 2 2 2" xfId="34751"/>
    <cellStyle name="40% - Accent3 5 3 2 2 2" xfId="34752"/>
    <cellStyle name="40% - Accent4 2 3 2 2 2" xfId="34753"/>
    <cellStyle name="40% - Accent4 3 3 2 2 2" xfId="34754"/>
    <cellStyle name="40% - Accent4 4 3 2 2 2" xfId="34755"/>
    <cellStyle name="40% - Accent4 5 3 2 2 2" xfId="34756"/>
    <cellStyle name="40% - Accent5 2 3 2 2 2" xfId="34757"/>
    <cellStyle name="40% - Accent5 3 3 2 2 2" xfId="34758"/>
    <cellStyle name="40% - Accent5 4 3 2 2 2" xfId="34759"/>
    <cellStyle name="40% - Accent6 2 3 2 2 2" xfId="34760"/>
    <cellStyle name="40% - Accent6 3 3 2 2 2" xfId="34761"/>
    <cellStyle name="40% - Accent6 4 3 2 2 2" xfId="34762"/>
    <cellStyle name="40% - Accent6 5 3 2 2 2" xfId="34763"/>
    <cellStyle name="Comma 143 3 2 2 2" xfId="34764"/>
    <cellStyle name="Comma 144 3 2 2 2" xfId="34765"/>
    <cellStyle name="Comma 145 3 2 2 2" xfId="34766"/>
    <cellStyle name="Comma 146 3 2 2 2" xfId="34767"/>
    <cellStyle name="Comma 147 3 2 2 2" xfId="34768"/>
    <cellStyle name="Comma 148 3 2 2 2" xfId="34769"/>
    <cellStyle name="Comma 149 3 2 2 2" xfId="34770"/>
    <cellStyle name="Comma 150 3 2 2 2" xfId="34771"/>
    <cellStyle name="Comma 151 3 2 2 2" xfId="34772"/>
    <cellStyle name="Comma 152 3 2 2 2" xfId="34773"/>
    <cellStyle name="Comma 153 3 2 2 2" xfId="34774"/>
    <cellStyle name="Comma 182 3 2 2 2" xfId="34775"/>
    <cellStyle name="Comma 2 23 3 2 2 2" xfId="34776"/>
    <cellStyle name="Comma 2 2 10 3 2 2 2" xfId="34777"/>
    <cellStyle name="Comma 2 2 11 3 2 2 2" xfId="34778"/>
    <cellStyle name="Comma 2 2 12 3 2 2 2" xfId="34779"/>
    <cellStyle name="Comma 2 2 13 3 2 2 2" xfId="34780"/>
    <cellStyle name="Comma 2 2 14 3 2 2 2" xfId="34781"/>
    <cellStyle name="Comma 2 2 15 3 2 2 2" xfId="34782"/>
    <cellStyle name="Comma 2 2 16 3 2 2 2" xfId="34783"/>
    <cellStyle name="Comma 2 2 17 3 2 2 2" xfId="34784"/>
    <cellStyle name="Comma 2 2 2 2 7 2 2 2" xfId="34785"/>
    <cellStyle name="Comma 2 2 2 2 2 3 2 2 2" xfId="34786"/>
    <cellStyle name="Comma 2 2 2 2 3 3 2 2 2" xfId="34787"/>
    <cellStyle name="Comma 2 2 2 2 4 3 2 2 2" xfId="34788"/>
    <cellStyle name="Comma 2 2 2 2 5 3 2 2 2" xfId="34789"/>
    <cellStyle name="Comma 2 2 2 3 3 2 2 2" xfId="34790"/>
    <cellStyle name="Comma 2 2 2 4 3 2 2 2" xfId="34791"/>
    <cellStyle name="Comma 2 2 2 5 3 2 2 2" xfId="34792"/>
    <cellStyle name="Comma 2 2 2 6 3 2 2 2" xfId="34793"/>
    <cellStyle name="Comma 2 2 3 7 2 2 2" xfId="34794"/>
    <cellStyle name="Comma 2 2 3 2 2 3 2 2 2" xfId="34795"/>
    <cellStyle name="Comma 2 2 3 2 3 3 2 2 2" xfId="34796"/>
    <cellStyle name="Comma 2 2 3 2 4 3 2 2 2" xfId="34797"/>
    <cellStyle name="Comma 2 2 3 2 5 3 2 2 2" xfId="34798"/>
    <cellStyle name="Comma 2 2 3 3 3 2 2 2" xfId="34799"/>
    <cellStyle name="Comma 2 2 4 2 3 2 2 2" xfId="34800"/>
    <cellStyle name="Comma 2 2 5 3 2 2 2" xfId="34801"/>
    <cellStyle name="Comma 2 2 6 3 2 2 2" xfId="34802"/>
    <cellStyle name="Comma 2 2 7 3 2 2 2" xfId="34803"/>
    <cellStyle name="Comma 2 2 8 3 2 2 2" xfId="34804"/>
    <cellStyle name="Comma 2 2 9 3 2 2 2" xfId="34805"/>
    <cellStyle name="Comma 3 10 3 2 2 2" xfId="34806"/>
    <cellStyle name="Comma 3 11 3 2 2 2" xfId="34807"/>
    <cellStyle name="Comma 3 12 3 2 2 2" xfId="34808"/>
    <cellStyle name="Comma 3 13 3 2 2 2" xfId="34809"/>
    <cellStyle name="Comma 3 14 3 2 2 2" xfId="34810"/>
    <cellStyle name="Comma 3 15 3 2 2 2" xfId="34811"/>
    <cellStyle name="Comma 3 16 3 2 2 2" xfId="34812"/>
    <cellStyle name="Comma 3 17 3 2 2 2" xfId="34813"/>
    <cellStyle name="Comma 3 18 3 2 2 2" xfId="34814"/>
    <cellStyle name="Comma 3 19 3 2 2 2" xfId="34815"/>
    <cellStyle name="Comma 3 2 2 3 2 2 2" xfId="34816"/>
    <cellStyle name="Comma 3 2 3 3 2 2 2" xfId="34817"/>
    <cellStyle name="Comma 3 2 4 3 2 2 2" xfId="34818"/>
    <cellStyle name="Comma 3 2 5 3 2 2 2" xfId="34819"/>
    <cellStyle name="Comma 3 20 3 2 2 2" xfId="34820"/>
    <cellStyle name="Comma 3 21 3 2 2 2" xfId="34821"/>
    <cellStyle name="Comma 3 3 7 2 2 2" xfId="34822"/>
    <cellStyle name="Comma 3 3 2 3 2 2 2" xfId="34823"/>
    <cellStyle name="Comma 3 3 3 3 2 2 2" xfId="34824"/>
    <cellStyle name="Comma 3 3 4 3 2 2 2" xfId="34825"/>
    <cellStyle name="Comma 3 3 5 3 2 2 2" xfId="34826"/>
    <cellStyle name="Comma 3 4 4 2 2 2" xfId="34827"/>
    <cellStyle name="Comma 3 4 2 3 2 2 2" xfId="34828"/>
    <cellStyle name="Comma 3 5 4 2 2 2" xfId="34829"/>
    <cellStyle name="Comma 3 5 2 3 2 2 2" xfId="34830"/>
    <cellStyle name="Comma 3 6 4 2 2 2" xfId="34831"/>
    <cellStyle name="Comma 3 6 2 3 2 2 2" xfId="34832"/>
    <cellStyle name="Comma 3 7 3 2 2 2" xfId="34833"/>
    <cellStyle name="Comma 3 8 3 2 2 2" xfId="34834"/>
    <cellStyle name="Comma 3 9 3 2 2 2" xfId="34835"/>
    <cellStyle name="Currency 120 3 2 2 2" xfId="34836"/>
    <cellStyle name="Currency 121 3 2 2 2" xfId="34837"/>
    <cellStyle name="Currency 122 3 2 2 2" xfId="34838"/>
    <cellStyle name="Currency 123 3 2 2 2" xfId="34839"/>
    <cellStyle name="Currency 124 3 2 2 2" xfId="34840"/>
    <cellStyle name="Currency 125 3 2 2 2" xfId="34841"/>
    <cellStyle name="Currency 126 3 2 2 2" xfId="34842"/>
    <cellStyle name="Currency 127 3 2 2 2" xfId="34843"/>
    <cellStyle name="Currency 128 3 2 2 2" xfId="34844"/>
    <cellStyle name="Currency 129 3 2 2 2" xfId="34845"/>
    <cellStyle name="Currency 130 3 2 2 2" xfId="34846"/>
    <cellStyle name="Currency 159 3 2 2 2" xfId="34847"/>
    <cellStyle name="Currency 2 27 3 2 2 2" xfId="34848"/>
    <cellStyle name="Currency 2 2 20 3 2 2 2" xfId="34849"/>
    <cellStyle name="Currency 2 2 10 3 2 2 2" xfId="34850"/>
    <cellStyle name="Currency 2 2 11 3 2 2 2" xfId="34851"/>
    <cellStyle name="Currency 2 2 12 3 2 2 2" xfId="34852"/>
    <cellStyle name="Currency 2 2 13 3 2 2 2" xfId="34853"/>
    <cellStyle name="Currency 2 2 14 3 2 2 2" xfId="34854"/>
    <cellStyle name="Currency 2 2 15 3 2 2 2" xfId="34855"/>
    <cellStyle name="Currency 2 2 16 3 2 2 2" xfId="34856"/>
    <cellStyle name="Currency 2 2 17 3 2 2 2" xfId="34857"/>
    <cellStyle name="Currency 2 2 18 3 2 2 2" xfId="34858"/>
    <cellStyle name="Currency 2 2 2 2 3 2 2 2" xfId="34859"/>
    <cellStyle name="Currency 2 2 2 3 3 2 2 2" xfId="34860"/>
    <cellStyle name="Currency 2 2 2 4 3 2 2 2" xfId="34861"/>
    <cellStyle name="Currency 2 2 2 5 3 2 2 2" xfId="34862"/>
    <cellStyle name="Currency 2 2 3 7 2 2 2" xfId="34863"/>
    <cellStyle name="Currency 2 2 3 2 3 2 2 2" xfId="34864"/>
    <cellStyle name="Currency 2 2 3 3 3 2 2 2" xfId="34865"/>
    <cellStyle name="Currency 2 2 3 4 3 2 2 2" xfId="34866"/>
    <cellStyle name="Currency 2 2 3 5 3 2 2 2" xfId="34867"/>
    <cellStyle name="Currency 2 2 4 3 2 2 2" xfId="34868"/>
    <cellStyle name="Currency 2 2 5 3 2 2 2" xfId="34869"/>
    <cellStyle name="Currency 2 2 6 3 2 2 2" xfId="34870"/>
    <cellStyle name="Currency 2 2 7 3 2 2 2" xfId="34871"/>
    <cellStyle name="Currency 2 2 8 3 2 2 2" xfId="34872"/>
    <cellStyle name="Currency 2 2 9 3 2 2 2" xfId="34873"/>
    <cellStyle name="Currency 3 10 3 2 2 2" xfId="34874"/>
    <cellStyle name="Currency 3 11 3 2 2 2" xfId="34875"/>
    <cellStyle name="Currency 3 12 3 2 2 2" xfId="34876"/>
    <cellStyle name="Currency 3 13 3 2 2 2" xfId="34877"/>
    <cellStyle name="Currency 3 14 3 2 2 2" xfId="34878"/>
    <cellStyle name="Currency 3 15 3 2 2 2" xfId="34879"/>
    <cellStyle name="Currency 3 16 3 2 2 2" xfId="34880"/>
    <cellStyle name="Currency 3 17 3 2 2 2" xfId="34881"/>
    <cellStyle name="Currency 3 18 3 2 2 2" xfId="34882"/>
    <cellStyle name="Currency 3 19 3 2 2 2" xfId="34883"/>
    <cellStyle name="Currency 3 2 2 3 2 2 2" xfId="34884"/>
    <cellStyle name="Currency 3 2 3 3 2 2 2" xfId="34885"/>
    <cellStyle name="Currency 3 2 4 3 2 2 2" xfId="34886"/>
    <cellStyle name="Currency 3 2 5 3 2 2 2" xfId="34887"/>
    <cellStyle name="Currency 3 20 3 2 2 2" xfId="34888"/>
    <cellStyle name="Currency 3 21 3 2 2 2" xfId="34889"/>
    <cellStyle name="Currency 3 3 9 2 2 2" xfId="34890"/>
    <cellStyle name="Currency 3 3 2 3 2 2 2" xfId="34891"/>
    <cellStyle name="Currency 3 3 3 3 2 2 2" xfId="34892"/>
    <cellStyle name="Currency 3 3 4 3 2 2 2" xfId="34893"/>
    <cellStyle name="Currency 3 3 5 3 2 2 2" xfId="34894"/>
    <cellStyle name="Currency 3 3 6 3 2 2 2" xfId="34895"/>
    <cellStyle name="Currency 3 4 4 2 2 2" xfId="34896"/>
    <cellStyle name="Currency 3 4 2 3 2 2 2" xfId="34897"/>
    <cellStyle name="Currency 3 5 4 2 2 2" xfId="34898"/>
    <cellStyle name="Currency 3 5 2 3 2 2 2" xfId="34899"/>
    <cellStyle name="Currency 3 6 4 2 2 2" xfId="34900"/>
    <cellStyle name="Currency 3 6 2 3 2 2 2" xfId="34901"/>
    <cellStyle name="Currency 3 7 3 2 2 2" xfId="34902"/>
    <cellStyle name="Currency 3 8 3 2 2 2" xfId="34903"/>
    <cellStyle name="Currency 3 9 3 2 2 2" xfId="34904"/>
    <cellStyle name="Normal 10 3 7 2 2 2" xfId="34905"/>
    <cellStyle name="Normal 10 3 2 6 2 2 2" xfId="34906"/>
    <cellStyle name="Normal 10 3 2 2 4 2 2 2" xfId="34907"/>
    <cellStyle name="Normal 10 3 2 2 2 3 2 2 2" xfId="34908"/>
    <cellStyle name="Normal 10 3 2 3 4 2 2 2" xfId="34909"/>
    <cellStyle name="Normal 10 3 2 3 2 3 2 2 2" xfId="34910"/>
    <cellStyle name="Normal 10 3 2 4 3 2 2 2" xfId="34911"/>
    <cellStyle name="Normal 10 3 3 4 2 2 2" xfId="34912"/>
    <cellStyle name="Normal 10 3 3 2 3 2 2 2" xfId="34913"/>
    <cellStyle name="Normal 10 3 4 4 2 2 2" xfId="34914"/>
    <cellStyle name="Normal 10 3 4 2 3 2 2 2" xfId="34915"/>
    <cellStyle name="Normal 10 3 5 3 2 2 2" xfId="34916"/>
    <cellStyle name="Normal 10 4 6 2 2 2" xfId="34917"/>
    <cellStyle name="Normal 10 4 2 4 2 2 2" xfId="34918"/>
    <cellStyle name="Normal 10 4 2 2 3 2 2 2" xfId="34919"/>
    <cellStyle name="Normal 10 4 3 4 2 2 2" xfId="34920"/>
    <cellStyle name="Normal 10 4 3 2 3 2 2 2" xfId="34921"/>
    <cellStyle name="Normal 10 4 4 3 2 2 2" xfId="34922"/>
    <cellStyle name="Normal 10 5 6 2 2 2" xfId="34923"/>
    <cellStyle name="Normal 10 5 2 4 2 2 2" xfId="34924"/>
    <cellStyle name="Normal 10 5 2 2 3 2 2 2" xfId="34925"/>
    <cellStyle name="Normal 10 5 3 4 2 2 2" xfId="34926"/>
    <cellStyle name="Normal 10 5 3 2 3 2 2 2" xfId="34927"/>
    <cellStyle name="Normal 10 5 4 3 2 2 2" xfId="34928"/>
    <cellStyle name="Normal 10 6 4 2 2 2" xfId="34929"/>
    <cellStyle name="Normal 10 6 2 3 2 2 2" xfId="34930"/>
    <cellStyle name="Normal 10 7 4 2 2 2" xfId="34931"/>
    <cellStyle name="Normal 10 7 2 3 2 2 2" xfId="34932"/>
    <cellStyle name="Normal 10 8 2 3 2 2 2" xfId="34933"/>
    <cellStyle name="Normal 10 9 3 2 2 2" xfId="34934"/>
    <cellStyle name="Normal 11 4 3 2 2 2" xfId="34935"/>
    <cellStyle name="Normal 11 3 3 2 2 2" xfId="34936"/>
    <cellStyle name="Normal 12 9 2 2 2" xfId="34937"/>
    <cellStyle name="Normal 12 2 2 6 2 2 2" xfId="34938"/>
    <cellStyle name="Normal 12 2 2 2 4 2 2 2" xfId="34939"/>
    <cellStyle name="Normal 12 2 2 2 2 3 2 2 2" xfId="34940"/>
    <cellStyle name="Normal 12 2 2 3 4 2 2 2" xfId="34941"/>
    <cellStyle name="Normal 12 2 2 3 2 3 2 2 2" xfId="34942"/>
    <cellStyle name="Normal 12 2 2 4 3 2 2 2" xfId="34943"/>
    <cellStyle name="Normal 12 2 3 4 2 2 2" xfId="34944"/>
    <cellStyle name="Normal 12 2 3 2 3 2 2 2" xfId="34945"/>
    <cellStyle name="Normal 12 2 4 4 2 2 2" xfId="34946"/>
    <cellStyle name="Normal 12 2 4 2 3 2 2 2" xfId="34947"/>
    <cellStyle name="Normal 12 2 5 2 3 2 2 2" xfId="34948"/>
    <cellStyle name="Normal 12 2 6 3 2 2 2" xfId="34949"/>
    <cellStyle name="Normal 12 3 6 2 2 2" xfId="34950"/>
    <cellStyle name="Normal 12 3 2 4 2 2 2" xfId="34951"/>
    <cellStyle name="Normal 12 3 2 2 3 2 2 2" xfId="34952"/>
    <cellStyle name="Normal 12 3 3 4 2 2 2" xfId="34953"/>
    <cellStyle name="Normal 12 3 3 2 3 2 2 2" xfId="34954"/>
    <cellStyle name="Normal 12 3 4 3 2 2 2" xfId="34955"/>
    <cellStyle name="Normal 12 4 6 2 2 2" xfId="34956"/>
    <cellStyle name="Normal 12 4 2 4 2 2 2" xfId="34957"/>
    <cellStyle name="Normal 12 4 2 2 3 2 2 2" xfId="34958"/>
    <cellStyle name="Normal 12 4 3 4 2 2 2" xfId="34959"/>
    <cellStyle name="Normal 12 4 3 2 3 2 2 2" xfId="34960"/>
    <cellStyle name="Normal 12 4 4 3 2 2 2" xfId="34961"/>
    <cellStyle name="Normal 12 5 4 2 2 2" xfId="34962"/>
    <cellStyle name="Normal 12 5 2 3 2 2 2" xfId="34963"/>
    <cellStyle name="Normal 12 6 4 2 2 2" xfId="34964"/>
    <cellStyle name="Normal 12 6 2 3 2 2 2" xfId="34965"/>
    <cellStyle name="Normal 12 7 3 2 2 2" xfId="34966"/>
    <cellStyle name="Normal 15 7 2 2 2" xfId="34967"/>
    <cellStyle name="Normal 15 3 3 2 2 2" xfId="34968"/>
    <cellStyle name="Normal 16 2 6 2 2 2" xfId="34969"/>
    <cellStyle name="Normal 16 2 2 4 2 2 2" xfId="34970"/>
    <cellStyle name="Normal 16 2 2 2 3 2 2 2" xfId="34971"/>
    <cellStyle name="Normal 16 2 3 4 2 2 2" xfId="34972"/>
    <cellStyle name="Normal 16 2 3 2 3 2 2 2" xfId="34973"/>
    <cellStyle name="Normal 16 2 4 3 2 2 2" xfId="34974"/>
    <cellStyle name="Normal 16 3 4 2 2 2" xfId="34975"/>
    <cellStyle name="Normal 16 3 2 3 2 2 2" xfId="34976"/>
    <cellStyle name="Normal 16 4 4 2 2 2" xfId="34977"/>
    <cellStyle name="Normal 16 4 2 3 2 2 2" xfId="34978"/>
    <cellStyle name="Normal 16 5 2 3 2 2 2" xfId="34979"/>
    <cellStyle name="Normal 16 6 3 2 2 2" xfId="34980"/>
    <cellStyle name="Normal 17 2 6 2 2 2" xfId="34981"/>
    <cellStyle name="Normal 17 2 2 4 2 2 2" xfId="34982"/>
    <cellStyle name="Normal 17 2 2 2 3 2 2 2" xfId="34983"/>
    <cellStyle name="Normal 17 2 3 4 2 2 2" xfId="34984"/>
    <cellStyle name="Normal 17 2 3 2 3 2 2 2" xfId="34985"/>
    <cellStyle name="Normal 17 2 4 3 2 2 2" xfId="34986"/>
    <cellStyle name="Normal 17 3 4 2 2 2" xfId="34987"/>
    <cellStyle name="Normal 17 3 2 3 2 2 2" xfId="34988"/>
    <cellStyle name="Normal 17 4 4 2 2 2" xfId="34989"/>
    <cellStyle name="Normal 17 4 2 3 2 2 2" xfId="34990"/>
    <cellStyle name="Normal 17 5 2 3 2 2 2" xfId="34991"/>
    <cellStyle name="Normal 17 6 3 2 2 2" xfId="34992"/>
    <cellStyle name="Normal 2 10 3 3 2 2 2" xfId="34993"/>
    <cellStyle name="Normal 2 11 3 3 2 2 2" xfId="34994"/>
    <cellStyle name="Normal 2 12 3 3 2 2 2" xfId="34995"/>
    <cellStyle name="Normal 2 13 3 3 2 2 2" xfId="34996"/>
    <cellStyle name="Normal 2 14 3 3 2 2 2" xfId="34997"/>
    <cellStyle name="Normal 2 15 3 3 2 2 2" xfId="34998"/>
    <cellStyle name="Normal 2 16 3 3 2 2 2" xfId="34999"/>
    <cellStyle name="Normal 2 17 3 3 2 2 2" xfId="35000"/>
    <cellStyle name="Normal 2 18 3 3 2 2 2" xfId="35001"/>
    <cellStyle name="Normal 2 19 3 3 2 2 2" xfId="35002"/>
    <cellStyle name="Normal 2 2 10 3 2 2 2" xfId="35003"/>
    <cellStyle name="Normal 2 2 11 3 2 2 2" xfId="35004"/>
    <cellStyle name="Normal 2 2 12 3 2 2 2" xfId="35005"/>
    <cellStyle name="Normal 2 2 13 3 2 2 2" xfId="35006"/>
    <cellStyle name="Normal 2 2 14 3 2 2 2" xfId="35007"/>
    <cellStyle name="Normal 2 2 15 3 2 2 2" xfId="35008"/>
    <cellStyle name="Normal 2 2 16 3 2 2 2" xfId="35009"/>
    <cellStyle name="Normal 2 2 17 3 2 2 2" xfId="35010"/>
    <cellStyle name="Normal 2 2 18 3 2 2 2" xfId="35011"/>
    <cellStyle name="Normal 2 2 19 3 2 2 2" xfId="35012"/>
    <cellStyle name="Normal 2 2 2 2 7 2 2 2" xfId="35013"/>
    <cellStyle name="Normal 2 2 2 2 2 4 2 2 2" xfId="35014"/>
    <cellStyle name="Normal 2 2 2 2 2 2 3 2 2 2" xfId="35015"/>
    <cellStyle name="Normal 2 2 2 2 3 3 2 2 2" xfId="35016"/>
    <cellStyle name="Normal 2 2 2 2 4 3 2 2 2" xfId="35017"/>
    <cellStyle name="Normal 2 2 2 2 5 3 2 2 2" xfId="35018"/>
    <cellStyle name="Normal 2 2 20 3 2 2 2" xfId="35019"/>
    <cellStyle name="Normal 2 2 21 3 2 2 2" xfId="35020"/>
    <cellStyle name="Normal 2 2 22 3 2 2 2" xfId="35021"/>
    <cellStyle name="Normal 2 2 3 10 2 2 2" xfId="35022"/>
    <cellStyle name="Normal 2 2 3 2 3 2 2 2" xfId="35023"/>
    <cellStyle name="Normal 2 2 3 3 3 2 2 2" xfId="35024"/>
    <cellStyle name="Normal 2 2 3 4 3 2 2 2" xfId="35025"/>
    <cellStyle name="Normal 2 2 3 5 3 2 2 2" xfId="35026"/>
    <cellStyle name="Normal 2 2 3 6 3 2 2 2" xfId="35027"/>
    <cellStyle name="Normal 2 2 4 6 2 2 2" xfId="35028"/>
    <cellStyle name="Normal 2 2 4 2 3 2 2 2" xfId="35029"/>
    <cellStyle name="Normal 2 2 5 5 2 2 2" xfId="35030"/>
    <cellStyle name="Normal 2 2 5 2 3 2 2 2" xfId="35031"/>
    <cellStyle name="Normal 2 2 6 3 2 2 2" xfId="35032"/>
    <cellStyle name="Normal 2 2 7 3 2 2 2" xfId="35033"/>
    <cellStyle name="Normal 2 2 8 3 2 2 2" xfId="35034"/>
    <cellStyle name="Normal 2 2 9 3 2 2 2" xfId="35035"/>
    <cellStyle name="Normal 2 20 3 2 2 2" xfId="35036"/>
    <cellStyle name="Normal 2 3 2 4 2 2 2" xfId="35037"/>
    <cellStyle name="Normal 2 3 3 3 2 2 2" xfId="35038"/>
    <cellStyle name="Normal 2 3 4 3 2 2 2" xfId="35039"/>
    <cellStyle name="Normal 2 3 5 3 2 2 2" xfId="35040"/>
    <cellStyle name="Normal 2 3 6 3 2 2 2" xfId="35041"/>
    <cellStyle name="Normal 2 4 5 3 2 2 2" xfId="35042"/>
    <cellStyle name="Normal 2 4 2 3 2 2 2" xfId="35043"/>
    <cellStyle name="Normal 2 5 3 3 2 2 2" xfId="35044"/>
    <cellStyle name="Normal 2 6 3 3 2 2 2" xfId="35045"/>
    <cellStyle name="Normal 2 7 3 3 2 2 2" xfId="35046"/>
    <cellStyle name="Normal 2 8 3 3 2 2 2" xfId="35047"/>
    <cellStyle name="Normal 2 9 3 3 2 2 2" xfId="35048"/>
    <cellStyle name="Normal 21 10 2 2 2" xfId="35049"/>
    <cellStyle name="Normal 21 2 8 2 2 2" xfId="35050"/>
    <cellStyle name="Normal 21 2 2 3 2 2 2" xfId="35051"/>
    <cellStyle name="Normal 21 2 3 3 2 2 2" xfId="35052"/>
    <cellStyle name="Normal 21 2 4 3 2 2 2" xfId="35053"/>
    <cellStyle name="Normal 21 2 5 3 2 2 2" xfId="35054"/>
    <cellStyle name="Normal 21 2 6 3 2 2 2" xfId="35055"/>
    <cellStyle name="Normal 21 3 4 2 2 2" xfId="35056"/>
    <cellStyle name="Normal 21 3 2 3 2 2 2" xfId="35057"/>
    <cellStyle name="Normal 21 4 3 2 2 2" xfId="35058"/>
    <cellStyle name="Normal 21 5 3 2 2 2" xfId="35059"/>
    <cellStyle name="Normal 21 6 3 2 2 2" xfId="35060"/>
    <cellStyle name="Normal 21 8 3 2 2 2" xfId="35061"/>
    <cellStyle name="Normal 22 9 2 2 2" xfId="35062"/>
    <cellStyle name="Normal 22 2 8 2 2 2" xfId="35063"/>
    <cellStyle name="Normal 22 2 2 3 2 2 2" xfId="35064"/>
    <cellStyle name="Normal 22 2 3 3 2 2 2" xfId="35065"/>
    <cellStyle name="Normal 22 2 4 3 2 2 2" xfId="35066"/>
    <cellStyle name="Normal 22 2 5 3 2 2 2" xfId="35067"/>
    <cellStyle name="Normal 22 3 3 2 2 2" xfId="35068"/>
    <cellStyle name="Normal 22 4 3 2 2 2" xfId="35069"/>
    <cellStyle name="Normal 22 5 3 2 2 2" xfId="35070"/>
    <cellStyle name="Normal 22 6 3 2 2 2" xfId="35071"/>
    <cellStyle name="Normal 23 9 2 2 2" xfId="35072"/>
    <cellStyle name="Normal 23 2 7 2 2 2" xfId="35073"/>
    <cellStyle name="Normal 23 2 2 3 2 2 2" xfId="35074"/>
    <cellStyle name="Normal 23 2 3 3 2 2 2" xfId="35075"/>
    <cellStyle name="Normal 23 2 4 3 2 2 2" xfId="35076"/>
    <cellStyle name="Normal 23 2 5 3 2 2 2" xfId="35077"/>
    <cellStyle name="Normal 23 3 3 2 2 2" xfId="35078"/>
    <cellStyle name="Normal 23 4 3 2 2 2" xfId="35079"/>
    <cellStyle name="Normal 23 5 3 2 2 2" xfId="35080"/>
    <cellStyle name="Normal 23 6 3 2 2 2" xfId="35081"/>
    <cellStyle name="Normal 24 9 2 2 2" xfId="35082"/>
    <cellStyle name="Normal 24 2 7 2 2 2" xfId="35083"/>
    <cellStyle name="Normal 24 2 2 3 2 2 2" xfId="35084"/>
    <cellStyle name="Normal 24 2 3 3 2 2 2" xfId="35085"/>
    <cellStyle name="Normal 24 2 4 3 2 2 2" xfId="35086"/>
    <cellStyle name="Normal 24 2 5 3 2 2 2" xfId="35087"/>
    <cellStyle name="Normal 24 3 3 2 2 2" xfId="35088"/>
    <cellStyle name="Normal 24 4 3 2 2 2" xfId="35089"/>
    <cellStyle name="Normal 24 5 3 2 2 2" xfId="35090"/>
    <cellStyle name="Normal 24 6 3 2 2 2" xfId="35091"/>
    <cellStyle name="Normal 26 9 2 2 2" xfId="35092"/>
    <cellStyle name="Normal 26 2 7 2 2 2" xfId="35093"/>
    <cellStyle name="Normal 26 2 2 3 2 2 2" xfId="35094"/>
    <cellStyle name="Normal 26 2 3 3 2 2 2" xfId="35095"/>
    <cellStyle name="Normal 26 2 4 3 2 2 2" xfId="35096"/>
    <cellStyle name="Normal 26 2 5 3 2 2 2" xfId="35097"/>
    <cellStyle name="Normal 26 3 3 2 2 2" xfId="35098"/>
    <cellStyle name="Normal 26 4 3 2 2 2" xfId="35099"/>
    <cellStyle name="Normal 26 5 3 2 2 2" xfId="35100"/>
    <cellStyle name="Normal 26 6 3 2 2 2" xfId="35101"/>
    <cellStyle name="Normal 3 10 3 2 2 2" xfId="35102"/>
    <cellStyle name="Normal 3 11 3 2 2 2" xfId="35103"/>
    <cellStyle name="Normal 3 12 3 2 2 2" xfId="35104"/>
    <cellStyle name="Normal 3 13 3 2 2 2" xfId="35105"/>
    <cellStyle name="Normal 3 14 3 2 2 2" xfId="35106"/>
    <cellStyle name="Normal 3 15 3 2 2 2" xfId="35107"/>
    <cellStyle name="Normal 3 16 3 2 2 2" xfId="35108"/>
    <cellStyle name="Normal 3 17 3 2 2 2" xfId="35109"/>
    <cellStyle name="Normal 3 18 3 2 2 2" xfId="35110"/>
    <cellStyle name="Normal 3 19 3 2 2 2" xfId="35111"/>
    <cellStyle name="Normal 3 2 2 3 2 2 2" xfId="35112"/>
    <cellStyle name="Normal 3 2 3 3 2 2 2" xfId="35113"/>
    <cellStyle name="Normal 3 2 4 3 2 2 2" xfId="35114"/>
    <cellStyle name="Normal 3 2 5 3 2 2 2" xfId="35115"/>
    <cellStyle name="Normal 3 2 6 3 2 2 2" xfId="35116"/>
    <cellStyle name="Normal 3 20 3 2 2 2" xfId="35117"/>
    <cellStyle name="Normal 3 21 3 2 2 2" xfId="35118"/>
    <cellStyle name="Normal 3 22 3 2 2 2" xfId="35119"/>
    <cellStyle name="Normal 3 23 3 2 2 2" xfId="35120"/>
    <cellStyle name="Normal 3 24 3 2 2 2" xfId="35121"/>
    <cellStyle name="Normal 3 3 6 2 2 2" xfId="35122"/>
    <cellStyle name="Normal 3 3 2 3 2 2 2" xfId="35123"/>
    <cellStyle name="Normal 3 3 3 3 2 2 2" xfId="35124"/>
    <cellStyle name="Normal 3 4 4 2 2 2" xfId="35125"/>
    <cellStyle name="Normal 3 4 2 3 2 2 2" xfId="35126"/>
    <cellStyle name="Normal 3 5 4 2 2 2" xfId="35127"/>
    <cellStyle name="Normal 3 5 2 3 2 2 2" xfId="35128"/>
    <cellStyle name="Normal 3 6 3 2 2 2" xfId="35129"/>
    <cellStyle name="Normal 3 7 3 2 2 2" xfId="35130"/>
    <cellStyle name="Normal 3 8 3 2 2 2" xfId="35131"/>
    <cellStyle name="Normal 3 9 3 2 2 2" xfId="35132"/>
    <cellStyle name="Normal 4 2 10 3 2 2 2" xfId="35133"/>
    <cellStyle name="Normal 4 2 11 3 2 2 2" xfId="35134"/>
    <cellStyle name="Normal 4 2 12 3 2 2 2" xfId="35135"/>
    <cellStyle name="Normal 4 2 13 3 2 2 2" xfId="35136"/>
    <cellStyle name="Normal 4 2 14 3 2 2 2" xfId="35137"/>
    <cellStyle name="Normal 4 2 15 3 2 2 2" xfId="35138"/>
    <cellStyle name="Normal 4 2 16 3 2 2 2" xfId="35139"/>
    <cellStyle name="Normal 4 2 17 3 2 2 2" xfId="35140"/>
    <cellStyle name="Normal 4 2 18 3 2 2 2" xfId="35141"/>
    <cellStyle name="Normal 4 2 19 3 2 2 2" xfId="35142"/>
    <cellStyle name="Normal 4 2 2 7 2 2 2" xfId="35143"/>
    <cellStyle name="Normal 4 2 2 2 3 2 2 2" xfId="35144"/>
    <cellStyle name="Normal 4 2 2 3 3 2 2 2" xfId="35145"/>
    <cellStyle name="Normal 4 2 2 4 3 2 2 2" xfId="35146"/>
    <cellStyle name="Normal 4 2 2 5 3 2 2 2" xfId="35147"/>
    <cellStyle name="Normal 4 2 20 3 2 2 2" xfId="35148"/>
    <cellStyle name="Normal 4 2 21 3 2 2 2" xfId="35149"/>
    <cellStyle name="Normal 4 2 22 3 2 2 2" xfId="35150"/>
    <cellStyle name="Normal 4 2 23 3 2 2 2" xfId="35151"/>
    <cellStyle name="Normal 4 2 24 3 2 2 2" xfId="35152"/>
    <cellStyle name="Normal 4 2 3 4 2 2 2" xfId="35153"/>
    <cellStyle name="Normal 4 2 3 2 3 2 2 2" xfId="35154"/>
    <cellStyle name="Normal 4 2 4 4 2 2 2" xfId="35155"/>
    <cellStyle name="Normal 4 2 4 2 3 2 2 2" xfId="35156"/>
    <cellStyle name="Normal 4 2 5 4 2 2 2" xfId="35157"/>
    <cellStyle name="Normal 4 2 5 2 3 2 2 2" xfId="35158"/>
    <cellStyle name="Normal 4 2 6 3 2 2 2" xfId="35159"/>
    <cellStyle name="Normal 4 2 7 3 2 2 2" xfId="35160"/>
    <cellStyle name="Normal 4 2 8 3 2 2 2" xfId="35161"/>
    <cellStyle name="Normal 4 2 9 3 2 2 2" xfId="35162"/>
    <cellStyle name="Normal 4 3 8 2 2 2" xfId="35163"/>
    <cellStyle name="Normal 4 3 2 7 2 2 2" xfId="35164"/>
    <cellStyle name="Normal 4 3 2 2 6 2 2 2" xfId="35165"/>
    <cellStyle name="Normal 4 3 2 2 2 4 2 2 2" xfId="35166"/>
    <cellStyle name="Normal 4 3 2 2 2 2 3 2 2 2" xfId="35167"/>
    <cellStyle name="Normal 4 3 2 2 3 4 2 2 2" xfId="35168"/>
    <cellStyle name="Normal 4 3 2 2 3 2 3 2 2 2" xfId="35169"/>
    <cellStyle name="Normal 4 3 2 2 4 3 2 2 2" xfId="35170"/>
    <cellStyle name="Normal 4 3 2 3 4 2 2 2" xfId="35171"/>
    <cellStyle name="Normal 4 3 2 3 2 3 2 2 2" xfId="35172"/>
    <cellStyle name="Normal 4 3 2 4 4 2 2 2" xfId="35173"/>
    <cellStyle name="Normal 4 3 2 4 2 3 2 2 2" xfId="35174"/>
    <cellStyle name="Normal 4 3 2 5 3 2 2 2" xfId="35175"/>
    <cellStyle name="Normal 4 3 3 6 2 2 2" xfId="35176"/>
    <cellStyle name="Normal 4 3 3 2 4 2 2 2" xfId="35177"/>
    <cellStyle name="Normal 4 3 3 2 2 3 2 2 2" xfId="35178"/>
    <cellStyle name="Normal 4 3 3 3 4 2 2 2" xfId="35179"/>
    <cellStyle name="Normal 4 3 3 3 2 3 2 2 2" xfId="35180"/>
    <cellStyle name="Normal 4 3 3 4 3 2 2 2" xfId="35181"/>
    <cellStyle name="Normal 4 3 4 4 2 2 2" xfId="35182"/>
    <cellStyle name="Normal 4 3 4 2 3 2 2 2" xfId="35183"/>
    <cellStyle name="Normal 4 3 5 4 2 2 2" xfId="35184"/>
    <cellStyle name="Normal 4 3 5 2 3 2 2 2" xfId="35185"/>
    <cellStyle name="Normal 4 3 6 3 2 2 2" xfId="35186"/>
    <cellStyle name="Normal 4 4 5 2 2 2" xfId="35187"/>
    <cellStyle name="Normal 4 4 2 3 2 2 2" xfId="35188"/>
    <cellStyle name="Normal 4 5 3 2 2 2" xfId="35189"/>
    <cellStyle name="Normal 4 6 3 2 2 2" xfId="35190"/>
    <cellStyle name="Normal 4 7 3 2 2 2" xfId="35191"/>
    <cellStyle name="Normal 4 8 3 2 2 2" xfId="35192"/>
    <cellStyle name="Normal 41 2 3 2 2 2" xfId="35193"/>
    <cellStyle name="Normal 46 3 2 2 2" xfId="35194"/>
    <cellStyle name="Normal 5 28 3 2 2 2" xfId="35195"/>
    <cellStyle name="Normal 5 2 8 2 2 2" xfId="35196"/>
    <cellStyle name="Normal 5 2 2 2 2 3 2 2 2" xfId="35197"/>
    <cellStyle name="Normal 5 2 2 3 3 2 2 2" xfId="35198"/>
    <cellStyle name="Normal 5 2 3 2 2 3 2 2 2" xfId="35199"/>
    <cellStyle name="Normal 5 2 3 3 3 2 2 2" xfId="35200"/>
    <cellStyle name="Normal 5 2 4 2 3 2 2 2" xfId="35201"/>
    <cellStyle name="Normal 5 2 6 3 2 2 2" xfId="35202"/>
    <cellStyle name="Normal 5 24 3 2 2 2" xfId="35203"/>
    <cellStyle name="Normal 5 3 4 2 2 2" xfId="35204"/>
    <cellStyle name="Normal 5 4 4 2 2 2" xfId="35205"/>
    <cellStyle name="Normal 5 5 4 2 2 2" xfId="35206"/>
    <cellStyle name="Normal 5 6 4 2 2 2" xfId="35207"/>
    <cellStyle name="Normal 5 7 4 2 2 2" xfId="35208"/>
    <cellStyle name="Normal 7 25 3 2 2 2" xfId="35209"/>
    <cellStyle name="Normal 7 10 3 2 2 2" xfId="35210"/>
    <cellStyle name="Normal 7 11 3 2 2 2" xfId="35211"/>
    <cellStyle name="Normal 7 12 3 2 2 2" xfId="35212"/>
    <cellStyle name="Normal 7 13 3 2 2 2" xfId="35213"/>
    <cellStyle name="Normal 7 14 3 2 2 2" xfId="35214"/>
    <cellStyle name="Normal 7 15 3 2 2 2" xfId="35215"/>
    <cellStyle name="Normal 7 16 3 2 2 2" xfId="35216"/>
    <cellStyle name="Normal 7 17 3 2 2 2" xfId="35217"/>
    <cellStyle name="Normal 7 18 3 2 2 2" xfId="35218"/>
    <cellStyle name="Normal 7 19 3 2 2 2" xfId="35219"/>
    <cellStyle name="Normal 7 2 7 2 2 2" xfId="35220"/>
    <cellStyle name="Normal 7 2 2 3 2 2 2" xfId="35221"/>
    <cellStyle name="Normal 7 2 3 3 2 2 2" xfId="35222"/>
    <cellStyle name="Normal 7 2 4 3 2 2 2" xfId="35223"/>
    <cellStyle name="Normal 7 2 5 3 2 2 2" xfId="35224"/>
    <cellStyle name="Normal 7 20 3 2 2 2" xfId="35225"/>
    <cellStyle name="Normal 7 22 3 2 2 2" xfId="35226"/>
    <cellStyle name="Normal 7 3 7 2 2 2" xfId="35227"/>
    <cellStyle name="Normal 7 3 2 3 2 2 2" xfId="35228"/>
    <cellStyle name="Normal 7 3 3 3 2 2 2" xfId="35229"/>
    <cellStyle name="Normal 7 3 4 3 2 2 2" xfId="35230"/>
    <cellStyle name="Normal 7 3 5 3 2 2 2" xfId="35231"/>
    <cellStyle name="Normal 7 4 3 2 2 2" xfId="35232"/>
    <cellStyle name="Normal 7 5 3 2 2 2" xfId="35233"/>
    <cellStyle name="Normal 7 6 3 2 2 2" xfId="35234"/>
    <cellStyle name="Normal 7 7 3 2 2 2" xfId="35235"/>
    <cellStyle name="Normal 7 8 3 2 2 2" xfId="35236"/>
    <cellStyle name="Normal 7 9 3 2 2 2" xfId="35237"/>
    <cellStyle name="Normal 8 25 3 2 2 2" xfId="35238"/>
    <cellStyle name="Normal 8 10 3 2 2 2" xfId="35239"/>
    <cellStyle name="Normal 8 11 3 2 2 2" xfId="35240"/>
    <cellStyle name="Normal 8 12 3 2 2 2" xfId="35241"/>
    <cellStyle name="Normal 8 13 3 2 2 2" xfId="35242"/>
    <cellStyle name="Normal 8 14 3 2 2 2" xfId="35243"/>
    <cellStyle name="Normal 8 15 3 2 2 2" xfId="35244"/>
    <cellStyle name="Normal 8 16 3 2 2 2" xfId="35245"/>
    <cellStyle name="Normal 8 17 3 2 2 2" xfId="35246"/>
    <cellStyle name="Normal 8 18 3 2 2 2" xfId="35247"/>
    <cellStyle name="Normal 8 19 3 2 2 2" xfId="35248"/>
    <cellStyle name="Normal 8 2 6 3 2 2 2" xfId="35249"/>
    <cellStyle name="Normal 8 2 2 2 3 2 2 2" xfId="35250"/>
    <cellStyle name="Normal 8 2 3 3 2 2 2" xfId="35251"/>
    <cellStyle name="Normal 8 2 4 3 2 2 2" xfId="35252"/>
    <cellStyle name="Normal 8 2 5 3 2 2 2" xfId="35253"/>
    <cellStyle name="Normal 8 20 3 2 2 2" xfId="35254"/>
    <cellStyle name="Normal 8 22 3 2 2 2" xfId="35255"/>
    <cellStyle name="Normal 8 3 6 3 2 2 2" xfId="35256"/>
    <cellStyle name="Normal 8 3 2 3 2 2 2" xfId="35257"/>
    <cellStyle name="Normal 8 3 3 3 2 2 2" xfId="35258"/>
    <cellStyle name="Normal 8 3 4 3 2 2 2" xfId="35259"/>
    <cellStyle name="Normal 8 3 5 3 2 2 2" xfId="35260"/>
    <cellStyle name="Normal 8 4 3 2 2 2" xfId="35261"/>
    <cellStyle name="Normal 8 5 3 2 2 2" xfId="35262"/>
    <cellStyle name="Normal 8 6 3 2 2 2" xfId="35263"/>
    <cellStyle name="Normal 8 7 3 2 2 2" xfId="35264"/>
    <cellStyle name="Normal 8 8 3 2 2 2" xfId="35265"/>
    <cellStyle name="Normal 8 9 3 2 2 2" xfId="35266"/>
    <cellStyle name="Normal 9 25 3 2 2 2" xfId="35267"/>
    <cellStyle name="Normal 9 10 3 2 2 2" xfId="35268"/>
    <cellStyle name="Normal 9 11 3 2 2 2" xfId="35269"/>
    <cellStyle name="Normal 9 12 3 2 2 2" xfId="35270"/>
    <cellStyle name="Normal 9 13 3 2 2 2" xfId="35271"/>
    <cellStyle name="Normal 9 14 3 2 2 2" xfId="35272"/>
    <cellStyle name="Normal 9 15 3 2 2 2" xfId="35273"/>
    <cellStyle name="Normal 9 16 3 2 2 2" xfId="35274"/>
    <cellStyle name="Normal 9 17 3 2 2 2" xfId="35275"/>
    <cellStyle name="Normal 9 18 3 2 2 2" xfId="35276"/>
    <cellStyle name="Normal 9 19 3 2 2 2" xfId="35277"/>
    <cellStyle name="Normal 9 2 7 2 2 2" xfId="35278"/>
    <cellStyle name="Normal 9 2 2 3 2 2 2" xfId="35279"/>
    <cellStyle name="Normal 9 2 3 3 2 2 2" xfId="35280"/>
    <cellStyle name="Normal 9 2 4 3 2 2 2" xfId="35281"/>
    <cellStyle name="Normal 9 2 5 3 2 2 2" xfId="35282"/>
    <cellStyle name="Normal 9 20 3 2 2 2" xfId="35283"/>
    <cellStyle name="Normal 9 22 3 2 2 2" xfId="35284"/>
    <cellStyle name="Normal 9 3 7 2 2 2" xfId="35285"/>
    <cellStyle name="Normal 9 3 2 3 2 2 2" xfId="35286"/>
    <cellStyle name="Normal 9 3 3 3 2 2 2" xfId="35287"/>
    <cellStyle name="Normal 9 3 4 3 2 2 2" xfId="35288"/>
    <cellStyle name="Normal 9 3 5 3 2 2 2" xfId="35289"/>
    <cellStyle name="Normal 9 4 3 2 2 2" xfId="35290"/>
    <cellStyle name="Normal 9 5 3 2 2 2" xfId="35291"/>
    <cellStyle name="Normal 9 6 3 2 2 2" xfId="35292"/>
    <cellStyle name="Normal 9 7 3 2 2 2" xfId="35293"/>
    <cellStyle name="Normal 9 8 3 2 2 2" xfId="35294"/>
    <cellStyle name="Normal 9 9 3 2 2 2" xfId="35295"/>
    <cellStyle name="Note 2 3 2 2 2" xfId="35296"/>
    <cellStyle name="Note 3 3 2 2 2" xfId="35297"/>
    <cellStyle name="Note 4 3 2 2 2" xfId="35298"/>
    <cellStyle name="Note 7 3 2 2 2" xfId="35299"/>
    <cellStyle name="Percent 120 3 2 2 2" xfId="35300"/>
    <cellStyle name="Percent 121 3 2 2 2" xfId="35301"/>
    <cellStyle name="Percent 122 3 2 2 2" xfId="35302"/>
    <cellStyle name="Percent 123 3 2 2 2" xfId="35303"/>
    <cellStyle name="Percent 124 3 2 2 2" xfId="35304"/>
    <cellStyle name="Percent 125 3 2 2 2" xfId="35305"/>
    <cellStyle name="Percent 126 3 2 2 2" xfId="35306"/>
    <cellStyle name="Percent 127 3 2 2 2" xfId="35307"/>
    <cellStyle name="Percent 128 3 2 2 2" xfId="35308"/>
    <cellStyle name="Percent 129 3 2 2 2" xfId="35309"/>
    <cellStyle name="Percent 130 3 2 2 2" xfId="35310"/>
    <cellStyle name="Percent 159 3 2 2 2" xfId="35311"/>
    <cellStyle name="Percent 2 22 3 2 2 2" xfId="35312"/>
    <cellStyle name="Percent 25 2 4 2 2 2" xfId="35313"/>
    <cellStyle name="Percent 25 2 2 3 2 2 2" xfId="35314"/>
    <cellStyle name="Percent 25 3 4 2 2 2" xfId="35315"/>
    <cellStyle name="Percent 25 3 2 3 2 2 2" xfId="35316"/>
    <cellStyle name="Percent 25 4 2 3 2 2 2" xfId="35317"/>
    <cellStyle name="Percent 25 5 3 2 2 2" xfId="35318"/>
    <cellStyle name="Percent 26 2 4 2 2 2" xfId="35319"/>
    <cellStyle name="Percent 26 2 2 3 2 2 2" xfId="35320"/>
    <cellStyle name="Percent 26 3 4 2 2 2" xfId="35321"/>
    <cellStyle name="Percent 26 3 2 3 2 2 2" xfId="35322"/>
    <cellStyle name="Percent 26 4 2 3 2 2 2" xfId="35323"/>
    <cellStyle name="Percent 26 5 3 2 2 2" xfId="35324"/>
    <cellStyle name="Percent 27 2 4 2 2 2" xfId="35325"/>
    <cellStyle name="Percent 27 2 2 3 2 2 2" xfId="35326"/>
    <cellStyle name="Percent 27 3 4 2 2 2" xfId="35327"/>
    <cellStyle name="Percent 27 3 2 3 2 2 2" xfId="35328"/>
    <cellStyle name="Percent 27 4 2 3 2 2 2" xfId="35329"/>
    <cellStyle name="Percent 27 5 3 2 2 2" xfId="35330"/>
    <cellStyle name="Percent 28 2 4 2 2 2" xfId="35331"/>
    <cellStyle name="Percent 28 2 2 3 2 2 2" xfId="35332"/>
    <cellStyle name="Percent 28 3 4 2 2 2" xfId="35333"/>
    <cellStyle name="Percent 28 3 2 3 2 2 2" xfId="35334"/>
    <cellStyle name="Percent 28 4 2 3 2 2 2" xfId="35335"/>
    <cellStyle name="Percent 28 5 3 2 2 2" xfId="35336"/>
    <cellStyle name="Percent 29 2 4 2 2 2" xfId="35337"/>
    <cellStyle name="Percent 29 2 2 3 2 2 2" xfId="35338"/>
    <cellStyle name="Percent 29 3 4 2 2 2" xfId="35339"/>
    <cellStyle name="Percent 29 3 2 3 2 2 2" xfId="35340"/>
    <cellStyle name="Percent 29 4 2 3 2 2 2" xfId="35341"/>
    <cellStyle name="Percent 29 5 3 2 2 2" xfId="35342"/>
    <cellStyle name="Percent 3 10 3 2 2 2" xfId="35343"/>
    <cellStyle name="Percent 3 11 3 2 2 2" xfId="35344"/>
    <cellStyle name="Percent 3 12 3 2 2 2" xfId="35345"/>
    <cellStyle name="Percent 3 13 3 2 2 2" xfId="35346"/>
    <cellStyle name="Percent 3 14 3 2 2 2" xfId="35347"/>
    <cellStyle name="Percent 3 15 3 2 2 2" xfId="35348"/>
    <cellStyle name="Percent 3 16 3 2 2 2" xfId="35349"/>
    <cellStyle name="Percent 3 17 3 2 2 2" xfId="35350"/>
    <cellStyle name="Percent 3 18 3 2 2 2" xfId="35351"/>
    <cellStyle name="Percent 3 19 3 2 2 2" xfId="35352"/>
    <cellStyle name="Percent 3 2 24 2 2 2" xfId="35353"/>
    <cellStyle name="Percent 3 2 10 3 2 2 2" xfId="35354"/>
    <cellStyle name="Percent 3 2 11 3 2 2 2" xfId="35355"/>
    <cellStyle name="Percent 3 2 12 3 2 2 2" xfId="35356"/>
    <cellStyle name="Percent 3 2 13 3 2 2 2" xfId="35357"/>
    <cellStyle name="Percent 3 2 14 3 2 2 2" xfId="35358"/>
    <cellStyle name="Percent 3 2 15 3 2 2 2" xfId="35359"/>
    <cellStyle name="Percent 3 2 16 3 2 2 2" xfId="35360"/>
    <cellStyle name="Percent 3 2 17 3 2 2 2" xfId="35361"/>
    <cellStyle name="Percent 3 2 18 3 2 2 2" xfId="35362"/>
    <cellStyle name="Percent 3 2 19 3 2 2 2" xfId="35363"/>
    <cellStyle name="Percent 3 2 2 2 3 2 2 2" xfId="35364"/>
    <cellStyle name="Percent 3 2 2 3 3 2 2 2" xfId="35365"/>
    <cellStyle name="Percent 3 2 2 4 3 2 2 2" xfId="35366"/>
    <cellStyle name="Percent 3 2 2 5 3 2 2 2" xfId="35367"/>
    <cellStyle name="Percent 3 2 20 3 2 2 2" xfId="35368"/>
    <cellStyle name="Percent 3 2 21 2 3 2 2 2" xfId="35369"/>
    <cellStyle name="Percent 3 2 3 7 2 2 2" xfId="35370"/>
    <cellStyle name="Percent 3 2 3 2 3 2 2 2" xfId="35371"/>
    <cellStyle name="Percent 3 2 3 3 3 2 2 2" xfId="35372"/>
    <cellStyle name="Percent 3 2 3 4 3 2 2 2" xfId="35373"/>
    <cellStyle name="Percent 3 2 3 5 3 2 2 2" xfId="35374"/>
    <cellStyle name="Percent 3 2 4 4 2 2 2" xfId="35375"/>
    <cellStyle name="Percent 3 2 4 2 3 2 2 2" xfId="35376"/>
    <cellStyle name="Percent 3 2 5 4 2 2 2" xfId="35377"/>
    <cellStyle name="Percent 3 2 5 2 3 2 2 2" xfId="35378"/>
    <cellStyle name="Percent 3 2 6 4 2 2 2" xfId="35379"/>
    <cellStyle name="Percent 3 2 6 2 3 2 2 2" xfId="35380"/>
    <cellStyle name="Percent 3 2 7 3 2 2 2" xfId="35381"/>
    <cellStyle name="Percent 3 2 8 3 2 2 2" xfId="35382"/>
    <cellStyle name="Percent 3 2 9 3 2 2 2" xfId="35383"/>
    <cellStyle name="Percent 3 20 3 2 2 2" xfId="35384"/>
    <cellStyle name="Percent 3 21 3 2 2 2" xfId="35385"/>
    <cellStyle name="Percent 3 3 2 3 2 2 2" xfId="35386"/>
    <cellStyle name="Percent 3 3 3 3 2 2 2" xfId="35387"/>
    <cellStyle name="Percent 3 3 4 3 2 2 2" xfId="35388"/>
    <cellStyle name="Percent 3 3 5 3 2 2 2" xfId="35389"/>
    <cellStyle name="Percent 3 4 7 2 2 2" xfId="35390"/>
    <cellStyle name="Percent 3 4 2 3 2 2 2" xfId="35391"/>
    <cellStyle name="Percent 3 4 3 3 2 2 2" xfId="35392"/>
    <cellStyle name="Percent 3 4 4 3 2 2 2" xfId="35393"/>
    <cellStyle name="Percent 3 4 5 3 2 2 2" xfId="35394"/>
    <cellStyle name="Percent 3 5 4 2 2 2" xfId="35395"/>
    <cellStyle name="Percent 3 5 2 3 2 2 2" xfId="35396"/>
    <cellStyle name="Percent 3 6 4 2 2 2" xfId="35397"/>
    <cellStyle name="Percent 3 6 2 3 2 2 2" xfId="35398"/>
    <cellStyle name="Percent 3 7 4 2 2 2" xfId="35399"/>
    <cellStyle name="Percent 3 7 2 3 2 2 2" xfId="35400"/>
    <cellStyle name="Percent 3 8 3 2 2 2" xfId="35401"/>
    <cellStyle name="Percent 3 9 3 2 2 2" xfId="35402"/>
    <cellStyle name="Percent 30 2 4 2 2 2" xfId="35403"/>
    <cellStyle name="Percent 30 2 2 3 2 2 2" xfId="35404"/>
    <cellStyle name="Percent 30 3 4 2 2 2" xfId="35405"/>
    <cellStyle name="Percent 30 3 2 3 2 2 2" xfId="35406"/>
    <cellStyle name="Percent 30 4 2 3 2 2 2" xfId="35407"/>
    <cellStyle name="Percent 30 5 3 2 2 2" xfId="35408"/>
    <cellStyle name="Percent 31 2 4 2 2 2" xfId="35409"/>
    <cellStyle name="Percent 31 2 2 3 2 2 2" xfId="35410"/>
    <cellStyle name="Percent 31 3 4 2 2 2" xfId="35411"/>
    <cellStyle name="Percent 31 3 2 3 2 2 2" xfId="35412"/>
    <cellStyle name="Percent 31 4 2 3 2 2 2" xfId="35413"/>
    <cellStyle name="Percent 31 5 3 2 2 2" xfId="35414"/>
    <cellStyle name="Percent 32 2 4 2 2 2" xfId="35415"/>
    <cellStyle name="Percent 32 2 2 3 2 2 2" xfId="35416"/>
    <cellStyle name="Percent 32 3 4 2 2 2" xfId="35417"/>
    <cellStyle name="Percent 32 3 2 3 2 2 2" xfId="35418"/>
    <cellStyle name="Percent 32 4 2 3 2 2 2" xfId="35419"/>
    <cellStyle name="Percent 32 5 3 2 2 2" xfId="35420"/>
    <cellStyle name="Percent 33 2 4 2 2 2" xfId="35421"/>
    <cellStyle name="Percent 33 2 2 3 2 2 2" xfId="35422"/>
    <cellStyle name="Percent 33 3 4 2 2 2" xfId="35423"/>
    <cellStyle name="Percent 33 3 2 3 2 2 2" xfId="35424"/>
    <cellStyle name="Percent 33 4 2 3 2 2 2" xfId="35425"/>
    <cellStyle name="Percent 33 5 3 2 2 2" xfId="35426"/>
    <cellStyle name="Percent 34 2 4 2 2 2" xfId="35427"/>
    <cellStyle name="Percent 34 2 2 3 2 2 2" xfId="35428"/>
    <cellStyle name="Percent 34 3 4 2 2 2" xfId="35429"/>
    <cellStyle name="Percent 34 3 2 3 2 2 2" xfId="35430"/>
    <cellStyle name="Percent 34 4 2 3 2 2 2" xfId="35431"/>
    <cellStyle name="Percent 34 5 3 2 2 2" xfId="35432"/>
    <cellStyle name="Percent 35 2 4 2 2 2" xfId="35433"/>
    <cellStyle name="Percent 35 2 2 3 2 2 2" xfId="35434"/>
    <cellStyle name="Percent 35 3 4 2 2 2" xfId="35435"/>
    <cellStyle name="Percent 35 3 2 3 2 2 2" xfId="35436"/>
    <cellStyle name="Percent 35 4 2 3 2 2 2" xfId="35437"/>
    <cellStyle name="Percent 35 5 3 2 2 2" xfId="35438"/>
    <cellStyle name="Currency 5 4 3 2 2 2" xfId="35439"/>
    <cellStyle name="Comma 5 7 3 2 2 2" xfId="35440"/>
    <cellStyle name="Percent 5 4 3 2 2 2" xfId="35441"/>
    <cellStyle name="Comma 6 5 3 2 2 2" xfId="35442"/>
    <cellStyle name="Currency 5 2 4 3 2 2 2" xfId="35443"/>
    <cellStyle name="Comma 5 2 4 3 2 2 2" xfId="35444"/>
    <cellStyle name="Percent 5 2 4 3 2 2 2" xfId="35445"/>
    <cellStyle name="Comma 6 2 3 3 2 2 2" xfId="35446"/>
    <cellStyle name="Currency 5 3 2 3 2 2 2" xfId="35447"/>
    <cellStyle name="Comma 5 3 2 3 2 2 2" xfId="35448"/>
    <cellStyle name="Percent 5 3 2 3 2 2 2" xfId="35449"/>
    <cellStyle name="Comma 6 3 4 3 2 2 2" xfId="35450"/>
    <cellStyle name="Normal 11 2 2 3 2 2 2" xfId="35451"/>
    <cellStyle name="Currency 5 2 2 2 3 2 2 2" xfId="35452"/>
    <cellStyle name="Comma 5 2 2 2 3 2 2 2" xfId="35453"/>
    <cellStyle name="Percent 5 2 2 2 3 2 2 2" xfId="35454"/>
    <cellStyle name="Comma 6 2 2 2 3 2 2 2" xfId="35455"/>
    <cellStyle name="Normal 51 3 2 2 2" xfId="35456"/>
    <cellStyle name="Comma 187 3 2 2 2" xfId="35457"/>
    <cellStyle name="Percent 163 3 2 2 2" xfId="35458"/>
    <cellStyle name="Currency 162 3 2 2 2" xfId="35459"/>
    <cellStyle name="Currency 5 6 2 2 2 2" xfId="35460"/>
    <cellStyle name="Currency 179 2 2 2 2" xfId="35461"/>
    <cellStyle name="Percent 180 2 2 2 2" xfId="35462"/>
    <cellStyle name="Comma 204 2 2 2 2" xfId="35463"/>
    <cellStyle name="Normal 8 26 2 2 2 2" xfId="35464"/>
    <cellStyle name="Comma 5 9 2 2 2 2" xfId="35465"/>
    <cellStyle name="Percent 5 6 2 2 2 2" xfId="35466"/>
    <cellStyle name="Comma 6 7 2 2 2 2" xfId="35467"/>
    <cellStyle name="Normal 11 5 2 2 2 2" xfId="35468"/>
    <cellStyle name="Currency 5 2 6 2 2 2 2" xfId="35469"/>
    <cellStyle name="Normal 8 2 7 2 2 2 2" xfId="35470"/>
    <cellStyle name="Comma 5 2 6 2 2 2 2" xfId="35471"/>
    <cellStyle name="Percent 5 2 6 2 2 2 2" xfId="35472"/>
    <cellStyle name="Comma 6 2 5 2 2 2 2" xfId="35473"/>
    <cellStyle name="Currency 5 3 4 2 2 2 2" xfId="35474"/>
    <cellStyle name="Normal 8 3 7 2 2 2 2" xfId="35475"/>
    <cellStyle name="Comma 5 3 4 2 2 2 2" xfId="35476"/>
    <cellStyle name="Percent 5 3 4 2 2 2 2" xfId="35477"/>
    <cellStyle name="Comma 6 3 6 2 2 2 2" xfId="35478"/>
    <cellStyle name="Normal 11 2 4 2 2 2 2" xfId="35479"/>
    <cellStyle name="Currency 5 2 2 4 2 2 2 2" xfId="35480"/>
    <cellStyle name="Normal 8 2 2 3 2 2 2 2" xfId="35481"/>
    <cellStyle name="Comma 5 2 2 4 2 2 2 2" xfId="35482"/>
    <cellStyle name="Percent 5 2 2 4 2 2 2 2" xfId="35483"/>
    <cellStyle name="Comma 6 2 2 3 2 2 2 2" xfId="35484"/>
    <cellStyle name="Normal 50 2 2 2 2 2" xfId="35485"/>
    <cellStyle name="Comma 186 2 2 2 2 2" xfId="35486"/>
    <cellStyle name="Percent 162 2 2 2 2 2" xfId="35487"/>
    <cellStyle name="Normal 2 24 2 2 2 2 2" xfId="35488"/>
    <cellStyle name="20% - Accent1 2 2 2 2 2 2" xfId="35489"/>
    <cellStyle name="20% - Accent1 3 2 2 2 2 2" xfId="35490"/>
    <cellStyle name="20% - Accent1 4 2 2 2 2 2" xfId="35491"/>
    <cellStyle name="20% - Accent1 5 2 2 2 2 2" xfId="35492"/>
    <cellStyle name="20% - Accent2 2 2 2 2 2 2" xfId="35493"/>
    <cellStyle name="20% - Accent2 3 2 2 2 2 2" xfId="35494"/>
    <cellStyle name="20% - Accent2 4 2 2 2 2 2" xfId="35495"/>
    <cellStyle name="20% - Accent2 5 2 2 2 2 2" xfId="35496"/>
    <cellStyle name="20% - Accent3 2 2 2 2 2 2" xfId="35497"/>
    <cellStyle name="20% - Accent3 3 2 2 2 2 2" xfId="35498"/>
    <cellStyle name="20% - Accent3 4 2 2 2 2 2" xfId="35499"/>
    <cellStyle name="20% - Accent3 5 2 2 2 2 2" xfId="35500"/>
    <cellStyle name="20% - Accent4 2 2 2 2 2 2" xfId="35501"/>
    <cellStyle name="20% - Accent4 3 2 2 2 2 2" xfId="35502"/>
    <cellStyle name="20% - Accent4 4 2 2 2 2 2" xfId="35503"/>
    <cellStyle name="20% - Accent4 5 2 2 2 2 2" xfId="35504"/>
    <cellStyle name="20% - Accent5 2 2 2 2 2 2" xfId="35505"/>
    <cellStyle name="20% - Accent5 3 2 2 2 2 2" xfId="35506"/>
    <cellStyle name="20% - Accent5 4 2 2 2 2 2" xfId="35507"/>
    <cellStyle name="20% - Accent6 2 2 2 2 2 2" xfId="35508"/>
    <cellStyle name="20% - Accent6 3 2 2 2 2 2" xfId="35509"/>
    <cellStyle name="20% - Accent6 4 2 2 2 2 2" xfId="35510"/>
    <cellStyle name="40% - Accent1 2 2 2 2 2 2" xfId="35511"/>
    <cellStyle name="40% - Accent1 3 2 2 2 2 2" xfId="35512"/>
    <cellStyle name="40% - Accent1 4 2 2 2 2 2" xfId="35513"/>
    <cellStyle name="40% - Accent1 5 2 2 2 2 2" xfId="35514"/>
    <cellStyle name="40% - Accent2 2 2 2 2 2 2" xfId="35515"/>
    <cellStyle name="40% - Accent2 3 2 2 2 2 2" xfId="35516"/>
    <cellStyle name="40% - Accent2 4 2 2 2 2 2" xfId="35517"/>
    <cellStyle name="40% - Accent3 2 2 2 2 2 2" xfId="35518"/>
    <cellStyle name="40% - Accent3 3 2 2 2 2 2" xfId="35519"/>
    <cellStyle name="40% - Accent3 4 2 2 2 2 2" xfId="35520"/>
    <cellStyle name="40% - Accent3 5 2 2 2 2 2" xfId="35521"/>
    <cellStyle name="40% - Accent4 2 2 2 2 2 2" xfId="35522"/>
    <cellStyle name="40% - Accent4 3 2 2 2 2 2" xfId="35523"/>
    <cellStyle name="40% - Accent4 4 2 2 2 2 2" xfId="35524"/>
    <cellStyle name="40% - Accent4 5 2 2 2 2 2" xfId="35525"/>
    <cellStyle name="40% - Accent5 2 2 2 2 2 2" xfId="35526"/>
    <cellStyle name="40% - Accent5 3 2 2 2 2 2" xfId="35527"/>
    <cellStyle name="40% - Accent5 4 2 2 2 2 2" xfId="35528"/>
    <cellStyle name="40% - Accent6 2 2 2 2 2 2" xfId="35529"/>
    <cellStyle name="40% - Accent6 3 2 2 2 2 2" xfId="35530"/>
    <cellStyle name="40% - Accent6 4 2 2 2 2 2" xfId="35531"/>
    <cellStyle name="40% - Accent6 5 2 2 2 2 2" xfId="35532"/>
    <cellStyle name="Comma 143 2 2 2 2 2" xfId="35533"/>
    <cellStyle name="Comma 144 2 2 2 2 2" xfId="35534"/>
    <cellStyle name="Comma 145 2 2 2 2 2" xfId="35535"/>
    <cellStyle name="Comma 146 2 2 2 2 2" xfId="35536"/>
    <cellStyle name="Comma 147 2 2 2 2 2" xfId="35537"/>
    <cellStyle name="Comma 148 2 2 2 2 2" xfId="35538"/>
    <cellStyle name="Comma 149 2 2 2 2 2" xfId="35539"/>
    <cellStyle name="Comma 150 2 2 2 2 2" xfId="35540"/>
    <cellStyle name="Comma 151 2 2 2 2 2" xfId="35541"/>
    <cellStyle name="Comma 152 2 2 2 2 2" xfId="35542"/>
    <cellStyle name="Comma 153 2 2 2 2 2" xfId="35543"/>
    <cellStyle name="Comma 182 2 2 2 2 2" xfId="35544"/>
    <cellStyle name="Comma 2 23 2 2 2 2 2" xfId="35545"/>
    <cellStyle name="Comma 2 2 10 2 2 2 2 2" xfId="35546"/>
    <cellStyle name="Comma 2 2 11 2 2 2 2 2" xfId="35547"/>
    <cellStyle name="Comma 2 2 12 2 2 2 2 2" xfId="35548"/>
    <cellStyle name="Comma 2 2 13 2 2 2 2 2" xfId="35549"/>
    <cellStyle name="Comma 2 2 14 2 2 2 2 2" xfId="35550"/>
    <cellStyle name="Comma 2 2 15 2 2 2 2 2" xfId="35551"/>
    <cellStyle name="Comma 2 2 16 2 2 2 2 2" xfId="35552"/>
    <cellStyle name="Comma 2 2 17 2 2 2 2 2" xfId="35553"/>
    <cellStyle name="Comma 2 2 2 2 6 2 2 2 2" xfId="35554"/>
    <cellStyle name="Comma 2 2 2 2 2 2 2 2 2 2" xfId="35555"/>
    <cellStyle name="Comma 2 2 2 2 3 2 2 2 2 2" xfId="35556"/>
    <cellStyle name="Comma 2 2 2 2 4 2 2 2 2 2" xfId="35557"/>
    <cellStyle name="Comma 2 2 2 2 5 2 2 2 2 2" xfId="35558"/>
    <cellStyle name="Comma 2 2 2 3 2 2 2 2 2" xfId="35559"/>
    <cellStyle name="Comma 2 2 2 4 2 2 2 2 2" xfId="35560"/>
    <cellStyle name="Comma 2 2 2 5 2 2 2 2 2" xfId="35561"/>
    <cellStyle name="Comma 2 2 2 6 2 2 2 2 2" xfId="35562"/>
    <cellStyle name="Comma 2 2 3 6 2 2 2 2" xfId="35563"/>
    <cellStyle name="Comma 2 2 3 2 2 2 2 2 2 2" xfId="35564"/>
    <cellStyle name="Comma 2 2 3 2 3 2 2 2 2 2" xfId="35565"/>
    <cellStyle name="Comma 2 2 3 2 4 2 2 2 2 2" xfId="35566"/>
    <cellStyle name="Comma 2 2 3 2 5 2 2 2 2 2" xfId="35567"/>
    <cellStyle name="Comma 2 2 3 3 2 2 2 2 2" xfId="35568"/>
    <cellStyle name="Comma 2 2 4 2 2 2 2 2 2" xfId="35569"/>
    <cellStyle name="Comma 2 2 5 2 2 2 2 2" xfId="35570"/>
    <cellStyle name="Comma 2 2 6 2 2 2 2 2" xfId="35571"/>
    <cellStyle name="Comma 2 2 7 2 2 2 2 2" xfId="35572"/>
    <cellStyle name="Comma 2 2 8 2 2 2 2 2" xfId="35573"/>
    <cellStyle name="Comma 2 2 9 2 2 2 2 2" xfId="35574"/>
    <cellStyle name="Comma 3 10 2 2 2 2 2" xfId="35575"/>
    <cellStyle name="Comma 3 11 2 2 2 2 2" xfId="35576"/>
    <cellStyle name="Comma 3 12 2 2 2 2 2" xfId="35577"/>
    <cellStyle name="Comma 3 13 2 2 2 2 2" xfId="35578"/>
    <cellStyle name="Comma 3 14 2 2 2 2 2" xfId="35579"/>
    <cellStyle name="Comma 3 15 2 2 2 2 2" xfId="35580"/>
    <cellStyle name="Comma 3 16 2 2 2 2 2" xfId="35581"/>
    <cellStyle name="Comma 3 17 2 2 2 2 2" xfId="35582"/>
    <cellStyle name="Comma 3 18 2 2 2 2 2" xfId="35583"/>
    <cellStyle name="Comma 3 19 2 2 2 2 2" xfId="35584"/>
    <cellStyle name="Comma 3 2 2 2 2 2 2 2" xfId="35585"/>
    <cellStyle name="Comma 3 2 3 2 2 2 2 2" xfId="35586"/>
    <cellStyle name="Comma 3 2 4 2 2 2 2 2" xfId="35587"/>
    <cellStyle name="Comma 3 2 5 2 2 2 2 2" xfId="35588"/>
    <cellStyle name="Comma 3 20 2 2 2 2 2" xfId="35589"/>
    <cellStyle name="Comma 3 21 2 2 2 2 2" xfId="35590"/>
    <cellStyle name="Comma 3 3 6 2 2 2 2" xfId="35591"/>
    <cellStyle name="Comma 3 3 2 2 2 2 2 2" xfId="35592"/>
    <cellStyle name="Comma 3 3 3 2 2 2 2 2" xfId="35593"/>
    <cellStyle name="Comma 3 3 4 2 2 2 2 2" xfId="35594"/>
    <cellStyle name="Comma 3 3 5 2 2 2 2 2" xfId="35595"/>
    <cellStyle name="Comma 3 4 3 2 2 2 2" xfId="35596"/>
    <cellStyle name="Comma 3 4 2 2 2 2 2 2" xfId="35597"/>
    <cellStyle name="Comma 3 5 3 2 2 2 2" xfId="35598"/>
    <cellStyle name="Comma 3 5 2 2 2 2 2 2" xfId="35599"/>
    <cellStyle name="Comma 3 6 3 2 2 2 2" xfId="35600"/>
    <cellStyle name="Comma 3 6 2 2 2 2 2 2" xfId="35601"/>
    <cellStyle name="Comma 3 7 2 2 2 2 2" xfId="35602"/>
    <cellStyle name="Comma 3 8 2 2 2 2 2" xfId="35603"/>
    <cellStyle name="Comma 3 9 2 2 2 2 2" xfId="35604"/>
    <cellStyle name="Currency 120 2 2 2 2 2" xfId="35605"/>
    <cellStyle name="Currency 121 2 2 2 2 2" xfId="35606"/>
    <cellStyle name="Currency 122 2 2 2 2 2" xfId="35607"/>
    <cellStyle name="Currency 123 2 2 2 2 2" xfId="35608"/>
    <cellStyle name="Currency 124 2 2 2 2 2" xfId="35609"/>
    <cellStyle name="Currency 125 2 2 2 2 2" xfId="35610"/>
    <cellStyle name="Currency 126 2 2 2 2 2" xfId="35611"/>
    <cellStyle name="Currency 127 2 2 2 2 2" xfId="35612"/>
    <cellStyle name="Currency 128 2 2 2 2 2" xfId="35613"/>
    <cellStyle name="Currency 129 2 2 2 2 2" xfId="35614"/>
    <cellStyle name="Currency 130 2 2 2 2 2" xfId="35615"/>
    <cellStyle name="Currency 159 2 2 2 2 2" xfId="35616"/>
    <cellStyle name="Currency 2 27 2 2 2 2 2" xfId="35617"/>
    <cellStyle name="Currency 2 2 20 2 2 2 2 2" xfId="35618"/>
    <cellStyle name="Currency 2 2 10 2 2 2 2 2" xfId="35619"/>
    <cellStyle name="Currency 2 2 11 2 2 2 2 2" xfId="35620"/>
    <cellStyle name="Currency 2 2 12 2 2 2 2 2" xfId="35621"/>
    <cellStyle name="Currency 2 2 13 2 2 2 2 2" xfId="35622"/>
    <cellStyle name="Currency 2 2 14 2 2 2 2 2" xfId="35623"/>
    <cellStyle name="Currency 2 2 15 2 2 2 2 2" xfId="35624"/>
    <cellStyle name="Currency 2 2 16 2 2 2 2 2" xfId="35625"/>
    <cellStyle name="Currency 2 2 17 2 2 2 2 2" xfId="35626"/>
    <cellStyle name="Currency 2 2 18 2 2 2 2 2" xfId="35627"/>
    <cellStyle name="Currency 2 2 2 2 2 2 2 2 2" xfId="35628"/>
    <cellStyle name="Currency 2 2 2 3 2 2 2 2 2" xfId="35629"/>
    <cellStyle name="Currency 2 2 2 4 2 2 2 2 2" xfId="35630"/>
    <cellStyle name="Currency 2 2 2 5 2 2 2 2 2" xfId="35631"/>
    <cellStyle name="Currency 2 2 3 6 2 2 2 2" xfId="35632"/>
    <cellStyle name="Currency 2 2 3 2 2 2 2 2 2" xfId="35633"/>
    <cellStyle name="Currency 2 2 3 3 2 2 2 2 2" xfId="35634"/>
    <cellStyle name="Currency 2 2 3 4 2 2 2 2 2" xfId="35635"/>
    <cellStyle name="Currency 2 2 3 5 2 2 2 2 2" xfId="35636"/>
    <cellStyle name="Currency 2 2 4 2 2 2 2 2" xfId="35637"/>
    <cellStyle name="Currency 2 2 5 2 2 2 2 2" xfId="35638"/>
    <cellStyle name="Currency 2 2 6 2 2 2 2 2" xfId="35639"/>
    <cellStyle name="Currency 2 2 7 2 2 2 2 2" xfId="35640"/>
    <cellStyle name="Currency 2 2 8 2 2 2 2 2" xfId="35641"/>
    <cellStyle name="Currency 2 2 9 2 2 2 2 2" xfId="35642"/>
    <cellStyle name="Currency 3 10 2 2 2 2 2" xfId="35643"/>
    <cellStyle name="Currency 3 11 2 2 2 2 2" xfId="35644"/>
    <cellStyle name="Currency 3 12 2 2 2 2 2" xfId="35645"/>
    <cellStyle name="Currency 3 13 2 2 2 2 2" xfId="35646"/>
    <cellStyle name="Currency 3 14 2 2 2 2 2" xfId="35647"/>
    <cellStyle name="Currency 3 15 2 2 2 2 2" xfId="35648"/>
    <cellStyle name="Currency 3 16 2 2 2 2 2" xfId="35649"/>
    <cellStyle name="Currency 3 17 2 2 2 2 2" xfId="35650"/>
    <cellStyle name="Currency 3 18 2 2 2 2 2" xfId="35651"/>
    <cellStyle name="Currency 3 19 2 2 2 2 2" xfId="35652"/>
    <cellStyle name="Currency 3 2 2 2 2 2 2 2" xfId="35653"/>
    <cellStyle name="Currency 3 2 3 2 2 2 2 2" xfId="35654"/>
    <cellStyle name="Currency 3 2 4 2 2 2 2 2" xfId="35655"/>
    <cellStyle name="Currency 3 2 5 2 2 2 2 2" xfId="35656"/>
    <cellStyle name="Currency 3 20 2 2 2 2 2" xfId="35657"/>
    <cellStyle name="Currency 3 21 2 2 2 2 2" xfId="35658"/>
    <cellStyle name="Currency 3 3 8 2 2 2 2" xfId="35659"/>
    <cellStyle name="Currency 3 3 2 2 2 2 2 2" xfId="35660"/>
    <cellStyle name="Currency 3 3 3 2 2 2 2 2" xfId="35661"/>
    <cellStyle name="Currency 3 3 4 2 2 2 2 2" xfId="35662"/>
    <cellStyle name="Currency 3 3 5 2 2 2 2 2" xfId="35663"/>
    <cellStyle name="Currency 3 3 6 2 2 2 2 2" xfId="35664"/>
    <cellStyle name="Currency 3 4 3 2 2 2 2" xfId="35665"/>
    <cellStyle name="Currency 3 4 2 2 2 2 2 2" xfId="35666"/>
    <cellStyle name="Currency 3 5 3 2 2 2 2" xfId="35667"/>
    <cellStyle name="Currency 3 5 2 2 2 2 2 2" xfId="35668"/>
    <cellStyle name="Currency 3 6 3 2 2 2 2" xfId="35669"/>
    <cellStyle name="Currency 3 6 2 2 2 2 2 2" xfId="35670"/>
    <cellStyle name="Currency 3 7 2 2 2 2 2" xfId="35671"/>
    <cellStyle name="Currency 3 8 2 2 2 2 2" xfId="35672"/>
    <cellStyle name="Currency 3 9 2 2 2 2 2" xfId="35673"/>
    <cellStyle name="Normal 10 3 6 2 2 2 2" xfId="35674"/>
    <cellStyle name="Normal 10 3 2 5 2 2 2 2" xfId="35675"/>
    <cellStyle name="Normal 10 3 2 2 3 2 2 2 2" xfId="35676"/>
    <cellStyle name="Normal 10 3 2 2 2 2 2 2 2 2" xfId="35677"/>
    <cellStyle name="Normal 10 3 2 3 3 2 2 2 2" xfId="35678"/>
    <cellStyle name="Normal 10 3 2 3 2 2 2 2 2 2" xfId="35679"/>
    <cellStyle name="Normal 10 3 2 4 2 2 2 2 2" xfId="35680"/>
    <cellStyle name="Normal 10 3 3 3 2 2 2 2" xfId="35681"/>
    <cellStyle name="Normal 10 3 3 2 2 2 2 2 2" xfId="35682"/>
    <cellStyle name="Normal 10 3 4 3 2 2 2 2" xfId="35683"/>
    <cellStyle name="Normal 10 3 4 2 2 2 2 2 2" xfId="35684"/>
    <cellStyle name="Normal 10 3 5 2 2 2 2 2" xfId="35685"/>
    <cellStyle name="Normal 10 4 5 2 2 2 2" xfId="35686"/>
    <cellStyle name="Normal 10 4 2 3 2 2 2 2" xfId="35687"/>
    <cellStyle name="Normal 10 4 2 2 2 2 2 2 2" xfId="35688"/>
    <cellStyle name="Normal 10 4 3 3 2 2 2 2" xfId="35689"/>
    <cellStyle name="Normal 10 4 3 2 2 2 2 2 2" xfId="35690"/>
    <cellStyle name="Normal 10 4 4 2 2 2 2 2" xfId="35691"/>
    <cellStyle name="Normal 10 5 5 2 2 2 2" xfId="35692"/>
    <cellStyle name="Normal 10 5 2 3 2 2 2 2" xfId="35693"/>
    <cellStyle name="Normal 10 5 2 2 2 2 2 2 2" xfId="35694"/>
    <cellStyle name="Normal 10 5 3 3 2 2 2 2" xfId="35695"/>
    <cellStyle name="Normal 10 5 3 2 2 2 2 2 2" xfId="35696"/>
    <cellStyle name="Normal 10 5 4 2 2 2 2 2" xfId="35697"/>
    <cellStyle name="Normal 10 6 3 2 2 2 2" xfId="35698"/>
    <cellStyle name="Normal 10 6 2 2 2 2 2 2" xfId="35699"/>
    <cellStyle name="Normal 10 7 3 2 2 2 2" xfId="35700"/>
    <cellStyle name="Normal 10 7 2 2 2 2 2 2" xfId="35701"/>
    <cellStyle name="Normal 10 8 2 2 2 2 2 2" xfId="35702"/>
    <cellStyle name="Normal 10 9 2 2 2 2 2" xfId="35703"/>
    <cellStyle name="Normal 11 4 2 2 2 2 2" xfId="35704"/>
    <cellStyle name="Normal 11 3 2 2 2 2 2" xfId="35705"/>
    <cellStyle name="Normal 12 8 2 2 2 2" xfId="35706"/>
    <cellStyle name="Normal 12 2 2 5 2 2 2 2" xfId="35707"/>
    <cellStyle name="Normal 12 2 2 2 3 2 2 2 2" xfId="35708"/>
    <cellStyle name="Normal 12 2 2 2 2 2 2 2 2 2" xfId="35709"/>
    <cellStyle name="Normal 12 2 2 3 3 2 2 2 2" xfId="35710"/>
    <cellStyle name="Normal 12 2 2 3 2 2 2 2 2 2" xfId="35711"/>
    <cellStyle name="Normal 12 2 2 4 2 2 2 2 2" xfId="35712"/>
    <cellStyle name="Normal 12 2 3 3 2 2 2 2" xfId="35713"/>
    <cellStyle name="Normal 12 2 3 2 2 2 2 2 2" xfId="35714"/>
    <cellStyle name="Normal 12 2 4 3 2 2 2 2" xfId="35715"/>
    <cellStyle name="Normal 12 2 4 2 2 2 2 2 2" xfId="35716"/>
    <cellStyle name="Normal 12 2 5 2 2 2 2 2 2" xfId="35717"/>
    <cellStyle name="Normal 12 2 6 2 2 2 2 2" xfId="35718"/>
    <cellStyle name="Normal 12 3 5 2 2 2 2" xfId="35719"/>
    <cellStyle name="Normal 12 3 2 3 2 2 2 2" xfId="35720"/>
    <cellStyle name="Normal 12 3 2 2 2 2 2 2 2" xfId="35721"/>
    <cellStyle name="Normal 12 3 3 3 2 2 2 2" xfId="35722"/>
    <cellStyle name="Normal 12 3 3 2 2 2 2 2 2" xfId="35723"/>
    <cellStyle name="Normal 12 3 4 2 2 2 2 2" xfId="35724"/>
    <cellStyle name="Normal 12 4 5 2 2 2 2" xfId="35725"/>
    <cellStyle name="Normal 12 4 2 3 2 2 2 2" xfId="35726"/>
    <cellStyle name="Normal 12 4 2 2 2 2 2 2 2" xfId="35727"/>
    <cellStyle name="Normal 12 4 3 3 2 2 2 2" xfId="35728"/>
    <cellStyle name="Normal 12 4 3 2 2 2 2 2 2" xfId="35729"/>
    <cellStyle name="Normal 12 4 4 2 2 2 2 2" xfId="35730"/>
    <cellStyle name="Normal 12 5 3 2 2 2 2" xfId="35731"/>
    <cellStyle name="Normal 12 5 2 2 2 2 2 2" xfId="35732"/>
    <cellStyle name="Normal 12 6 3 2 2 2 2" xfId="35733"/>
    <cellStyle name="Normal 12 6 2 2 2 2 2 2" xfId="35734"/>
    <cellStyle name="Normal 12 7 2 2 2 2 2" xfId="35735"/>
    <cellStyle name="Normal 15 6 2 2 2 2" xfId="35736"/>
    <cellStyle name="Normal 15 3 2 2 2 2 2" xfId="35737"/>
    <cellStyle name="Normal 16 2 5 2 2 2 2" xfId="35738"/>
    <cellStyle name="Normal 16 2 2 3 2 2 2 2" xfId="35739"/>
    <cellStyle name="Normal 16 2 2 2 2 2 2 2 2" xfId="35740"/>
    <cellStyle name="Normal 16 2 3 3 2 2 2 2" xfId="35741"/>
    <cellStyle name="Normal 16 2 3 2 2 2 2 2 2" xfId="35742"/>
    <cellStyle name="Normal 16 2 4 2 2 2 2 2" xfId="35743"/>
    <cellStyle name="Normal 16 3 3 2 2 2 2" xfId="35744"/>
    <cellStyle name="Normal 16 3 2 2 2 2 2 2" xfId="35745"/>
    <cellStyle name="Normal 16 4 3 2 2 2 2" xfId="35746"/>
    <cellStyle name="Normal 16 4 2 2 2 2 2 2" xfId="35747"/>
    <cellStyle name="Normal 16 5 2 2 2 2 2 2" xfId="35748"/>
    <cellStyle name="Normal 16 6 2 2 2 2 2" xfId="35749"/>
    <cellStyle name="Normal 17 2 5 2 2 2 2" xfId="35750"/>
    <cellStyle name="Normal 17 2 2 3 2 2 2 2" xfId="35751"/>
    <cellStyle name="Normal 17 2 2 2 2 2 2 2 2" xfId="35752"/>
    <cellStyle name="Normal 17 2 3 3 2 2 2 2" xfId="35753"/>
    <cellStyle name="Normal 17 2 3 2 2 2 2 2 2" xfId="35754"/>
    <cellStyle name="Normal 17 2 4 2 2 2 2 2" xfId="35755"/>
    <cellStyle name="Normal 17 3 3 2 2 2 2" xfId="35756"/>
    <cellStyle name="Normal 17 3 2 2 2 2 2 2" xfId="35757"/>
    <cellStyle name="Normal 17 4 3 2 2 2 2" xfId="35758"/>
    <cellStyle name="Normal 17 4 2 2 2 2 2 2" xfId="35759"/>
    <cellStyle name="Normal 17 5 2 2 2 2 2 2" xfId="35760"/>
    <cellStyle name="Normal 17 6 2 2 2 2 2" xfId="35761"/>
    <cellStyle name="Normal 2 10 3 2 2 2 2 2" xfId="35762"/>
    <cellStyle name="Normal 2 11 3 2 2 2 2 2" xfId="35763"/>
    <cellStyle name="Normal 2 12 3 2 2 2 2 2" xfId="35764"/>
    <cellStyle name="Normal 2 13 3 2 2 2 2 2" xfId="35765"/>
    <cellStyle name="Normal 2 14 3 2 2 2 2 2" xfId="35766"/>
    <cellStyle name="Normal 2 15 3 2 2 2 2 2" xfId="35767"/>
    <cellStyle name="Normal 2 16 3 2 2 2 2 2" xfId="35768"/>
    <cellStyle name="Normal 2 17 3 2 2 2 2 2" xfId="35769"/>
    <cellStyle name="Normal 2 18 3 2 2 2 2 2" xfId="35770"/>
    <cellStyle name="Normal 2 19 3 2 2 2 2 2" xfId="35771"/>
    <cellStyle name="Normal 2 2 10 2 2 2 2 2" xfId="35772"/>
    <cellStyle name="Normal 2 2 11 2 2 2 2 2" xfId="35773"/>
    <cellStyle name="Normal 2 2 12 2 2 2 2 2" xfId="35774"/>
    <cellStyle name="Normal 2 2 13 2 2 2 2 2" xfId="35775"/>
    <cellStyle name="Normal 2 2 14 2 2 2 2 2" xfId="35776"/>
    <cellStyle name="Normal 2 2 15 2 2 2 2 2" xfId="35777"/>
    <cellStyle name="Normal 2 2 16 2 2 2 2 2" xfId="35778"/>
    <cellStyle name="Normal 2 2 17 2 2 2 2 2" xfId="35779"/>
    <cellStyle name="Normal 2 2 18 2 2 2 2 2" xfId="35780"/>
    <cellStyle name="Normal 2 2 19 2 2 2 2 2" xfId="35781"/>
    <cellStyle name="Normal 2 2 2 2 6 2 2 2 2" xfId="35782"/>
    <cellStyle name="Normal 2 2 2 2 2 3 2 2 2 2" xfId="35783"/>
    <cellStyle name="Normal 2 2 2 2 2 2 2 2 2 2 2" xfId="35784"/>
    <cellStyle name="Normal 2 2 2 2 3 2 2 2 2 2" xfId="35785"/>
    <cellStyle name="Normal 2 2 2 2 4 2 2 2 2 2" xfId="35786"/>
    <cellStyle name="Normal 2 2 2 2 5 2 2 2 2 2" xfId="35787"/>
    <cellStyle name="Normal 2 2 20 2 2 2 2 2" xfId="35788"/>
    <cellStyle name="Normal 2 2 21 2 2 2 2 2" xfId="35789"/>
    <cellStyle name="Normal 2 2 22 2 2 2 2 2" xfId="35790"/>
    <cellStyle name="Normal 2 2 3 9 2 2 2 2" xfId="35791"/>
    <cellStyle name="Normal 2 2 3 2 2 2 2 2 2" xfId="35792"/>
    <cellStyle name="Normal 2 2 3 3 2 2 2 2 2" xfId="35793"/>
    <cellStyle name="Normal 2 2 3 4 2 2 2 2 2" xfId="35794"/>
    <cellStyle name="Normal 2 2 3 5 2 2 2 2 2" xfId="35795"/>
    <cellStyle name="Normal 2 2 3 6 2 2 2 2 2" xfId="35796"/>
    <cellStyle name="Normal 2 2 4 5 2 2 2 2" xfId="35797"/>
    <cellStyle name="Normal 2 2 4 2 2 2 2 2 2" xfId="35798"/>
    <cellStyle name="Normal 2 2 5 4 2 2 2 2" xfId="35799"/>
    <cellStyle name="Normal 2 2 5 2 2 2 2 2 2" xfId="35800"/>
    <cellStyle name="Normal 2 2 6 2 2 2 2 2" xfId="35801"/>
    <cellStyle name="Normal 2 2 7 2 2 2 2 2" xfId="35802"/>
    <cellStyle name="Normal 2 2 8 2 2 2 2 2" xfId="35803"/>
    <cellStyle name="Normal 2 2 9 2 2 2 2 2" xfId="35804"/>
    <cellStyle name="Normal 2 20 2 2 2 2 2" xfId="35805"/>
    <cellStyle name="Normal 2 3 2 3 2 2 2 2" xfId="35806"/>
    <cellStyle name="Normal 2 3 3 2 2 2 2 2" xfId="35807"/>
    <cellStyle name="Normal 2 3 4 2 2 2 2 2" xfId="35808"/>
    <cellStyle name="Normal 2 3 5 2 2 2 2 2" xfId="35809"/>
    <cellStyle name="Normal 2 3 6 2 2 2 2 2" xfId="35810"/>
    <cellStyle name="Normal 2 4 5 2 2 2 2 2" xfId="35811"/>
    <cellStyle name="Normal 2 4 2 2 2 2 2 2" xfId="35812"/>
    <cellStyle name="Normal 2 5 3 2 2 2 2 2" xfId="35813"/>
    <cellStyle name="Normal 2 6 3 2 2 2 2 2" xfId="35814"/>
    <cellStyle name="Normal 2 7 3 2 2 2 2 2" xfId="35815"/>
    <cellStyle name="Normal 2 8 3 2 2 2 2 2" xfId="35816"/>
    <cellStyle name="Normal 2 9 3 2 2 2 2 2" xfId="35817"/>
    <cellStyle name="Normal 21 9 2 2 2 2" xfId="35818"/>
    <cellStyle name="Normal 21 2 7 2 2 2 2" xfId="35819"/>
    <cellStyle name="Normal 21 2 2 2 2 2 2 2" xfId="35820"/>
    <cellStyle name="Normal 21 2 3 2 2 2 2 2" xfId="35821"/>
    <cellStyle name="Normal 21 2 4 2 2 2 2 2" xfId="35822"/>
    <cellStyle name="Normal 21 2 5 2 2 2 2 2" xfId="35823"/>
    <cellStyle name="Normal 21 2 6 2 2 2 2 2" xfId="35824"/>
    <cellStyle name="Normal 21 3 3 2 2 2 2" xfId="35825"/>
    <cellStyle name="Normal 21 3 2 2 2 2 2 2" xfId="35826"/>
    <cellStyle name="Normal 21 4 2 2 2 2 2" xfId="35827"/>
    <cellStyle name="Normal 21 5 2 2 2 2 2" xfId="35828"/>
    <cellStyle name="Normal 21 6 2 2 2 2 2" xfId="35829"/>
    <cellStyle name="Normal 21 8 2 2 2 2 2" xfId="35830"/>
    <cellStyle name="Normal 22 8 2 2 2 2" xfId="35831"/>
    <cellStyle name="Normal 22 2 7 2 2 2 2" xfId="35832"/>
    <cellStyle name="Normal 22 2 2 2 2 2 2 2" xfId="35833"/>
    <cellStyle name="Normal 22 2 3 2 2 2 2 2" xfId="35834"/>
    <cellStyle name="Normal 22 2 4 2 2 2 2 2" xfId="35835"/>
    <cellStyle name="Normal 22 2 5 2 2 2 2 2" xfId="35836"/>
    <cellStyle name="Normal 22 3 2 2 2 2 2" xfId="35837"/>
    <cellStyle name="Normal 22 4 2 2 2 2 2" xfId="35838"/>
    <cellStyle name="Normal 22 5 2 2 2 2 2" xfId="35839"/>
    <cellStyle name="Normal 22 6 2 2 2 2 2" xfId="35840"/>
    <cellStyle name="Normal 23 8 2 2 2 2" xfId="35841"/>
    <cellStyle name="Normal 23 2 6 2 2 2 2" xfId="35842"/>
    <cellStyle name="Normal 23 2 2 2 2 2 2 2" xfId="35843"/>
    <cellStyle name="Normal 23 2 3 2 2 2 2 2" xfId="35844"/>
    <cellStyle name="Normal 23 2 4 2 2 2 2 2" xfId="35845"/>
    <cellStyle name="Normal 23 2 5 2 2 2 2 2" xfId="35846"/>
    <cellStyle name="Normal 23 3 2 2 2 2 2" xfId="35847"/>
    <cellStyle name="Normal 23 4 2 2 2 2 2" xfId="35848"/>
    <cellStyle name="Normal 23 5 2 2 2 2 2" xfId="35849"/>
    <cellStyle name="Normal 23 6 2 2 2 2 2" xfId="35850"/>
    <cellStyle name="Normal 24 8 2 2 2 2" xfId="35851"/>
    <cellStyle name="Normal 24 2 6 2 2 2 2" xfId="35852"/>
    <cellStyle name="Normal 24 2 2 2 2 2 2 2" xfId="35853"/>
    <cellStyle name="Normal 24 2 3 2 2 2 2 2" xfId="35854"/>
    <cellStyle name="Normal 24 2 4 2 2 2 2 2" xfId="35855"/>
    <cellStyle name="Normal 24 2 5 2 2 2 2 2" xfId="35856"/>
    <cellStyle name="Normal 24 3 2 2 2 2 2" xfId="35857"/>
    <cellStyle name="Normal 24 4 2 2 2 2 2" xfId="35858"/>
    <cellStyle name="Normal 24 5 2 2 2 2 2" xfId="35859"/>
    <cellStyle name="Normal 24 6 2 2 2 2 2" xfId="35860"/>
    <cellStyle name="Normal 26 8 2 2 2 2" xfId="35861"/>
    <cellStyle name="Normal 26 2 6 2 2 2 2" xfId="35862"/>
    <cellStyle name="Normal 26 2 2 2 2 2 2 2" xfId="35863"/>
    <cellStyle name="Normal 26 2 3 2 2 2 2 2" xfId="35864"/>
    <cellStyle name="Normal 26 2 4 2 2 2 2 2" xfId="35865"/>
    <cellStyle name="Normal 26 2 5 2 2 2 2 2" xfId="35866"/>
    <cellStyle name="Normal 26 3 2 2 2 2 2" xfId="35867"/>
    <cellStyle name="Normal 26 4 2 2 2 2 2" xfId="35868"/>
    <cellStyle name="Normal 26 5 2 2 2 2 2" xfId="35869"/>
    <cellStyle name="Normal 26 6 2 2 2 2 2" xfId="35870"/>
    <cellStyle name="Normal 3 10 2 2 2 2 2" xfId="35871"/>
    <cellStyle name="Normal 3 11 2 2 2 2 2" xfId="35872"/>
    <cellStyle name="Normal 3 12 2 2 2 2 2" xfId="35873"/>
    <cellStyle name="Normal 3 13 2 2 2 2 2" xfId="35874"/>
    <cellStyle name="Normal 3 14 2 2 2 2 2" xfId="35875"/>
    <cellStyle name="Normal 3 15 2 2 2 2 2" xfId="35876"/>
    <cellStyle name="Normal 3 16 2 2 2 2 2" xfId="35877"/>
    <cellStyle name="Normal 3 17 2 2 2 2 2" xfId="35878"/>
    <cellStyle name="Normal 3 18 2 2 2 2 2" xfId="35879"/>
    <cellStyle name="Normal 3 19 2 2 2 2 2" xfId="35880"/>
    <cellStyle name="Normal 3 2 2 2 2 2 2 2" xfId="35881"/>
    <cellStyle name="Normal 3 2 3 2 2 2 2 2" xfId="35882"/>
    <cellStyle name="Normal 3 2 4 2 2 2 2 2" xfId="35883"/>
    <cellStyle name="Normal 3 2 5 2 2 2 2 2" xfId="35884"/>
    <cellStyle name="Normal 3 2 6 2 2 2 2 2" xfId="35885"/>
    <cellStyle name="Normal 3 20 2 2 2 2 2" xfId="35886"/>
    <cellStyle name="Normal 3 21 2 2 2 2 2" xfId="35887"/>
    <cellStyle name="Normal 3 22 2 2 2 2 2" xfId="35888"/>
    <cellStyle name="Normal 3 23 2 2 2 2 2" xfId="35889"/>
    <cellStyle name="Normal 3 24 2 2 2 2 2" xfId="35890"/>
    <cellStyle name="Normal 3 3 5 2 2 2 2" xfId="35891"/>
    <cellStyle name="Normal 3 3 2 2 2 2 2 2" xfId="35892"/>
    <cellStyle name="Normal 3 3 3 2 2 2 2 2" xfId="35893"/>
    <cellStyle name="Normal 3 4 3 2 2 2 2" xfId="35894"/>
    <cellStyle name="Normal 3 4 2 2 2 2 2 2" xfId="35895"/>
    <cellStyle name="Normal 3 5 3 2 2 2 2" xfId="35896"/>
    <cellStyle name="Normal 3 5 2 2 2 2 2 2" xfId="35897"/>
    <cellStyle name="Normal 3 6 2 2 2 2 2" xfId="35898"/>
    <cellStyle name="Normal 3 7 2 2 2 2 2" xfId="35899"/>
    <cellStyle name="Normal 3 8 2 2 2 2 2" xfId="35900"/>
    <cellStyle name="Normal 3 9 2 2 2 2 2" xfId="35901"/>
    <cellStyle name="Normal 4 2 10 2 2 2 2 2" xfId="35902"/>
    <cellStyle name="Normal 4 2 11 2 2 2 2 2" xfId="35903"/>
    <cellStyle name="Normal 4 2 12 2 2 2 2 2" xfId="35904"/>
    <cellStyle name="Normal 4 2 13 2 2 2 2 2" xfId="35905"/>
    <cellStyle name="Normal 4 2 14 2 2 2 2 2" xfId="35906"/>
    <cellStyle name="Normal 4 2 15 2 2 2 2 2" xfId="35907"/>
    <cellStyle name="Normal 4 2 16 2 2 2 2 2" xfId="35908"/>
    <cellStyle name="Normal 4 2 17 2 2 2 2 2" xfId="35909"/>
    <cellStyle name="Normal 4 2 18 2 2 2 2 2" xfId="35910"/>
    <cellStyle name="Normal 4 2 19 2 2 2 2 2" xfId="35911"/>
    <cellStyle name="Normal 4 2 2 6 2 2 2 2" xfId="35912"/>
    <cellStyle name="Normal 4 2 2 2 2 2 2 2 2" xfId="35913"/>
    <cellStyle name="Normal 4 2 2 3 2 2 2 2 2" xfId="35914"/>
    <cellStyle name="Normal 4 2 2 4 2 2 2 2 2" xfId="35915"/>
    <cellStyle name="Normal 4 2 2 5 2 2 2 2 2" xfId="35916"/>
    <cellStyle name="Normal 4 2 20 2 2 2 2 2" xfId="35917"/>
    <cellStyle name="Normal 4 2 21 2 2 2 2 2" xfId="35918"/>
    <cellStyle name="Normal 4 2 22 2 2 2 2 2" xfId="35919"/>
    <cellStyle name="Normal 4 2 23 2 2 2 2 2" xfId="35920"/>
    <cellStyle name="Normal 4 2 24 2 2 2 2 2" xfId="35921"/>
    <cellStyle name="Normal 4 2 3 3 2 2 2 2" xfId="35922"/>
    <cellStyle name="Normal 4 2 3 2 2 2 2 2 2" xfId="35923"/>
    <cellStyle name="Normal 4 2 4 3 2 2 2 2" xfId="35924"/>
    <cellStyle name="Normal 4 2 4 2 2 2 2 2 2" xfId="35925"/>
    <cellStyle name="Normal 4 2 5 3 2 2 2 2" xfId="35926"/>
    <cellStyle name="Normal 4 2 5 2 2 2 2 2 2" xfId="35927"/>
    <cellStyle name="Normal 4 2 6 2 2 2 2 2" xfId="35928"/>
    <cellStyle name="Normal 4 2 7 2 2 2 2 2" xfId="35929"/>
    <cellStyle name="Normal 4 2 8 2 2 2 2 2" xfId="35930"/>
    <cellStyle name="Normal 4 2 9 2 2 2 2 2" xfId="35931"/>
    <cellStyle name="Normal 4 3 7 2 2 2 2" xfId="35932"/>
    <cellStyle name="Normal 4 3 2 6 2 2 2 2" xfId="35933"/>
    <cellStyle name="Normal 4 3 2 2 5 2 2 2 2" xfId="35934"/>
    <cellStyle name="Normal 4 3 2 2 2 3 2 2 2 2" xfId="35935"/>
    <cellStyle name="Normal 4 3 2 2 2 2 2 2 2 2 2" xfId="35936"/>
    <cellStyle name="Normal 4 3 2 2 3 3 2 2 2 2" xfId="35937"/>
    <cellStyle name="Normal 4 3 2 2 3 2 2 2 2 2 2" xfId="35938"/>
    <cellStyle name="Normal 4 3 2 2 4 2 2 2 2 2" xfId="35939"/>
    <cellStyle name="Normal 4 3 2 3 3 2 2 2 2" xfId="35940"/>
    <cellStyle name="Normal 4 3 2 3 2 2 2 2 2 2" xfId="35941"/>
    <cellStyle name="Normal 4 3 2 4 3 2 2 2 2" xfId="35942"/>
    <cellStyle name="Normal 4 3 2 4 2 2 2 2 2 2" xfId="35943"/>
    <cellStyle name="Normal 4 3 2 5 2 2 2 2 2" xfId="35944"/>
    <cellStyle name="Normal 4 3 3 5 2 2 2 2" xfId="35945"/>
    <cellStyle name="Normal 4 3 3 2 3 2 2 2 2" xfId="35946"/>
    <cellStyle name="Normal 4 3 3 2 2 2 2 2 2 2" xfId="35947"/>
    <cellStyle name="Normal 4 3 3 3 3 2 2 2 2" xfId="35948"/>
    <cellStyle name="Normal 4 3 3 3 2 2 2 2 2 2" xfId="35949"/>
    <cellStyle name="Normal 4 3 3 4 2 2 2 2 2" xfId="35950"/>
    <cellStyle name="Normal 4 3 4 3 2 2 2 2" xfId="35951"/>
    <cellStyle name="Normal 4 3 4 2 2 2 2 2 2" xfId="35952"/>
    <cellStyle name="Normal 4 3 5 3 2 2 2 2" xfId="35953"/>
    <cellStyle name="Normal 4 3 5 2 2 2 2 2 2" xfId="35954"/>
    <cellStyle name="Normal 4 3 6 2 2 2 2 2" xfId="35955"/>
    <cellStyle name="Normal 4 4 4 2 2 2 2" xfId="35956"/>
    <cellStyle name="Normal 4 4 2 2 2 2 2 2" xfId="35957"/>
    <cellStyle name="Normal 4 5 2 2 2 2 2" xfId="35958"/>
    <cellStyle name="Normal 4 6 2 2 2 2 2" xfId="35959"/>
    <cellStyle name="Normal 4 7 2 2 2 2 2" xfId="35960"/>
    <cellStyle name="Normal 4 8 2 2 2 2 2" xfId="35961"/>
    <cellStyle name="Normal 41 2 2 2 2 2 2" xfId="35962"/>
    <cellStyle name="Normal 46 2 2 2 2 2" xfId="35963"/>
    <cellStyle name="Normal 5 28 2 2 2 2 2" xfId="35964"/>
    <cellStyle name="Normal 5 2 7 2 2 2 2" xfId="35965"/>
    <cellStyle name="Normal 5 2 2 2 2 2 2 2 2 2" xfId="35966"/>
    <cellStyle name="Normal 5 2 2 3 2 2 2 2 2" xfId="35967"/>
    <cellStyle name="Normal 5 2 3 2 2 2 2 2 2 2" xfId="35968"/>
    <cellStyle name="Normal 5 2 3 3 2 2 2 2 2" xfId="35969"/>
    <cellStyle name="Normal 5 2 4 2 2 2 2 2 2" xfId="35970"/>
    <cellStyle name="Normal 5 2 6 2 2 2 2 2" xfId="35971"/>
    <cellStyle name="Normal 5 24 2 2 2 2 2" xfId="35972"/>
    <cellStyle name="Normal 5 3 3 2 2 2 2" xfId="35973"/>
    <cellStyle name="Normal 5 4 3 2 2 2 2" xfId="35974"/>
    <cellStyle name="Normal 5 5 3 2 2 2 2" xfId="35975"/>
    <cellStyle name="Normal 5 6 3 2 2 2 2" xfId="35976"/>
    <cellStyle name="Normal 5 7 3 2 2 2 2" xfId="35977"/>
    <cellStyle name="Normal 7 25 2 2 2 2 2" xfId="35978"/>
    <cellStyle name="Normal 7 10 2 2 2 2 2" xfId="35979"/>
    <cellStyle name="Normal 7 11 2 2 2 2 2" xfId="35980"/>
    <cellStyle name="Normal 7 12 2 2 2 2 2" xfId="35981"/>
    <cellStyle name="Normal 7 13 2 2 2 2 2" xfId="35982"/>
    <cellStyle name="Normal 7 14 2 2 2 2 2" xfId="35983"/>
    <cellStyle name="Normal 7 15 2 2 2 2 2" xfId="35984"/>
    <cellStyle name="Normal 7 16 2 2 2 2 2" xfId="35985"/>
    <cellStyle name="Normal 7 17 2 2 2 2 2" xfId="35986"/>
    <cellStyle name="Normal 7 18 2 2 2 2 2" xfId="35987"/>
    <cellStyle name="Normal 7 19 2 2 2 2 2" xfId="35988"/>
    <cellStyle name="Normal 7 2 6 2 2 2 2" xfId="35989"/>
    <cellStyle name="Normal 7 2 2 2 2 2 2 2" xfId="35990"/>
    <cellStyle name="Normal 7 2 3 2 2 2 2 2" xfId="35991"/>
    <cellStyle name="Normal 7 2 4 2 2 2 2 2" xfId="35992"/>
    <cellStyle name="Normal 7 2 5 2 2 2 2 2" xfId="35993"/>
    <cellStyle name="Normal 7 20 2 2 2 2 2" xfId="35994"/>
    <cellStyle name="Normal 7 22 2 2 2 2 2" xfId="35995"/>
    <cellStyle name="Normal 7 3 6 2 2 2 2" xfId="35996"/>
    <cellStyle name="Normal 7 3 2 2 2 2 2 2" xfId="35997"/>
    <cellStyle name="Normal 7 3 3 2 2 2 2 2" xfId="35998"/>
    <cellStyle name="Normal 7 3 4 2 2 2 2 2" xfId="35999"/>
    <cellStyle name="Normal 7 3 5 2 2 2 2 2" xfId="36000"/>
    <cellStyle name="Normal 7 4 2 2 2 2 2" xfId="36001"/>
    <cellStyle name="Normal 7 5 2 2 2 2 2" xfId="36002"/>
    <cellStyle name="Normal 7 6 2 2 2 2 2" xfId="36003"/>
    <cellStyle name="Normal 7 7 2 2 2 2 2" xfId="36004"/>
    <cellStyle name="Normal 7 8 2 2 2 2 2" xfId="36005"/>
    <cellStyle name="Normal 7 9 2 2 2 2 2" xfId="36006"/>
    <cellStyle name="Normal 8 25 2 2 2 2 2" xfId="36007"/>
    <cellStyle name="Normal 8 10 2 2 2 2 2" xfId="36008"/>
    <cellStyle name="Normal 8 11 2 2 2 2 2" xfId="36009"/>
    <cellStyle name="Normal 8 12 2 2 2 2 2" xfId="36010"/>
    <cellStyle name="Normal 8 13 2 2 2 2 2" xfId="36011"/>
    <cellStyle name="Normal 8 14 2 2 2 2 2" xfId="36012"/>
    <cellStyle name="Normal 8 15 2 2 2 2 2" xfId="36013"/>
    <cellStyle name="Normal 8 16 2 2 2 2 2" xfId="36014"/>
    <cellStyle name="Normal 8 17 2 2 2 2 2" xfId="36015"/>
    <cellStyle name="Normal 8 18 2 2 2 2 2" xfId="36016"/>
    <cellStyle name="Normal 8 19 2 2 2 2 2" xfId="36017"/>
    <cellStyle name="Normal 8 2 6 2 2 2 2 2" xfId="36018"/>
    <cellStyle name="Normal 8 2 2 2 2 2 2 2 2" xfId="36019"/>
    <cellStyle name="Normal 8 2 3 2 2 2 2 2" xfId="36020"/>
    <cellStyle name="Normal 8 2 4 2 2 2 2 2" xfId="36021"/>
    <cellStyle name="Normal 8 2 5 2 2 2 2 2" xfId="36022"/>
    <cellStyle name="Normal 8 20 2 2 2 2 2" xfId="36023"/>
    <cellStyle name="Normal 8 22 2 2 2 2 2" xfId="36024"/>
    <cellStyle name="Normal 8 3 6 2 2 2 2 2" xfId="36025"/>
    <cellStyle name="Normal 8 3 2 2 2 2 2 2" xfId="36026"/>
    <cellStyle name="Normal 8 3 3 2 2 2 2 2" xfId="36027"/>
    <cellStyle name="Normal 8 3 4 2 2 2 2 2" xfId="36028"/>
    <cellStyle name="Normal 8 3 5 2 2 2 2 2" xfId="36029"/>
    <cellStyle name="Normal 8 4 2 2 2 2 2" xfId="36030"/>
    <cellStyle name="Normal 8 5 2 2 2 2 2" xfId="36031"/>
    <cellStyle name="Normal 8 6 2 2 2 2 2" xfId="36032"/>
    <cellStyle name="Normal 8 7 2 2 2 2 2" xfId="36033"/>
    <cellStyle name="Normal 8 8 2 2 2 2 2" xfId="36034"/>
    <cellStyle name="Normal 8 9 2 2 2 2 2" xfId="36035"/>
    <cellStyle name="Normal 9 25 2 2 2 2 2" xfId="36036"/>
    <cellStyle name="Normal 9 10 2 2 2 2 2" xfId="36037"/>
    <cellStyle name="Normal 9 11 2 2 2 2 2" xfId="36038"/>
    <cellStyle name="Normal 9 12 2 2 2 2 2" xfId="36039"/>
    <cellStyle name="Normal 9 13 2 2 2 2 2" xfId="36040"/>
    <cellStyle name="Normal 9 14 2 2 2 2 2" xfId="36041"/>
    <cellStyle name="Normal 9 15 2 2 2 2 2" xfId="36042"/>
    <cellStyle name="Normal 9 16 2 2 2 2 2" xfId="36043"/>
    <cellStyle name="Normal 9 17 2 2 2 2 2" xfId="36044"/>
    <cellStyle name="Normal 9 18 2 2 2 2 2" xfId="36045"/>
    <cellStyle name="Normal 9 19 2 2 2 2 2" xfId="36046"/>
    <cellStyle name="Normal 9 2 6 2 2 2 2" xfId="36047"/>
    <cellStyle name="Normal 9 2 2 2 2 2 2 2" xfId="36048"/>
    <cellStyle name="Normal 9 2 3 2 2 2 2 2" xfId="36049"/>
    <cellStyle name="Normal 9 2 4 2 2 2 2 2" xfId="36050"/>
    <cellStyle name="Normal 9 2 5 2 2 2 2 2" xfId="36051"/>
    <cellStyle name="Normal 9 20 2 2 2 2 2" xfId="36052"/>
    <cellStyle name="Normal 9 22 2 2 2 2 2" xfId="36053"/>
    <cellStyle name="Normal 9 3 6 2 2 2 2" xfId="36054"/>
    <cellStyle name="Normal 9 3 2 2 2 2 2 2" xfId="36055"/>
    <cellStyle name="Normal 9 3 3 2 2 2 2 2" xfId="36056"/>
    <cellStyle name="Normal 9 3 4 2 2 2 2 2" xfId="36057"/>
    <cellStyle name="Normal 9 3 5 2 2 2 2 2" xfId="36058"/>
    <cellStyle name="Normal 9 4 2 2 2 2 2" xfId="36059"/>
    <cellStyle name="Normal 9 5 2 2 2 2 2" xfId="36060"/>
    <cellStyle name="Normal 9 6 2 2 2 2 2" xfId="36061"/>
    <cellStyle name="Normal 9 7 2 2 2 2 2" xfId="36062"/>
    <cellStyle name="Normal 9 8 2 2 2 2 2" xfId="36063"/>
    <cellStyle name="Normal 9 9 2 2 2 2 2" xfId="36064"/>
    <cellStyle name="Note 2 2 2 2 2 2" xfId="36065"/>
    <cellStyle name="Note 3 2 2 2 2 2" xfId="36066"/>
    <cellStyle name="Note 4 2 2 2 2 2" xfId="36067"/>
    <cellStyle name="Note 7 2 2 2 2 2" xfId="36068"/>
    <cellStyle name="Percent 120 2 2 2 2 2" xfId="36069"/>
    <cellStyle name="Percent 121 2 2 2 2 2" xfId="36070"/>
    <cellStyle name="Percent 122 2 2 2 2 2" xfId="36071"/>
    <cellStyle name="Percent 123 2 2 2 2 2" xfId="36072"/>
    <cellStyle name="Percent 124 2 2 2 2 2" xfId="36073"/>
    <cellStyle name="Percent 125 2 2 2 2 2" xfId="36074"/>
    <cellStyle name="Percent 126 2 2 2 2 2" xfId="36075"/>
    <cellStyle name="Percent 127 2 2 2 2 2" xfId="36076"/>
    <cellStyle name="Percent 128 2 2 2 2 2" xfId="36077"/>
    <cellStyle name="Percent 129 2 2 2 2 2" xfId="36078"/>
    <cellStyle name="Percent 130 2 2 2 2 2" xfId="36079"/>
    <cellStyle name="Percent 159 2 2 2 2 2" xfId="36080"/>
    <cellStyle name="Percent 2 22 2 2 2 2 2" xfId="36081"/>
    <cellStyle name="Percent 25 2 3 2 2 2 2" xfId="36082"/>
    <cellStyle name="Percent 25 2 2 2 2 2 2 2" xfId="36083"/>
    <cellStyle name="Percent 25 3 3 2 2 2 2" xfId="36084"/>
    <cellStyle name="Percent 25 3 2 2 2 2 2 2" xfId="36085"/>
    <cellStyle name="Percent 25 4 2 2 2 2 2 2" xfId="36086"/>
    <cellStyle name="Percent 25 5 2 2 2 2 2" xfId="36087"/>
    <cellStyle name="Percent 26 2 3 2 2 2 2" xfId="36088"/>
    <cellStyle name="Percent 26 2 2 2 2 2 2 2" xfId="36089"/>
    <cellStyle name="Percent 26 3 3 2 2 2 2" xfId="36090"/>
    <cellStyle name="Percent 26 3 2 2 2 2 2 2" xfId="36091"/>
    <cellStyle name="Percent 26 4 2 2 2 2 2 2" xfId="36092"/>
    <cellStyle name="Percent 26 5 2 2 2 2 2" xfId="36093"/>
    <cellStyle name="Percent 27 2 3 2 2 2 2" xfId="36094"/>
    <cellStyle name="Percent 27 2 2 2 2 2 2 2" xfId="36095"/>
    <cellStyle name="Percent 27 3 3 2 2 2 2" xfId="36096"/>
    <cellStyle name="Percent 27 3 2 2 2 2 2 2" xfId="36097"/>
    <cellStyle name="Percent 27 4 2 2 2 2 2 2" xfId="36098"/>
    <cellStyle name="Percent 27 5 2 2 2 2 2" xfId="36099"/>
    <cellStyle name="Percent 28 2 3 2 2 2 2" xfId="36100"/>
    <cellStyle name="Percent 28 2 2 2 2 2 2 2" xfId="36101"/>
    <cellStyle name="Percent 28 3 3 2 2 2 2" xfId="36102"/>
    <cellStyle name="Percent 28 3 2 2 2 2 2 2" xfId="36103"/>
    <cellStyle name="Percent 28 4 2 2 2 2 2 2" xfId="36104"/>
    <cellStyle name="Percent 28 5 2 2 2 2 2" xfId="36105"/>
    <cellStyle name="Percent 29 2 3 2 2 2 2" xfId="36106"/>
    <cellStyle name="Percent 29 2 2 2 2 2 2 2" xfId="36107"/>
    <cellStyle name="Percent 29 3 3 2 2 2 2" xfId="36108"/>
    <cellStyle name="Percent 29 3 2 2 2 2 2 2" xfId="36109"/>
    <cellStyle name="Percent 29 4 2 2 2 2 2 2" xfId="36110"/>
    <cellStyle name="Percent 29 5 2 2 2 2 2" xfId="36111"/>
    <cellStyle name="Percent 3 10 2 2 2 2 2" xfId="36112"/>
    <cellStyle name="Percent 3 11 2 2 2 2 2" xfId="36113"/>
    <cellStyle name="Percent 3 12 2 2 2 2 2" xfId="36114"/>
    <cellStyle name="Percent 3 13 2 2 2 2 2" xfId="36115"/>
    <cellStyle name="Percent 3 14 2 2 2 2 2" xfId="36116"/>
    <cellStyle name="Percent 3 15 2 2 2 2 2" xfId="36117"/>
    <cellStyle name="Percent 3 16 2 2 2 2 2" xfId="36118"/>
    <cellStyle name="Percent 3 17 2 2 2 2 2" xfId="36119"/>
    <cellStyle name="Percent 3 18 2 2 2 2 2" xfId="36120"/>
    <cellStyle name="Percent 3 19 2 2 2 2 2" xfId="36121"/>
    <cellStyle name="Percent 3 2 23 2 2 2 2" xfId="36122"/>
    <cellStyle name="Percent 3 2 10 2 2 2 2 2" xfId="36123"/>
    <cellStyle name="Percent 3 2 11 2 2 2 2 2" xfId="36124"/>
    <cellStyle name="Percent 3 2 12 2 2 2 2 2" xfId="36125"/>
    <cellStyle name="Percent 3 2 13 2 2 2 2 2" xfId="36126"/>
    <cellStyle name="Percent 3 2 14 2 2 2 2 2" xfId="36127"/>
    <cellStyle name="Percent 3 2 15 2 2 2 2 2" xfId="36128"/>
    <cellStyle name="Percent 3 2 16 2 2 2 2 2" xfId="36129"/>
    <cellStyle name="Percent 3 2 17 2 2 2 2 2" xfId="36130"/>
    <cellStyle name="Percent 3 2 18 2 2 2 2 2" xfId="36131"/>
    <cellStyle name="Percent 3 2 19 2 2 2 2 2" xfId="36132"/>
    <cellStyle name="Percent 3 2 2 2 2 2 2 2 2" xfId="36133"/>
    <cellStyle name="Percent 3 2 2 3 2 2 2 2 2" xfId="36134"/>
    <cellStyle name="Percent 3 2 2 4 2 2 2 2 2" xfId="36135"/>
    <cellStyle name="Percent 3 2 2 5 2 2 2 2 2" xfId="36136"/>
    <cellStyle name="Percent 3 2 20 2 2 2 2 2" xfId="36137"/>
    <cellStyle name="Percent 3 2 21 2 2 2 2 2 2" xfId="36138"/>
    <cellStyle name="Percent 3 2 3 6 2 2 2 2" xfId="36139"/>
    <cellStyle name="Percent 3 2 3 2 2 2 2 2 2" xfId="36140"/>
    <cellStyle name="Percent 3 2 3 3 2 2 2 2 2" xfId="36141"/>
    <cellStyle name="Percent 3 2 3 4 2 2 2 2 2" xfId="36142"/>
    <cellStyle name="Percent 3 2 3 5 2 2 2 2 2" xfId="36143"/>
    <cellStyle name="Percent 3 2 4 3 2 2 2 2" xfId="36144"/>
    <cellStyle name="Percent 3 2 4 2 2 2 2 2 2" xfId="36145"/>
    <cellStyle name="Percent 3 2 5 3 2 2 2 2" xfId="36146"/>
    <cellStyle name="Percent 3 2 5 2 2 2 2 2 2" xfId="36147"/>
    <cellStyle name="Percent 3 2 6 3 2 2 2 2" xfId="36148"/>
    <cellStyle name="Percent 3 2 6 2 2 2 2 2 2" xfId="36149"/>
    <cellStyle name="Percent 3 2 7 2 2 2 2 2" xfId="36150"/>
    <cellStyle name="Percent 3 2 8 2 2 2 2 2" xfId="36151"/>
    <cellStyle name="Percent 3 2 9 2 2 2 2 2" xfId="36152"/>
    <cellStyle name="Percent 3 20 2 2 2 2 2" xfId="36153"/>
    <cellStyle name="Percent 3 21 2 2 2 2 2" xfId="36154"/>
    <cellStyle name="Percent 3 3 2 2 2 2 2 2" xfId="36155"/>
    <cellStyle name="Percent 3 3 3 2 2 2 2 2" xfId="36156"/>
    <cellStyle name="Percent 3 3 4 2 2 2 2 2" xfId="36157"/>
    <cellStyle name="Percent 3 3 5 2 2 2 2 2" xfId="36158"/>
    <cellStyle name="Percent 3 4 6 2 2 2 2" xfId="36159"/>
    <cellStyle name="Percent 3 4 2 2 2 2 2 2" xfId="36160"/>
    <cellStyle name="Percent 3 4 3 2 2 2 2 2" xfId="36161"/>
    <cellStyle name="Percent 3 4 4 2 2 2 2 2" xfId="36162"/>
    <cellStyle name="Percent 3 4 5 2 2 2 2 2" xfId="36163"/>
    <cellStyle name="Percent 3 5 3 2 2 2 2" xfId="36164"/>
    <cellStyle name="Percent 3 5 2 2 2 2 2 2" xfId="36165"/>
    <cellStyle name="Percent 3 6 3 2 2 2 2" xfId="36166"/>
    <cellStyle name="Percent 3 6 2 2 2 2 2 2" xfId="36167"/>
    <cellStyle name="Percent 3 7 3 2 2 2 2" xfId="36168"/>
    <cellStyle name="Percent 3 7 2 2 2 2 2 2" xfId="36169"/>
    <cellStyle name="Percent 3 8 2 2 2 2 2" xfId="36170"/>
    <cellStyle name="Percent 3 9 2 2 2 2 2" xfId="36171"/>
    <cellStyle name="Percent 30 2 3 2 2 2 2" xfId="36172"/>
    <cellStyle name="Percent 30 2 2 2 2 2 2 2" xfId="36173"/>
    <cellStyle name="Percent 30 3 3 2 2 2 2" xfId="36174"/>
    <cellStyle name="Percent 30 3 2 2 2 2 2 2" xfId="36175"/>
    <cellStyle name="Percent 30 4 2 2 2 2 2 2" xfId="36176"/>
    <cellStyle name="Percent 30 5 2 2 2 2 2" xfId="36177"/>
    <cellStyle name="Percent 31 2 3 2 2 2 2" xfId="36178"/>
    <cellStyle name="Percent 31 2 2 2 2 2 2 2" xfId="36179"/>
    <cellStyle name="Percent 31 3 3 2 2 2 2" xfId="36180"/>
    <cellStyle name="Percent 31 3 2 2 2 2 2 2" xfId="36181"/>
    <cellStyle name="Percent 31 4 2 2 2 2 2 2" xfId="36182"/>
    <cellStyle name="Percent 31 5 2 2 2 2 2" xfId="36183"/>
    <cellStyle name="Percent 32 2 3 2 2 2 2" xfId="36184"/>
    <cellStyle name="Percent 32 2 2 2 2 2 2 2" xfId="36185"/>
    <cellStyle name="Percent 32 3 3 2 2 2 2" xfId="36186"/>
    <cellStyle name="Percent 32 3 2 2 2 2 2 2" xfId="36187"/>
    <cellStyle name="Percent 32 4 2 2 2 2 2 2" xfId="36188"/>
    <cellStyle name="Percent 32 5 2 2 2 2 2" xfId="36189"/>
    <cellStyle name="Percent 33 2 3 2 2 2 2" xfId="36190"/>
    <cellStyle name="Percent 33 2 2 2 2 2 2 2" xfId="36191"/>
    <cellStyle name="Percent 33 3 3 2 2 2 2" xfId="36192"/>
    <cellStyle name="Percent 33 3 2 2 2 2 2 2" xfId="36193"/>
    <cellStyle name="Percent 33 4 2 2 2 2 2 2" xfId="36194"/>
    <cellStyle name="Percent 33 5 2 2 2 2 2" xfId="36195"/>
    <cellStyle name="Percent 34 2 3 2 2 2 2" xfId="36196"/>
    <cellStyle name="Percent 34 2 2 2 2 2 2 2" xfId="36197"/>
    <cellStyle name="Percent 34 3 3 2 2 2 2" xfId="36198"/>
    <cellStyle name="Percent 34 3 2 2 2 2 2 2" xfId="36199"/>
    <cellStyle name="Percent 34 4 2 2 2 2 2 2" xfId="36200"/>
    <cellStyle name="Percent 34 5 2 2 2 2 2" xfId="36201"/>
    <cellStyle name="Percent 35 2 3 2 2 2 2" xfId="36202"/>
    <cellStyle name="Percent 35 2 2 2 2 2 2 2" xfId="36203"/>
    <cellStyle name="Percent 35 3 3 2 2 2 2" xfId="36204"/>
    <cellStyle name="Percent 35 3 2 2 2 2 2 2" xfId="36205"/>
    <cellStyle name="Percent 35 4 2 2 2 2 2 2" xfId="36206"/>
    <cellStyle name="Percent 35 5 2 2 2 2 2" xfId="36207"/>
    <cellStyle name="Currency 5 4 2 2 2 2 2" xfId="36208"/>
    <cellStyle name="Comma 5 7 2 2 2 2 2" xfId="36209"/>
    <cellStyle name="Percent 5 4 2 2 2 2 2" xfId="36210"/>
    <cellStyle name="Comma 6 5 2 2 2 2 2" xfId="36211"/>
    <cellStyle name="Currency 5 2 4 2 2 2 2 2" xfId="36212"/>
    <cellStyle name="Comma 5 2 4 2 2 2 2 2" xfId="36213"/>
    <cellStyle name="Percent 5 2 4 2 2 2 2 2" xfId="36214"/>
    <cellStyle name="Comma 6 2 3 2 2 2 2 2" xfId="36215"/>
    <cellStyle name="Currency 5 3 2 2 2 2 2 2" xfId="36216"/>
    <cellStyle name="Comma 5 3 2 2 2 2 2 2" xfId="36217"/>
    <cellStyle name="Percent 5 3 2 2 2 2 2 2" xfId="36218"/>
    <cellStyle name="Comma 6 3 4 2 2 2 2 2" xfId="36219"/>
    <cellStyle name="Normal 11 2 2 2 2 2 2 2" xfId="36220"/>
    <cellStyle name="Currency 5 2 2 2 2 2 2 2 2" xfId="36221"/>
    <cellStyle name="Comma 5 2 2 2 2 2 2 2 2" xfId="36222"/>
    <cellStyle name="Percent 5 2 2 2 2 2 2 2 2" xfId="36223"/>
    <cellStyle name="Comma 6 2 2 2 2 2 2 2 2" xfId="36224"/>
    <cellStyle name="Comma 4 7 2 2" xfId="36225"/>
    <cellStyle name="Currency 4 7 2 2" xfId="36226"/>
    <cellStyle name="Currency 4 2 3 2 2" xfId="36227"/>
    <cellStyle name="Currency 7 6 2 2" xfId="36228"/>
    <cellStyle name="Normal 7 26 2 2" xfId="36229"/>
    <cellStyle name="Percent 5 9 2 2 2" xfId="36230"/>
    <cellStyle name="Percent 5 2 9 2 2" xfId="36231"/>
    <cellStyle name="Percent 5 2 2 7 2 2" xfId="36232"/>
    <cellStyle name="Percent 8 3 2 2" xfId="36233"/>
    <cellStyle name="Comma 4 2 3 2 2" xfId="36234"/>
    <cellStyle name="Currency 4 3 5 2 2" xfId="36235"/>
    <cellStyle name="Currency 4 2 2 2 2" xfId="36236"/>
    <cellStyle name="Currency 7 2 4 2 2" xfId="36237"/>
    <cellStyle name="Normal 7 2 9 2 2" xfId="36238"/>
    <cellStyle name="Percent 5 3 7 2 2" xfId="36239"/>
    <cellStyle name="Percent 5 2 3 2 2 2" xfId="36240"/>
    <cellStyle name="Percent 5 2 2 2 5 2 2" xfId="36241"/>
    <cellStyle name="Percent 8 2 4 2 2" xfId="36242"/>
    <cellStyle name="Normal 12 11 2 2" xfId="36243"/>
    <cellStyle name="Comma 6 10 2 2" xfId="36244"/>
    <cellStyle name="Comma 6 2 8 2 2" xfId="36245"/>
    <cellStyle name="Currency 5 10 2" xfId="36246"/>
    <cellStyle name="Normal 8 30 2" xfId="36247"/>
    <cellStyle name="Comma 5 13 3 2" xfId="36248"/>
    <cellStyle name="Percent 5 11 3 2" xfId="36249"/>
    <cellStyle name="Comma 6 12 2" xfId="36250"/>
    <cellStyle name="Normal 11 9 2" xfId="36251"/>
    <cellStyle name="Currency 5 2 10 2" xfId="36252"/>
    <cellStyle name="Normal 8 2 11 2" xfId="36253"/>
    <cellStyle name="Comma 5 2 10 2" xfId="36254"/>
    <cellStyle name="Percent 5 2 11 2" xfId="36255"/>
    <cellStyle name="Comma 6 2 10 2" xfId="36256"/>
    <cellStyle name="Currency 5 3 8 2" xfId="36257"/>
    <cellStyle name="Normal 8 3 11 2" xfId="36258"/>
    <cellStyle name="Comma 5 3 8 2" xfId="36259"/>
    <cellStyle name="Percent 5 3 9 2" xfId="36260"/>
    <cellStyle name="Comma 6 3 10 2" xfId="36261"/>
    <cellStyle name="Normal 11 2 8 2" xfId="36262"/>
    <cellStyle name="Currency 5 2 2 8 2" xfId="36263"/>
    <cellStyle name="Normal 8 2 2 7 2" xfId="36264"/>
    <cellStyle name="Comma 5 2 2 8 2" xfId="36265"/>
    <cellStyle name="Percent 5 2 2 9 2" xfId="36266"/>
    <cellStyle name="Comma 6 2 2 7 2" xfId="36267"/>
    <cellStyle name="Normal 50 6 2" xfId="36268"/>
    <cellStyle name="Comma 186 6 2" xfId="36269"/>
    <cellStyle name="Percent 162 6 2" xfId="36270"/>
    <cellStyle name="Normal 2 24 6 2" xfId="36271"/>
    <cellStyle name="20% - Accent1 2 6 2" xfId="36272"/>
    <cellStyle name="20% - Accent1 3 6 2" xfId="36273"/>
    <cellStyle name="20% - Accent1 4 6 2" xfId="36274"/>
    <cellStyle name="20% - Accent1 5 6 2" xfId="36275"/>
    <cellStyle name="20% - Accent2 2 6 2" xfId="36276"/>
    <cellStyle name="20% - Accent2 3 6 2" xfId="36277"/>
    <cellStyle name="20% - Accent2 4 6 2" xfId="36278"/>
    <cellStyle name="20% - Accent2 5 6 2" xfId="36279"/>
    <cellStyle name="20% - Accent3 2 6 2" xfId="36280"/>
    <cellStyle name="20% - Accent3 3 6 2" xfId="36281"/>
    <cellStyle name="20% - Accent3 4 6 2" xfId="36282"/>
    <cellStyle name="20% - Accent3 5 6 2" xfId="36283"/>
    <cellStyle name="20% - Accent4 2 6 2" xfId="36284"/>
    <cellStyle name="20% - Accent4 3 6 2" xfId="36285"/>
    <cellStyle name="20% - Accent4 4 6 2" xfId="36286"/>
    <cellStyle name="20% - Accent4 5 6 2" xfId="36287"/>
    <cellStyle name="20% - Accent5 2 6 2" xfId="36288"/>
    <cellStyle name="20% - Accent5 3 6 2" xfId="36289"/>
    <cellStyle name="20% - Accent5 4 6 2" xfId="36290"/>
    <cellStyle name="20% - Accent6 2 6 2" xfId="36291"/>
    <cellStyle name="20% - Accent6 3 6 2" xfId="36292"/>
    <cellStyle name="20% - Accent6 4 6 2" xfId="36293"/>
    <cellStyle name="40% - Accent1 2 6 2" xfId="36294"/>
    <cellStyle name="40% - Accent1 3 6 2" xfId="36295"/>
    <cellStyle name="40% - Accent1 4 6 2" xfId="36296"/>
    <cellStyle name="40% - Accent1 5 6 2" xfId="36297"/>
    <cellStyle name="40% - Accent2 2 6 2" xfId="36298"/>
    <cellStyle name="40% - Accent2 3 6 2" xfId="36299"/>
    <cellStyle name="40% - Accent2 4 6 2" xfId="36300"/>
    <cellStyle name="40% - Accent3 2 6 2" xfId="36301"/>
    <cellStyle name="40% - Accent3 3 6 2" xfId="36302"/>
    <cellStyle name="40% - Accent3 4 6 2" xfId="36303"/>
    <cellStyle name="40% - Accent3 5 6 2" xfId="36304"/>
    <cellStyle name="40% - Accent4 2 6 2" xfId="36305"/>
    <cellStyle name="40% - Accent4 3 6 2" xfId="36306"/>
    <cellStyle name="40% - Accent4 4 6 2" xfId="36307"/>
    <cellStyle name="40% - Accent4 5 6 2" xfId="36308"/>
    <cellStyle name="40% - Accent5 2 6 2" xfId="36309"/>
    <cellStyle name="40% - Accent5 3 6 2" xfId="36310"/>
    <cellStyle name="40% - Accent5 4 6 2" xfId="36311"/>
    <cellStyle name="40% - Accent6 2 6 2" xfId="36312"/>
    <cellStyle name="40% - Accent6 3 6 2" xfId="36313"/>
    <cellStyle name="40% - Accent6 4 6 2" xfId="36314"/>
    <cellStyle name="40% - Accent6 5 6 2" xfId="36315"/>
    <cellStyle name="Comma 143 6 2" xfId="36316"/>
    <cellStyle name="Comma 144 6 2" xfId="36317"/>
    <cellStyle name="Comma 145 6 2" xfId="36318"/>
    <cellStyle name="Comma 146 6 2" xfId="36319"/>
    <cellStyle name="Comma 147 6 2" xfId="36320"/>
    <cellStyle name="Comma 148 6 2" xfId="36321"/>
    <cellStyle name="Comma 149 6 2" xfId="36322"/>
    <cellStyle name="Comma 150 6 2" xfId="36323"/>
    <cellStyle name="Comma 151 6 2" xfId="36324"/>
    <cellStyle name="Comma 152 6 2" xfId="36325"/>
    <cellStyle name="Comma 153 6 2" xfId="36326"/>
    <cellStyle name="Comma 182 6 2" xfId="36327"/>
    <cellStyle name="Comma 2 23 6 2" xfId="36328"/>
    <cellStyle name="Comma 2 2 10 6 2" xfId="36329"/>
    <cellStyle name="Comma 2 2 11 6 2" xfId="36330"/>
    <cellStyle name="Comma 2 2 12 6 2" xfId="36331"/>
    <cellStyle name="Comma 2 2 13 6 2" xfId="36332"/>
    <cellStyle name="Comma 2 2 14 6 2" xfId="36333"/>
    <cellStyle name="Comma 2 2 15 6 2" xfId="36334"/>
    <cellStyle name="Comma 2 2 16 6 2" xfId="36335"/>
    <cellStyle name="Comma 2 2 17 6 2" xfId="36336"/>
    <cellStyle name="Comma 2 2 2 2 10 2" xfId="36337"/>
    <cellStyle name="Comma 2 2 2 2 2 6 2" xfId="36338"/>
    <cellStyle name="Comma 2 2 2 2 3 6 2" xfId="36339"/>
    <cellStyle name="Comma 2 2 2 2 4 6 2" xfId="36340"/>
    <cellStyle name="Comma 2 2 2 2 5 6 2" xfId="36341"/>
    <cellStyle name="Comma 2 2 2 3 6 2" xfId="36342"/>
    <cellStyle name="Comma 2 2 2 4 6 2" xfId="36343"/>
    <cellStyle name="Comma 2 2 2 5 6 2" xfId="36344"/>
    <cellStyle name="Comma 2 2 2 6 6 2" xfId="36345"/>
    <cellStyle name="Comma 2 2 3 10 2" xfId="36346"/>
    <cellStyle name="Comma 2 2 3 2 2 6 2" xfId="36347"/>
    <cellStyle name="Comma 2 2 3 2 3 6 2" xfId="36348"/>
    <cellStyle name="Comma 2 2 3 2 4 6 2" xfId="36349"/>
    <cellStyle name="Comma 2 2 3 2 5 6 2" xfId="36350"/>
    <cellStyle name="Comma 2 2 3 3 6 2" xfId="36351"/>
    <cellStyle name="Comma 2 2 4 2 6 2" xfId="36352"/>
    <cellStyle name="Comma 2 2 5 6 2" xfId="36353"/>
    <cellStyle name="Comma 2 2 6 6 2" xfId="36354"/>
    <cellStyle name="Comma 2 2 7 6 2" xfId="36355"/>
    <cellStyle name="Comma 2 2 8 6 2" xfId="36356"/>
    <cellStyle name="Comma 2 2 9 6 2" xfId="36357"/>
    <cellStyle name="Comma 3 10 6 2" xfId="36358"/>
    <cellStyle name="Comma 3 11 6 2" xfId="36359"/>
    <cellStyle name="Comma 3 12 6 2" xfId="36360"/>
    <cellStyle name="Comma 3 13 6 2" xfId="36361"/>
    <cellStyle name="Comma 3 14 6 2" xfId="36362"/>
    <cellStyle name="Comma 3 15 6 2" xfId="36363"/>
    <cellStyle name="Comma 3 16 6 2" xfId="36364"/>
    <cellStyle name="Comma 3 17 6 2" xfId="36365"/>
    <cellStyle name="Comma 3 18 6 2" xfId="36366"/>
    <cellStyle name="Comma 3 19 6 2" xfId="36367"/>
    <cellStyle name="Comma 3 2 2 6 2" xfId="36368"/>
    <cellStyle name="Comma 3 2 3 6 2" xfId="36369"/>
    <cellStyle name="Comma 3 2 4 6 2" xfId="36370"/>
    <cellStyle name="Comma 3 2 5 6 2" xfId="36371"/>
    <cellStyle name="Comma 3 20 6 2" xfId="36372"/>
    <cellStyle name="Comma 3 21 6 2" xfId="36373"/>
    <cellStyle name="Comma 3 3 10 2" xfId="36374"/>
    <cellStyle name="Comma 3 3 2 6 2" xfId="36375"/>
    <cellStyle name="Comma 3 3 3 6 2" xfId="36376"/>
    <cellStyle name="Comma 3 3 4 6 2" xfId="36377"/>
    <cellStyle name="Comma 3 3 5 6 2" xfId="36378"/>
    <cellStyle name="Comma 3 4 7 2" xfId="36379"/>
    <cellStyle name="Comma 3 4 2 6 2" xfId="36380"/>
    <cellStyle name="Comma 3 5 7 2" xfId="36381"/>
    <cellStyle name="Comma 3 5 2 6 2" xfId="36382"/>
    <cellStyle name="Comma 3 6 7 2" xfId="36383"/>
    <cellStyle name="Comma 3 6 2 6 2" xfId="36384"/>
    <cellStyle name="Comma 3 7 6 2" xfId="36385"/>
    <cellStyle name="Comma 3 8 6 2" xfId="36386"/>
    <cellStyle name="Comma 3 9 6 2" xfId="36387"/>
    <cellStyle name="Currency 120 6 2" xfId="36388"/>
    <cellStyle name="Currency 121 6 2" xfId="36389"/>
    <cellStyle name="Currency 122 6 2" xfId="36390"/>
    <cellStyle name="Currency 123 6 2" xfId="36391"/>
    <cellStyle name="Currency 124 6 2" xfId="36392"/>
    <cellStyle name="Currency 125 6 2" xfId="36393"/>
    <cellStyle name="Currency 126 6 2" xfId="36394"/>
    <cellStyle name="Currency 127 6 2" xfId="36395"/>
    <cellStyle name="Currency 128 6 2" xfId="36396"/>
    <cellStyle name="Currency 129 6 2" xfId="36397"/>
    <cellStyle name="Currency 130 6 2" xfId="36398"/>
    <cellStyle name="Currency 159 6 2" xfId="36399"/>
    <cellStyle name="Currency 2 27 6 2" xfId="36400"/>
    <cellStyle name="Currency 2 2 20 6 2" xfId="36401"/>
    <cellStyle name="Currency 2 2 10 6 2" xfId="36402"/>
    <cellStyle name="Currency 2 2 11 6 2" xfId="36403"/>
    <cellStyle name="Currency 2 2 12 6 2" xfId="36404"/>
    <cellStyle name="Currency 2 2 13 6 2" xfId="36405"/>
    <cellStyle name="Currency 2 2 14 6 2" xfId="36406"/>
    <cellStyle name="Currency 2 2 15 6 2" xfId="36407"/>
    <cellStyle name="Currency 2 2 16 6 2" xfId="36408"/>
    <cellStyle name="Currency 2 2 17 6 2" xfId="36409"/>
    <cellStyle name="Currency 2 2 18 6 2" xfId="36410"/>
    <cellStyle name="Currency 2 2 2 2 6 2" xfId="36411"/>
    <cellStyle name="Currency 2 2 2 3 6 2" xfId="36412"/>
    <cellStyle name="Currency 2 2 2 4 6 2" xfId="36413"/>
    <cellStyle name="Currency 2 2 2 5 6 2" xfId="36414"/>
    <cellStyle name="Currency 2 2 3 10 2" xfId="36415"/>
    <cellStyle name="Currency 2 2 3 2 6 2" xfId="36416"/>
    <cellStyle name="Currency 2 2 3 3 6 2" xfId="36417"/>
    <cellStyle name="Currency 2 2 3 4 6 2" xfId="36418"/>
    <cellStyle name="Currency 2 2 3 5 6 2" xfId="36419"/>
    <cellStyle name="Currency 2 2 4 6 2" xfId="36420"/>
    <cellStyle name="Currency 2 2 5 6 2" xfId="36421"/>
    <cellStyle name="Currency 2 2 6 6 2" xfId="36422"/>
    <cellStyle name="Currency 2 2 7 6 2" xfId="36423"/>
    <cellStyle name="Currency 2 2 8 6 2" xfId="36424"/>
    <cellStyle name="Currency 2 2 9 6 2" xfId="36425"/>
    <cellStyle name="Currency 3 10 6 2" xfId="36426"/>
    <cellStyle name="Currency 3 11 6 2" xfId="36427"/>
    <cellStyle name="Currency 3 12 6 2" xfId="36428"/>
    <cellStyle name="Currency 3 13 6 2" xfId="36429"/>
    <cellStyle name="Currency 3 14 6 2" xfId="36430"/>
    <cellStyle name="Currency 3 15 6 2" xfId="36431"/>
    <cellStyle name="Currency 3 16 6 2" xfId="36432"/>
    <cellStyle name="Currency 3 17 6 2" xfId="36433"/>
    <cellStyle name="Currency 3 18 6 2" xfId="36434"/>
    <cellStyle name="Currency 3 19 6 2" xfId="36435"/>
    <cellStyle name="Currency 3 2 2 6 2" xfId="36436"/>
    <cellStyle name="Currency 3 2 3 6 2" xfId="36437"/>
    <cellStyle name="Currency 3 2 4 6 2" xfId="36438"/>
    <cellStyle name="Currency 3 2 5 6 2" xfId="36439"/>
    <cellStyle name="Currency 3 20 6 2" xfId="36440"/>
    <cellStyle name="Currency 3 21 6 2" xfId="36441"/>
    <cellStyle name="Currency 3 3 13 2" xfId="36442"/>
    <cellStyle name="Currency 3 3 2 6 2" xfId="36443"/>
    <cellStyle name="Currency 3 3 3 6 2" xfId="36444"/>
    <cellStyle name="Currency 3 3 4 6 2" xfId="36445"/>
    <cellStyle name="Currency 3 3 5 6 2" xfId="36446"/>
    <cellStyle name="Currency 3 3 6 6 2" xfId="36447"/>
    <cellStyle name="Currency 3 4 7 2" xfId="36448"/>
    <cellStyle name="Currency 3 4 2 6 2" xfId="36449"/>
    <cellStyle name="Currency 3 5 7 2" xfId="36450"/>
    <cellStyle name="Currency 3 5 2 6 2" xfId="36451"/>
    <cellStyle name="Currency 3 6 7 2" xfId="36452"/>
    <cellStyle name="Currency 3 6 2 6 2" xfId="36453"/>
    <cellStyle name="Currency 3 7 6 2" xfId="36454"/>
    <cellStyle name="Currency 3 8 6 2" xfId="36455"/>
    <cellStyle name="Currency 3 9 6 2" xfId="36456"/>
    <cellStyle name="Normal 10 3 10 2" xfId="36457"/>
    <cellStyle name="Normal 10 3 2 9 2" xfId="36458"/>
    <cellStyle name="Normal 10 3 2 2 7 2" xfId="36459"/>
    <cellStyle name="Normal 10 3 2 2 2 6 2" xfId="36460"/>
    <cellStyle name="Normal 10 3 2 3 7 2" xfId="36461"/>
    <cellStyle name="Normal 10 3 2 3 2 6 2" xfId="36462"/>
    <cellStyle name="Normal 10 3 2 4 6 2" xfId="36463"/>
    <cellStyle name="Normal 10 3 3 7 2" xfId="36464"/>
    <cellStyle name="Normal 10 3 3 2 6 2" xfId="36465"/>
    <cellStyle name="Normal 10 3 4 7 2" xfId="36466"/>
    <cellStyle name="Normal 10 3 4 2 6 2" xfId="36467"/>
    <cellStyle name="Normal 10 3 5 6 2" xfId="36468"/>
    <cellStyle name="Normal 10 4 9 2" xfId="36469"/>
    <cellStyle name="Normal 10 4 2 7 2" xfId="36470"/>
    <cellStyle name="Normal 10 4 2 2 6 2" xfId="36471"/>
    <cellStyle name="Normal 10 4 3 7 2" xfId="36472"/>
    <cellStyle name="Normal 10 4 3 2 6 2" xfId="36473"/>
    <cellStyle name="Normal 10 4 4 6 2" xfId="36474"/>
    <cellStyle name="Normal 10 5 9 2" xfId="36475"/>
    <cellStyle name="Normal 10 5 2 7 2" xfId="36476"/>
    <cellStyle name="Normal 10 5 2 2 6 2" xfId="36477"/>
    <cellStyle name="Normal 10 5 3 7 2" xfId="36478"/>
    <cellStyle name="Normal 10 5 3 2 6 2" xfId="36479"/>
    <cellStyle name="Normal 10 5 4 6 2" xfId="36480"/>
    <cellStyle name="Normal 10 6 7 2" xfId="36481"/>
    <cellStyle name="Normal 10 6 2 6 2" xfId="36482"/>
    <cellStyle name="Normal 10 7 7 2" xfId="36483"/>
    <cellStyle name="Normal 10 7 2 6 2" xfId="36484"/>
    <cellStyle name="Normal 10 8 2 6 2" xfId="36485"/>
    <cellStyle name="Normal 10 9 6 2" xfId="36486"/>
    <cellStyle name="Normal 11 4 6 2" xfId="36487"/>
    <cellStyle name="Normal 11 3 6 2" xfId="36488"/>
    <cellStyle name="Normal 12 13 2" xfId="36489"/>
    <cellStyle name="Normal 12 2 2 9 2" xfId="36490"/>
    <cellStyle name="Normal 12 2 2 2 7 2" xfId="36491"/>
    <cellStyle name="Normal 12 2 2 2 2 6 2" xfId="36492"/>
    <cellStyle name="Normal 12 2 2 3 7 2" xfId="36493"/>
    <cellStyle name="Normal 12 2 2 3 2 6 2" xfId="36494"/>
    <cellStyle name="Normal 12 2 2 4 6 2" xfId="36495"/>
    <cellStyle name="Normal 12 2 3 7 2" xfId="36496"/>
    <cellStyle name="Normal 12 2 3 2 6 2" xfId="36497"/>
    <cellStyle name="Normal 12 2 4 7 2" xfId="36498"/>
    <cellStyle name="Normal 12 2 4 2 6 2" xfId="36499"/>
    <cellStyle name="Normal 12 2 5 2 6 2" xfId="36500"/>
    <cellStyle name="Normal 12 2 6 6 2" xfId="36501"/>
    <cellStyle name="Normal 12 3 9 2" xfId="36502"/>
    <cellStyle name="Normal 12 3 2 7 2" xfId="36503"/>
    <cellStyle name="Normal 12 3 2 2 6 2" xfId="36504"/>
    <cellStyle name="Normal 12 3 3 7 2" xfId="36505"/>
    <cellStyle name="Normal 12 3 3 2 6 2" xfId="36506"/>
    <cellStyle name="Normal 12 3 4 6 2" xfId="36507"/>
    <cellStyle name="Normal 12 4 9 2" xfId="36508"/>
    <cellStyle name="Normal 12 4 2 7 2" xfId="36509"/>
    <cellStyle name="Normal 12 4 2 2 6 2" xfId="36510"/>
    <cellStyle name="Normal 12 4 3 7 2" xfId="36511"/>
    <cellStyle name="Normal 12 4 3 2 6 2" xfId="36512"/>
    <cellStyle name="Normal 12 4 4 6 2" xfId="36513"/>
    <cellStyle name="Normal 12 5 7 2" xfId="36514"/>
    <cellStyle name="Normal 12 5 2 6 2" xfId="36515"/>
    <cellStyle name="Normal 12 6 7 2" xfId="36516"/>
    <cellStyle name="Normal 12 6 2 6 2" xfId="36517"/>
    <cellStyle name="Normal 12 7 6 2" xfId="36518"/>
    <cellStyle name="Normal 15 10 2" xfId="36519"/>
    <cellStyle name="Normal 15 3 6 2" xfId="36520"/>
    <cellStyle name="Normal 16 2 9 2" xfId="36521"/>
    <cellStyle name="Normal 16 2 2 7 2" xfId="36522"/>
    <cellStyle name="Normal 16 2 2 2 6 2" xfId="36523"/>
    <cellStyle name="Normal 16 2 3 7 2" xfId="36524"/>
    <cellStyle name="Normal 16 2 3 2 6 2" xfId="36525"/>
    <cellStyle name="Normal 16 2 4 6 2" xfId="36526"/>
    <cellStyle name="Normal 16 3 7 2" xfId="36527"/>
    <cellStyle name="Normal 16 3 2 6 2" xfId="36528"/>
    <cellStyle name="Normal 16 4 7 2" xfId="36529"/>
    <cellStyle name="Normal 16 4 2 6 2" xfId="36530"/>
    <cellStyle name="Normal 16 5 2 6 2" xfId="36531"/>
    <cellStyle name="Normal 16 6 6 2" xfId="36532"/>
    <cellStyle name="Normal 17 2 9 2" xfId="36533"/>
    <cellStyle name="Normal 17 2 2 7 2" xfId="36534"/>
    <cellStyle name="Normal 17 2 2 2 6 2" xfId="36535"/>
    <cellStyle name="Normal 17 2 3 7 2" xfId="36536"/>
    <cellStyle name="Normal 17 2 3 2 6 2" xfId="36537"/>
    <cellStyle name="Normal 17 2 4 6 2" xfId="36538"/>
    <cellStyle name="Normal 17 3 7 2" xfId="36539"/>
    <cellStyle name="Normal 17 3 2 6 2" xfId="36540"/>
    <cellStyle name="Normal 17 4 7 2" xfId="36541"/>
    <cellStyle name="Normal 17 4 2 6 2" xfId="36542"/>
    <cellStyle name="Normal 17 5 2 6 2" xfId="36543"/>
    <cellStyle name="Normal 17 6 6 2" xfId="36544"/>
    <cellStyle name="Normal 2 10 3 6 2" xfId="36545"/>
    <cellStyle name="Normal 2 11 3 6 2" xfId="36546"/>
    <cellStyle name="Normal 2 12 3 6 2" xfId="36547"/>
    <cellStyle name="Normal 2 13 3 6 2" xfId="36548"/>
    <cellStyle name="Normal 2 14 3 6 2" xfId="36549"/>
    <cellStyle name="Normal 2 15 3 6 2" xfId="36550"/>
    <cellStyle name="Normal 2 16 3 6 2" xfId="36551"/>
    <cellStyle name="Normal 2 17 3 6 2" xfId="36552"/>
    <cellStyle name="Normal 2 18 3 6 2" xfId="36553"/>
    <cellStyle name="Normal 2 19 3 6 2" xfId="36554"/>
    <cellStyle name="Normal 2 2 10 6 2" xfId="36555"/>
    <cellStyle name="Normal 2 2 11 6 2" xfId="36556"/>
    <cellStyle name="Normal 2 2 12 6 2" xfId="36557"/>
    <cellStyle name="Normal 2 2 13 6 2" xfId="36558"/>
    <cellStyle name="Normal 2 2 14 6 2" xfId="36559"/>
    <cellStyle name="Normal 2 2 15 6 2" xfId="36560"/>
    <cellStyle name="Normal 2 2 16 6 2" xfId="36561"/>
    <cellStyle name="Normal 2 2 17 6 2" xfId="36562"/>
    <cellStyle name="Normal 2 2 18 6 2" xfId="36563"/>
    <cellStyle name="Normal 2 2 19 6 2" xfId="36564"/>
    <cellStyle name="Normal 2 2 2 2 10 2" xfId="36565"/>
    <cellStyle name="Normal 2 2 2 2 2 7 2" xfId="36566"/>
    <cellStyle name="Normal 2 2 2 2 2 2 6 2" xfId="36567"/>
    <cellStyle name="Normal 2 2 2 2 3 6 2" xfId="36568"/>
    <cellStyle name="Normal 2 2 2 2 4 6 2" xfId="36569"/>
    <cellStyle name="Normal 2 2 2 2 5 6 2" xfId="36570"/>
    <cellStyle name="Normal 2 2 20 6 2" xfId="36571"/>
    <cellStyle name="Normal 2 2 21 6 2" xfId="36572"/>
    <cellStyle name="Normal 2 2 22 6 2" xfId="36573"/>
    <cellStyle name="Normal 2 2 3 13 2" xfId="36574"/>
    <cellStyle name="Normal 2 2 3 2 6 2" xfId="36575"/>
    <cellStyle name="Normal 2 2 3 3 6 2" xfId="36576"/>
    <cellStyle name="Normal 2 2 3 4 6 2" xfId="36577"/>
    <cellStyle name="Normal 2 2 3 5 6 2" xfId="36578"/>
    <cellStyle name="Normal 2 2 3 6 6 2" xfId="36579"/>
    <cellStyle name="Normal 2 2 4 9 2" xfId="36580"/>
    <cellStyle name="Normal 2 2 4 2 6 2" xfId="36581"/>
    <cellStyle name="Normal 2 2 5 8 2" xfId="36582"/>
    <cellStyle name="Normal 2 2 5 2 6 2" xfId="36583"/>
    <cellStyle name="Normal 2 2 6 6 2" xfId="36584"/>
    <cellStyle name="Normal 2 2 7 6 2" xfId="36585"/>
    <cellStyle name="Normal 2 2 8 6 2" xfId="36586"/>
    <cellStyle name="Normal 2 2 9 6 2" xfId="36587"/>
    <cellStyle name="Normal 2 20 6 2" xfId="36588"/>
    <cellStyle name="Normal 2 3 2 7 2" xfId="36589"/>
    <cellStyle name="Normal 2 3 3 6 2" xfId="36590"/>
    <cellStyle name="Normal 2 3 4 6 2" xfId="36591"/>
    <cellStyle name="Normal 2 3 5 6 2" xfId="36592"/>
    <cellStyle name="Normal 2 3 6 6 2" xfId="36593"/>
    <cellStyle name="Normal 2 4 5 6 2" xfId="36594"/>
    <cellStyle name="Normal 2 4 2 6 2" xfId="36595"/>
    <cellStyle name="Normal 2 5 3 6 2" xfId="36596"/>
    <cellStyle name="Normal 2 6 3 6 2" xfId="36597"/>
    <cellStyle name="Normal 2 7 3 6 2" xfId="36598"/>
    <cellStyle name="Normal 2 8 3 6 2" xfId="36599"/>
    <cellStyle name="Normal 2 9 3 6 2" xfId="36600"/>
    <cellStyle name="Normal 21 13 2" xfId="36601"/>
    <cellStyle name="Normal 21 2 11 2" xfId="36602"/>
    <cellStyle name="Normal 21 2 2 6 2" xfId="36603"/>
    <cellStyle name="Normal 21 2 3 6 2" xfId="36604"/>
    <cellStyle name="Normal 21 2 4 6 2" xfId="36605"/>
    <cellStyle name="Normal 21 2 5 6 2" xfId="36606"/>
    <cellStyle name="Normal 21 2 6 6 2" xfId="36607"/>
    <cellStyle name="Normal 21 3 7 2" xfId="36608"/>
    <cellStyle name="Normal 21 3 2 6 2" xfId="36609"/>
    <cellStyle name="Normal 21 4 6 2" xfId="36610"/>
    <cellStyle name="Normal 21 5 6 2" xfId="36611"/>
    <cellStyle name="Normal 21 6 6 2" xfId="36612"/>
    <cellStyle name="Normal 21 8 6 2" xfId="36613"/>
    <cellStyle name="Normal 22 12 2" xfId="36614"/>
    <cellStyle name="Normal 22 2 11 2" xfId="36615"/>
    <cellStyle name="Normal 22 2 2 6 2" xfId="36616"/>
    <cellStyle name="Normal 22 2 3 6 2" xfId="36617"/>
    <cellStyle name="Normal 22 2 4 6 2" xfId="36618"/>
    <cellStyle name="Normal 22 2 5 6 2" xfId="36619"/>
    <cellStyle name="Normal 22 3 6 2" xfId="36620"/>
    <cellStyle name="Normal 22 4 6 2" xfId="36621"/>
    <cellStyle name="Normal 22 5 6 2" xfId="36622"/>
    <cellStyle name="Normal 22 6 6 2" xfId="36623"/>
    <cellStyle name="Normal 23 12 2" xfId="36624"/>
    <cellStyle name="Normal 23 2 10 2" xfId="36625"/>
    <cellStyle name="Normal 23 2 2 6 2" xfId="36626"/>
    <cellStyle name="Normal 23 2 3 6 2" xfId="36627"/>
    <cellStyle name="Normal 23 2 4 6 2" xfId="36628"/>
    <cellStyle name="Normal 23 2 5 6 2" xfId="36629"/>
    <cellStyle name="Normal 23 3 6 2" xfId="36630"/>
    <cellStyle name="Normal 23 4 6 2" xfId="36631"/>
    <cellStyle name="Normal 23 5 6 2" xfId="36632"/>
    <cellStyle name="Normal 23 6 6 2" xfId="36633"/>
    <cellStyle name="Normal 24 12 2" xfId="36634"/>
    <cellStyle name="Normal 24 2 10 2" xfId="36635"/>
    <cellStyle name="Normal 24 2 2 6 2" xfId="36636"/>
    <cellStyle name="Normal 24 2 3 6 2" xfId="36637"/>
    <cellStyle name="Normal 24 2 4 6 2" xfId="36638"/>
    <cellStyle name="Normal 24 2 5 6 2" xfId="36639"/>
    <cellStyle name="Normal 24 3 6 2" xfId="36640"/>
    <cellStyle name="Normal 24 4 6 2" xfId="36641"/>
    <cellStyle name="Normal 24 5 6 2" xfId="36642"/>
    <cellStyle name="Normal 24 6 6 2" xfId="36643"/>
    <cellStyle name="Normal 26 12 2" xfId="36644"/>
    <cellStyle name="Normal 26 2 10 2" xfId="36645"/>
    <cellStyle name="Normal 26 2 2 6 2" xfId="36646"/>
    <cellStyle name="Normal 26 2 3 6 2" xfId="36647"/>
    <cellStyle name="Normal 26 2 4 6 2" xfId="36648"/>
    <cellStyle name="Normal 26 2 5 6 2" xfId="36649"/>
    <cellStyle name="Normal 26 3 6 2" xfId="36650"/>
    <cellStyle name="Normal 26 4 6 2" xfId="36651"/>
    <cellStyle name="Normal 26 5 6 2" xfId="36652"/>
    <cellStyle name="Normal 26 6 6 2" xfId="36653"/>
    <cellStyle name="Normal 3 10 6 2" xfId="36654"/>
    <cellStyle name="Normal 3 11 6 2" xfId="36655"/>
    <cellStyle name="Normal 3 12 6 2" xfId="36656"/>
    <cellStyle name="Normal 3 13 6 2" xfId="36657"/>
    <cellStyle name="Normal 3 14 6 2" xfId="36658"/>
    <cellStyle name="Normal 3 15 6 2" xfId="36659"/>
    <cellStyle name="Normal 3 16 6 2" xfId="36660"/>
    <cellStyle name="Normal 3 17 6 2" xfId="36661"/>
    <cellStyle name="Normal 3 18 6 2" xfId="36662"/>
    <cellStyle name="Normal 3 19 6 2" xfId="36663"/>
    <cellStyle name="Normal 3 2 2 6 2" xfId="36664"/>
    <cellStyle name="Normal 3 2 3 6 2" xfId="36665"/>
    <cellStyle name="Normal 3 2 4 6 2" xfId="36666"/>
    <cellStyle name="Normal 3 2 5 6 2" xfId="36667"/>
    <cellStyle name="Normal 3 2 6 6 2" xfId="36668"/>
    <cellStyle name="Normal 3 20 6 2" xfId="36669"/>
    <cellStyle name="Normal 3 21 6 2" xfId="36670"/>
    <cellStyle name="Normal 3 22 6 2" xfId="36671"/>
    <cellStyle name="Normal 3 23 6 2" xfId="36672"/>
    <cellStyle name="Normal 3 24 6 2" xfId="36673"/>
    <cellStyle name="Normal 3 3 9 2" xfId="36674"/>
    <cellStyle name="Normal 3 3 2 6 2" xfId="36675"/>
    <cellStyle name="Normal 3 3 3 6 2" xfId="36676"/>
    <cellStyle name="Normal 3 4 7 2" xfId="36677"/>
    <cellStyle name="Normal 3 4 2 6 2" xfId="36678"/>
    <cellStyle name="Normal 3 5 7 2" xfId="36679"/>
    <cellStyle name="Normal 3 5 2 6 2" xfId="36680"/>
    <cellStyle name="Normal 3 6 6 2" xfId="36681"/>
    <cellStyle name="Normal 3 7 6 2" xfId="36682"/>
    <cellStyle name="Normal 3 8 6 2" xfId="36683"/>
    <cellStyle name="Normal 3 9 6 2" xfId="36684"/>
    <cellStyle name="Normal 4 2 10 6 2" xfId="36685"/>
    <cellStyle name="Normal 4 2 11 6 2" xfId="36686"/>
    <cellStyle name="Normal 4 2 12 6 2" xfId="36687"/>
    <cellStyle name="Normal 4 2 13 6 2" xfId="36688"/>
    <cellStyle name="Normal 4 2 14 6 2" xfId="36689"/>
    <cellStyle name="Normal 4 2 15 6 2" xfId="36690"/>
    <cellStyle name="Normal 4 2 16 6 2" xfId="36691"/>
    <cellStyle name="Normal 4 2 17 6 2" xfId="36692"/>
    <cellStyle name="Normal 4 2 18 6 2" xfId="36693"/>
    <cellStyle name="Normal 4 2 19 6 2" xfId="36694"/>
    <cellStyle name="Normal 4 2 2 10 2" xfId="36695"/>
    <cellStyle name="Normal 4 2 2 2 6 2" xfId="36696"/>
    <cellStyle name="Normal 4 2 2 3 6 2" xfId="36697"/>
    <cellStyle name="Normal 4 2 2 4 6 2" xfId="36698"/>
    <cellStyle name="Normal 4 2 2 5 6 2" xfId="36699"/>
    <cellStyle name="Normal 4 2 20 6 2" xfId="36700"/>
    <cellStyle name="Normal 4 2 21 6 2" xfId="36701"/>
    <cellStyle name="Normal 4 2 22 6 2" xfId="36702"/>
    <cellStyle name="Normal 4 2 23 6 2" xfId="36703"/>
    <cellStyle name="Normal 4 2 24 6 2" xfId="36704"/>
    <cellStyle name="Normal 4 2 3 7 2" xfId="36705"/>
    <cellStyle name="Normal 4 2 3 2 6 2" xfId="36706"/>
    <cellStyle name="Normal 4 2 4 7 2" xfId="36707"/>
    <cellStyle name="Normal 4 2 4 2 6 2" xfId="36708"/>
    <cellStyle name="Normal 4 2 5 7 2" xfId="36709"/>
    <cellStyle name="Normal 4 2 5 2 6 2" xfId="36710"/>
    <cellStyle name="Normal 4 2 6 6 2" xfId="36711"/>
    <cellStyle name="Normal 4 2 7 6 2" xfId="36712"/>
    <cellStyle name="Normal 4 2 8 6 2" xfId="36713"/>
    <cellStyle name="Normal 4 2 9 6 2" xfId="36714"/>
    <cellStyle name="Normal 4 3 11 2" xfId="36715"/>
    <cellStyle name="Normal 4 3 2 10 2" xfId="36716"/>
    <cellStyle name="Normal 4 3 2 2 9 2" xfId="36717"/>
    <cellStyle name="Normal 4 3 2 2 2 7 2" xfId="36718"/>
    <cellStyle name="Normal 4 3 2 2 2 2 6 2" xfId="36719"/>
    <cellStyle name="Normal 4 3 2 2 3 7 2" xfId="36720"/>
    <cellStyle name="Normal 4 3 2 2 3 2 6 2" xfId="36721"/>
    <cellStyle name="Normal 4 3 2 2 4 6 2" xfId="36722"/>
    <cellStyle name="Normal 4 3 2 3 7 2" xfId="36723"/>
    <cellStyle name="Normal 4 3 2 3 2 6 2" xfId="36724"/>
    <cellStyle name="Normal 4 3 2 4 7 2" xfId="36725"/>
    <cellStyle name="Normal 4 3 2 4 2 6 2" xfId="36726"/>
    <cellStyle name="Normal 4 3 2 5 6 2" xfId="36727"/>
    <cellStyle name="Normal 4 3 3 9 2" xfId="36728"/>
    <cellStyle name="Normal 4 3 3 2 7 2" xfId="36729"/>
    <cellStyle name="Normal 4 3 3 2 2 6 2" xfId="36730"/>
    <cellStyle name="Normal 4 3 3 3 7 2" xfId="36731"/>
    <cellStyle name="Normal 4 3 3 3 2 6 2" xfId="36732"/>
    <cellStyle name="Normal 4 3 3 4 6 2" xfId="36733"/>
    <cellStyle name="Normal 4 3 4 7 2" xfId="36734"/>
    <cellStyle name="Normal 4 3 4 2 6 2" xfId="36735"/>
    <cellStyle name="Normal 4 3 5 7 2" xfId="36736"/>
    <cellStyle name="Normal 4 3 5 2 6 2" xfId="36737"/>
    <cellStyle name="Normal 4 3 6 6 2" xfId="36738"/>
    <cellStyle name="Normal 4 4 8 2" xfId="36739"/>
    <cellStyle name="Normal 4 4 2 6 2" xfId="36740"/>
    <cellStyle name="Normal 4 5 6 2" xfId="36741"/>
    <cellStyle name="Normal 4 6 6 2" xfId="36742"/>
    <cellStyle name="Normal 4 7 6 2" xfId="36743"/>
    <cellStyle name="Normal 4 8 6 2" xfId="36744"/>
    <cellStyle name="Normal 41 2 6 2" xfId="36745"/>
    <cellStyle name="Normal 46 6 2" xfId="36746"/>
    <cellStyle name="Normal 5 28 6 2" xfId="36747"/>
    <cellStyle name="Normal 5 2 11 2" xfId="36748"/>
    <cellStyle name="Normal 5 2 2 2 2 6 2" xfId="36749"/>
    <cellStyle name="Normal 5 2 2 3 6 2" xfId="36750"/>
    <cellStyle name="Normal 5 2 3 2 2 6 2" xfId="36751"/>
    <cellStyle name="Normal 5 2 3 3 6 2" xfId="36752"/>
    <cellStyle name="Normal 5 2 4 2 6 2" xfId="36753"/>
    <cellStyle name="Normal 5 2 6 6 2" xfId="36754"/>
    <cellStyle name="Normal 5 24 6 2" xfId="36755"/>
    <cellStyle name="Normal 5 3 7 2" xfId="36756"/>
    <cellStyle name="Normal 5 4 7 2" xfId="36757"/>
    <cellStyle name="Normal 5 5 7 2" xfId="36758"/>
    <cellStyle name="Normal 5 6 7 2" xfId="36759"/>
    <cellStyle name="Normal 5 7 7 2" xfId="36760"/>
    <cellStyle name="Normal 7 25 6 2" xfId="36761"/>
    <cellStyle name="Normal 7 10 6 2" xfId="36762"/>
    <cellStyle name="Normal 7 11 6 2" xfId="36763"/>
    <cellStyle name="Normal 7 12 6 2" xfId="36764"/>
    <cellStyle name="Normal 7 13 6 2" xfId="36765"/>
    <cellStyle name="Normal 7 14 6 2" xfId="36766"/>
    <cellStyle name="Normal 7 15 6 2" xfId="36767"/>
    <cellStyle name="Normal 7 16 6 2" xfId="36768"/>
    <cellStyle name="Normal 7 17 6 2" xfId="36769"/>
    <cellStyle name="Normal 7 18 6 2" xfId="36770"/>
    <cellStyle name="Normal 7 19 6 2" xfId="36771"/>
    <cellStyle name="Normal 7 2 11 2" xfId="36772"/>
    <cellStyle name="Normal 7 2 2 6 2" xfId="36773"/>
    <cellStyle name="Normal 7 2 3 6 2" xfId="36774"/>
    <cellStyle name="Normal 7 2 4 6 2" xfId="36775"/>
    <cellStyle name="Normal 7 2 5 6 2" xfId="36776"/>
    <cellStyle name="Normal 7 20 6 2" xfId="36777"/>
    <cellStyle name="Normal 7 22 6 2" xfId="36778"/>
    <cellStyle name="Normal 7 3 10 2" xfId="36779"/>
    <cellStyle name="Normal 7 3 2 6 2" xfId="36780"/>
    <cellStyle name="Normal 7 3 3 6 2" xfId="36781"/>
    <cellStyle name="Normal 7 3 4 6 2" xfId="36782"/>
    <cellStyle name="Normal 7 3 5 6 2" xfId="36783"/>
    <cellStyle name="Normal 7 4 6 2" xfId="36784"/>
    <cellStyle name="Normal 7 5 6 2" xfId="36785"/>
    <cellStyle name="Normal 7 6 6 2" xfId="36786"/>
    <cellStyle name="Normal 7 7 6 2" xfId="36787"/>
    <cellStyle name="Normal 7 8 6 2" xfId="36788"/>
    <cellStyle name="Normal 7 9 6 2" xfId="36789"/>
    <cellStyle name="Normal 8 25 6 2" xfId="36790"/>
    <cellStyle name="Normal 8 10 6 2" xfId="36791"/>
    <cellStyle name="Normal 8 11 6 2" xfId="36792"/>
    <cellStyle name="Normal 8 12 6 2" xfId="36793"/>
    <cellStyle name="Normal 8 13 6 2" xfId="36794"/>
    <cellStyle name="Normal 8 14 6 2" xfId="36795"/>
    <cellStyle name="Normal 8 15 6 2" xfId="36796"/>
    <cellStyle name="Normal 8 16 6 2" xfId="36797"/>
    <cellStyle name="Normal 8 17 6 2" xfId="36798"/>
    <cellStyle name="Normal 8 18 6 2" xfId="36799"/>
    <cellStyle name="Normal 8 19 6 2" xfId="36800"/>
    <cellStyle name="Normal 8 2 6 6 2" xfId="36801"/>
    <cellStyle name="Normal 8 2 2 2 6 2" xfId="36802"/>
    <cellStyle name="Normal 8 2 3 6 2" xfId="36803"/>
    <cellStyle name="Normal 8 2 4 6 2" xfId="36804"/>
    <cellStyle name="Normal 8 2 5 6 2" xfId="36805"/>
    <cellStyle name="Normal 8 20 6 2" xfId="36806"/>
    <cellStyle name="Normal 8 22 6 2" xfId="36807"/>
    <cellStyle name="Normal 8 3 6 6 2" xfId="36808"/>
    <cellStyle name="Normal 8 3 2 6 2" xfId="36809"/>
    <cellStyle name="Normal 8 3 3 6 2" xfId="36810"/>
    <cellStyle name="Normal 8 3 4 6 2" xfId="36811"/>
    <cellStyle name="Normal 8 3 5 6 2" xfId="36812"/>
    <cellStyle name="Normal 8 4 6 2" xfId="36813"/>
    <cellStyle name="Normal 8 5 6 2" xfId="36814"/>
    <cellStyle name="Normal 8 6 6 2" xfId="36815"/>
    <cellStyle name="Normal 8 7 6 2" xfId="36816"/>
    <cellStyle name="Normal 8 8 6 2" xfId="36817"/>
    <cellStyle name="Normal 8 9 6 2" xfId="36818"/>
    <cellStyle name="Normal 9 25 6 2" xfId="36819"/>
    <cellStyle name="Normal 9 10 6 2" xfId="36820"/>
    <cellStyle name="Normal 9 11 6 2" xfId="36821"/>
    <cellStyle name="Normal 9 12 6 2" xfId="36822"/>
    <cellStyle name="Normal 9 13 6 2" xfId="36823"/>
    <cellStyle name="Normal 9 14 6 2" xfId="36824"/>
    <cellStyle name="Normal 9 15 6 2" xfId="36825"/>
    <cellStyle name="Normal 9 16 6 2" xfId="36826"/>
    <cellStyle name="Normal 9 17 6 2" xfId="36827"/>
    <cellStyle name="Normal 9 18 6 2" xfId="36828"/>
    <cellStyle name="Normal 9 19 6 2" xfId="36829"/>
    <cellStyle name="Normal 9 2 11 2" xfId="36830"/>
    <cellStyle name="Normal 9 2 2 6 2" xfId="36831"/>
    <cellStyle name="Normal 9 2 3 6 2" xfId="36832"/>
    <cellStyle name="Normal 9 2 4 6 2" xfId="36833"/>
    <cellStyle name="Normal 9 2 5 6 2" xfId="36834"/>
    <cellStyle name="Normal 9 20 6 2" xfId="36835"/>
    <cellStyle name="Normal 9 22 6 2" xfId="36836"/>
    <cellStyle name="Normal 9 3 10 2" xfId="36837"/>
    <cellStyle name="Normal 9 3 2 6 2" xfId="36838"/>
    <cellStyle name="Normal 9 3 3 6 2" xfId="36839"/>
    <cellStyle name="Normal 9 3 4 6 2" xfId="36840"/>
    <cellStyle name="Normal 9 3 5 6 2" xfId="36841"/>
    <cellStyle name="Normal 9 4 6 2" xfId="36842"/>
    <cellStyle name="Normal 9 5 6 2" xfId="36843"/>
    <cellStyle name="Normal 9 6 6 2" xfId="36844"/>
    <cellStyle name="Normal 9 7 6 2" xfId="36845"/>
    <cellStyle name="Normal 9 8 6 2" xfId="36846"/>
    <cellStyle name="Normal 9 9 6 2" xfId="36847"/>
    <cellStyle name="Note 2 6 3 2" xfId="36848"/>
    <cellStyle name="Note 3 6 2" xfId="36849"/>
    <cellStyle name="Note 4 6 2" xfId="36850"/>
    <cellStyle name="Note 7 6 2" xfId="36851"/>
    <cellStyle name="Percent 120 6 2" xfId="36852"/>
    <cellStyle name="Percent 121 6 2" xfId="36853"/>
    <cellStyle name="Percent 122 6 2" xfId="36854"/>
    <cellStyle name="Percent 123 6 2" xfId="36855"/>
    <cellStyle name="Percent 124 6 2" xfId="36856"/>
    <cellStyle name="Percent 125 6 2" xfId="36857"/>
    <cellStyle name="Percent 126 6 2" xfId="36858"/>
    <cellStyle name="Percent 127 6 2" xfId="36859"/>
    <cellStyle name="Percent 128 6 2" xfId="36860"/>
    <cellStyle name="Percent 129 6 2" xfId="36861"/>
    <cellStyle name="Percent 130 6 2" xfId="36862"/>
    <cellStyle name="Percent 159 6 2" xfId="36863"/>
    <cellStyle name="Percent 2 22 6 2" xfId="36864"/>
    <cellStyle name="Percent 25 2 7 2" xfId="36865"/>
    <cellStyle name="Percent 25 2 2 6 2" xfId="36866"/>
    <cellStyle name="Percent 25 3 7 2" xfId="36867"/>
    <cellStyle name="Percent 25 3 2 6 2" xfId="36868"/>
    <cellStyle name="Percent 25 4 2 6 2" xfId="36869"/>
    <cellStyle name="Percent 25 5 6 2" xfId="36870"/>
    <cellStyle name="Percent 26 2 7 2" xfId="36871"/>
    <cellStyle name="Percent 26 2 2 6 2" xfId="36872"/>
    <cellStyle name="Percent 26 3 7 2" xfId="36873"/>
    <cellStyle name="Percent 26 3 2 6 2" xfId="36874"/>
    <cellStyle name="Percent 26 4 2 6 2" xfId="36875"/>
    <cellStyle name="Percent 26 5 6 2" xfId="36876"/>
    <cellStyle name="Percent 27 2 7 2" xfId="36877"/>
    <cellStyle name="Percent 27 2 2 6 2" xfId="36878"/>
    <cellStyle name="Percent 27 3 7 2" xfId="36879"/>
    <cellStyle name="Percent 27 3 2 6 2" xfId="36880"/>
    <cellStyle name="Percent 27 4 2 6 2" xfId="36881"/>
    <cellStyle name="Percent 27 5 6 2" xfId="36882"/>
    <cellStyle name="Percent 28 2 7 2" xfId="36883"/>
    <cellStyle name="Percent 28 2 2 6 2" xfId="36884"/>
    <cellStyle name="Percent 28 3 7 2" xfId="36885"/>
    <cellStyle name="Percent 28 3 2 6 2" xfId="36886"/>
    <cellStyle name="Percent 28 4 2 6 2" xfId="36887"/>
    <cellStyle name="Percent 28 5 6 2" xfId="36888"/>
    <cellStyle name="Percent 29 2 7 2" xfId="36889"/>
    <cellStyle name="Percent 29 2 2 6 2" xfId="36890"/>
    <cellStyle name="Percent 29 3 7 2" xfId="36891"/>
    <cellStyle name="Percent 29 3 2 6 2" xfId="36892"/>
    <cellStyle name="Percent 29 4 2 6 2" xfId="36893"/>
    <cellStyle name="Percent 29 5 6 2" xfId="36894"/>
    <cellStyle name="Percent 3 10 6 2" xfId="36895"/>
    <cellStyle name="Percent 3 11 6 2" xfId="36896"/>
    <cellStyle name="Percent 3 12 6 2" xfId="36897"/>
    <cellStyle name="Percent 3 13 6 2" xfId="36898"/>
    <cellStyle name="Percent 3 14 6 2" xfId="36899"/>
    <cellStyle name="Percent 3 15 6 2" xfId="36900"/>
    <cellStyle name="Percent 3 16 6 2" xfId="36901"/>
    <cellStyle name="Percent 3 17 6 2" xfId="36902"/>
    <cellStyle name="Percent 3 18 6 2" xfId="36903"/>
    <cellStyle name="Percent 3 19 6 2" xfId="36904"/>
    <cellStyle name="Percent 3 2 27 2" xfId="36905"/>
    <cellStyle name="Percent 3 2 10 6 2" xfId="36906"/>
    <cellStyle name="Percent 3 2 11 6 2" xfId="36907"/>
    <cellStyle name="Percent 3 2 12 6 2" xfId="36908"/>
    <cellStyle name="Percent 3 2 13 6 2" xfId="36909"/>
    <cellStyle name="Percent 3 2 14 6 2" xfId="36910"/>
    <cellStyle name="Percent 3 2 15 6 2" xfId="36911"/>
    <cellStyle name="Percent 3 2 16 6 2" xfId="36912"/>
    <cellStyle name="Percent 3 2 17 6 2" xfId="36913"/>
    <cellStyle name="Percent 3 2 18 6 2" xfId="36914"/>
    <cellStyle name="Percent 3 2 19 6 2" xfId="36915"/>
    <cellStyle name="Percent 3 2 2 2 6 2" xfId="36916"/>
    <cellStyle name="Percent 3 2 2 3 6 2" xfId="36917"/>
    <cellStyle name="Percent 3 2 2 4 6 2" xfId="36918"/>
    <cellStyle name="Percent 3 2 2 5 6 2" xfId="36919"/>
    <cellStyle name="Percent 3 2 20 6 2" xfId="36920"/>
    <cellStyle name="Percent 3 2 21 2 6 2" xfId="36921"/>
    <cellStyle name="Percent 3 2 3 10 2" xfId="36922"/>
    <cellStyle name="Percent 3 2 3 2 6 2" xfId="36923"/>
    <cellStyle name="Percent 3 2 3 3 6 2" xfId="36924"/>
    <cellStyle name="Percent 3 2 3 4 6 2" xfId="36925"/>
    <cellStyle name="Percent 3 2 3 5 6 2" xfId="36926"/>
    <cellStyle name="Percent 3 2 4 7 2" xfId="36927"/>
    <cellStyle name="Percent 3 2 4 2 6 2" xfId="36928"/>
    <cellStyle name="Percent 3 2 5 7 2" xfId="36929"/>
    <cellStyle name="Percent 3 2 5 2 6 2" xfId="36930"/>
    <cellStyle name="Percent 3 2 6 7 2" xfId="36931"/>
    <cellStyle name="Percent 3 2 6 2 6 2" xfId="36932"/>
    <cellStyle name="Percent 3 2 7 6 2" xfId="36933"/>
    <cellStyle name="Percent 3 2 8 6 2" xfId="36934"/>
    <cellStyle name="Percent 3 2 9 6 2" xfId="36935"/>
    <cellStyle name="Percent 3 20 6 2" xfId="36936"/>
    <cellStyle name="Percent 3 21 6 2" xfId="36937"/>
    <cellStyle name="Percent 3 3 2 6 2" xfId="36938"/>
    <cellStyle name="Percent 3 3 3 6 2" xfId="36939"/>
    <cellStyle name="Percent 3 3 4 6 2" xfId="36940"/>
    <cellStyle name="Percent 3 3 5 6 2" xfId="36941"/>
    <cellStyle name="Percent 3 4 10 2" xfId="36942"/>
    <cellStyle name="Percent 3 4 2 6 2" xfId="36943"/>
    <cellStyle name="Percent 3 4 3 6 2" xfId="36944"/>
    <cellStyle name="Percent 3 4 4 6 2" xfId="36945"/>
    <cellStyle name="Percent 3 4 5 6 2" xfId="36946"/>
    <cellStyle name="Percent 3 5 7 2" xfId="36947"/>
    <cellStyle name="Percent 3 5 2 6 2" xfId="36948"/>
    <cellStyle name="Percent 3 6 7 2" xfId="36949"/>
    <cellStyle name="Percent 3 6 2 6 2" xfId="36950"/>
    <cellStyle name="Percent 3 7 7 2" xfId="36951"/>
    <cellStyle name="Percent 3 7 2 6 2" xfId="36952"/>
    <cellStyle name="Percent 3 8 6 2" xfId="36953"/>
    <cellStyle name="Percent 3 9 6 2" xfId="36954"/>
    <cellStyle name="Percent 30 2 7 2" xfId="36955"/>
    <cellStyle name="Percent 30 2 2 6 2" xfId="36956"/>
    <cellStyle name="Percent 30 3 7 2" xfId="36957"/>
    <cellStyle name="Percent 30 3 2 6 2" xfId="36958"/>
    <cellStyle name="Percent 30 4 2 6 2" xfId="36959"/>
    <cellStyle name="Percent 30 5 6 2" xfId="36960"/>
    <cellStyle name="Percent 31 2 7 2" xfId="36961"/>
    <cellStyle name="Percent 31 2 2 6 2" xfId="36962"/>
    <cellStyle name="Percent 31 3 7 2" xfId="36963"/>
    <cellStyle name="Percent 31 3 2 6 2" xfId="36964"/>
    <cellStyle name="Percent 31 4 2 6 2" xfId="36965"/>
    <cellStyle name="Percent 31 5 6 2" xfId="36966"/>
    <cellStyle name="Percent 32 2 7 2" xfId="36967"/>
    <cellStyle name="Percent 32 2 2 6 2" xfId="36968"/>
    <cellStyle name="Percent 32 3 7 2" xfId="36969"/>
    <cellStyle name="Percent 32 3 2 6 2" xfId="36970"/>
    <cellStyle name="Percent 32 4 2 6 2" xfId="36971"/>
    <cellStyle name="Percent 32 5 6 2" xfId="36972"/>
    <cellStyle name="Percent 33 2 7 2" xfId="36973"/>
    <cellStyle name="Percent 33 2 2 6 2" xfId="36974"/>
    <cellStyle name="Percent 33 3 7 2" xfId="36975"/>
    <cellStyle name="Percent 33 3 2 6 2" xfId="36976"/>
    <cellStyle name="Percent 33 4 2 6 2" xfId="36977"/>
    <cellStyle name="Percent 33 5 6 2" xfId="36978"/>
    <cellStyle name="Percent 34 2 7 2" xfId="36979"/>
    <cellStyle name="Percent 34 2 2 6 2" xfId="36980"/>
    <cellStyle name="Percent 34 3 7 2" xfId="36981"/>
    <cellStyle name="Percent 34 3 2 6 2" xfId="36982"/>
    <cellStyle name="Percent 34 4 2 6 2" xfId="36983"/>
    <cellStyle name="Percent 34 5 6 2" xfId="36984"/>
    <cellStyle name="Percent 35 2 7 2" xfId="36985"/>
    <cellStyle name="Percent 35 2 2 6 2" xfId="36986"/>
    <cellStyle name="Percent 35 3 7 2" xfId="36987"/>
    <cellStyle name="Percent 35 3 2 6 2" xfId="36988"/>
    <cellStyle name="Percent 35 4 2 6 2" xfId="36989"/>
    <cellStyle name="Percent 35 5 6 2" xfId="36990"/>
    <cellStyle name="Currency 5 4 6 2" xfId="36991"/>
    <cellStyle name="Comma 5 7 6 2" xfId="36992"/>
    <cellStyle name="Percent 5 4 6 2" xfId="36993"/>
    <cellStyle name="Comma 6 5 6 2" xfId="36994"/>
    <cellStyle name="Currency 5 2 4 6 2" xfId="36995"/>
    <cellStyle name="Comma 5 2 4 6 2" xfId="36996"/>
    <cellStyle name="Percent 5 2 4 6 2" xfId="36997"/>
    <cellStyle name="Comma 6 2 3 6 2" xfId="36998"/>
    <cellStyle name="Currency 5 3 2 6 2" xfId="36999"/>
    <cellStyle name="Comma 5 3 2 6 2" xfId="37000"/>
    <cellStyle name="Percent 5 3 2 6 2" xfId="37001"/>
    <cellStyle name="Comma 6 3 4 6 2" xfId="37002"/>
    <cellStyle name="Normal 11 2 2 6 2" xfId="37003"/>
    <cellStyle name="Currency 5 2 2 2 6 2" xfId="37004"/>
    <cellStyle name="Comma 5 2 2 2 6 2" xfId="37005"/>
    <cellStyle name="Percent 5 2 2 2 7 2" xfId="37006"/>
    <cellStyle name="Comma 6 2 2 2 6 2" xfId="37007"/>
    <cellStyle name="Normal 51 6 2" xfId="37008"/>
    <cellStyle name="Comma 187 6 2" xfId="37009"/>
    <cellStyle name="Percent 163 6 2" xfId="37010"/>
    <cellStyle name="Currency 162 6 2" xfId="37011"/>
    <cellStyle name="Currency 5 6 5 2" xfId="37012"/>
    <cellStyle name="Currency 179 5 2" xfId="37013"/>
    <cellStyle name="Percent 180 5 2" xfId="37014"/>
    <cellStyle name="Comma 204 5 2" xfId="37015"/>
    <cellStyle name="Normal 8 26 5 2" xfId="37016"/>
    <cellStyle name="Comma 5 9 5 2" xfId="37017"/>
    <cellStyle name="Percent 5 6 5 2" xfId="37018"/>
    <cellStyle name="Comma 6 7 5 2" xfId="37019"/>
    <cellStyle name="Normal 11 5 5 2" xfId="37020"/>
    <cellStyle name="Currency 5 2 6 5 2" xfId="37021"/>
    <cellStyle name="Normal 8 2 7 5 2" xfId="37022"/>
    <cellStyle name="Comma 5 2 6 5 2" xfId="37023"/>
    <cellStyle name="Percent 5 2 6 5 2" xfId="37024"/>
    <cellStyle name="Comma 6 2 5 5 2" xfId="37025"/>
    <cellStyle name="Currency 5 3 4 5 2" xfId="37026"/>
    <cellStyle name="Normal 8 3 7 5 2" xfId="37027"/>
    <cellStyle name="Comma 5 3 4 5 2" xfId="37028"/>
    <cellStyle name="Percent 5 3 4 5 2" xfId="37029"/>
    <cellStyle name="Comma 6 3 6 5 2" xfId="37030"/>
    <cellStyle name="Normal 11 2 4 5 2" xfId="37031"/>
    <cellStyle name="Currency 5 2 2 4 5 2" xfId="37032"/>
    <cellStyle name="Normal 8 2 2 3 5 2" xfId="37033"/>
    <cellStyle name="Comma 5 2 2 4 5 2" xfId="37034"/>
    <cellStyle name="Percent 5 2 2 4 5 2" xfId="37035"/>
    <cellStyle name="Comma 6 2 2 3 5 2" xfId="37036"/>
    <cellStyle name="Normal 50 2 5 2" xfId="37037"/>
    <cellStyle name="Comma 186 2 5 2" xfId="37038"/>
    <cellStyle name="Percent 162 2 5 2" xfId="37039"/>
    <cellStyle name="Normal 2 24 2 5 2" xfId="37040"/>
    <cellStyle name="20% - Accent1 2 2 5 2" xfId="37041"/>
    <cellStyle name="20% - Accent1 3 2 5 2" xfId="37042"/>
    <cellStyle name="20% - Accent1 4 2 5 2" xfId="37043"/>
    <cellStyle name="20% - Accent1 5 2 5 2" xfId="37044"/>
    <cellStyle name="20% - Accent2 2 2 5 2" xfId="37045"/>
    <cellStyle name="20% - Accent2 3 2 5 2" xfId="37046"/>
    <cellStyle name="20% - Accent2 4 2 5 2" xfId="37047"/>
    <cellStyle name="20% - Accent2 5 2 5 2" xfId="37048"/>
    <cellStyle name="20% - Accent3 2 2 5 2" xfId="37049"/>
    <cellStyle name="20% - Accent3 3 2 5 2" xfId="37050"/>
    <cellStyle name="20% - Accent3 4 2 5 2" xfId="37051"/>
    <cellStyle name="20% - Accent3 5 2 5 2" xfId="37052"/>
    <cellStyle name="20% - Accent4 2 2 5 2" xfId="37053"/>
    <cellStyle name="20% - Accent4 3 2 5 2" xfId="37054"/>
    <cellStyle name="20% - Accent4 4 2 5 2" xfId="37055"/>
    <cellStyle name="20% - Accent4 5 2 5 2" xfId="37056"/>
    <cellStyle name="20% - Accent5 2 2 5 2" xfId="37057"/>
    <cellStyle name="20% - Accent5 3 2 5 2" xfId="37058"/>
    <cellStyle name="20% - Accent5 4 2 5 2" xfId="37059"/>
    <cellStyle name="20% - Accent6 2 2 5 2" xfId="37060"/>
    <cellStyle name="20% - Accent6 3 2 5 2" xfId="37061"/>
    <cellStyle name="20% - Accent6 4 2 5 2" xfId="37062"/>
    <cellStyle name="40% - Accent1 2 2 5 2" xfId="37063"/>
    <cellStyle name="40% - Accent1 3 2 5 2" xfId="37064"/>
    <cellStyle name="40% - Accent1 4 2 5 2" xfId="37065"/>
    <cellStyle name="40% - Accent1 5 2 5 2" xfId="37066"/>
    <cellStyle name="40% - Accent2 2 2 5 2" xfId="37067"/>
    <cellStyle name="40% - Accent2 3 2 5 2" xfId="37068"/>
    <cellStyle name="40% - Accent2 4 2 5 2" xfId="37069"/>
    <cellStyle name="40% - Accent3 2 2 5 2" xfId="37070"/>
    <cellStyle name="40% - Accent3 3 2 5 2" xfId="37071"/>
    <cellStyle name="40% - Accent3 4 2 5 2" xfId="37072"/>
    <cellStyle name="40% - Accent3 5 2 5 2" xfId="37073"/>
    <cellStyle name="40% - Accent4 2 2 5 2" xfId="37074"/>
    <cellStyle name="40% - Accent4 3 2 5 2" xfId="37075"/>
    <cellStyle name="40% - Accent4 4 2 5 2" xfId="37076"/>
    <cellStyle name="40% - Accent4 5 2 5 2" xfId="37077"/>
    <cellStyle name="40% - Accent5 2 2 5 2" xfId="37078"/>
    <cellStyle name="40% - Accent5 3 2 5 2" xfId="37079"/>
    <cellStyle name="40% - Accent5 4 2 5 2" xfId="37080"/>
    <cellStyle name="40% - Accent6 2 2 5 2" xfId="37081"/>
    <cellStyle name="40% - Accent6 3 2 5 2" xfId="37082"/>
    <cellStyle name="40% - Accent6 4 2 5 2" xfId="37083"/>
    <cellStyle name="40% - Accent6 5 2 5 2" xfId="37084"/>
    <cellStyle name="Comma 143 2 5 2" xfId="37085"/>
    <cellStyle name="Comma 144 2 5 2" xfId="37086"/>
    <cellStyle name="Comma 145 2 5 2" xfId="37087"/>
    <cellStyle name="Comma 146 2 5 2" xfId="37088"/>
    <cellStyle name="Comma 147 2 5 2" xfId="37089"/>
    <cellStyle name="Comma 148 2 5 2" xfId="37090"/>
    <cellStyle name="Comma 149 2 5 2" xfId="37091"/>
    <cellStyle name="Comma 150 2 5 2" xfId="37092"/>
    <cellStyle name="Comma 151 2 5 2" xfId="37093"/>
    <cellStyle name="Comma 152 2 5 2" xfId="37094"/>
    <cellStyle name="Comma 153 2 5 2" xfId="37095"/>
    <cellStyle name="Comma 182 2 5 2" xfId="37096"/>
    <cellStyle name="Comma 2 23 2 5 2" xfId="37097"/>
    <cellStyle name="Comma 2 2 10 2 5 2" xfId="37098"/>
    <cellStyle name="Comma 2 2 11 2 5 2" xfId="37099"/>
    <cellStyle name="Comma 2 2 12 2 5 2" xfId="37100"/>
    <cellStyle name="Comma 2 2 13 2 5 2" xfId="37101"/>
    <cellStyle name="Comma 2 2 14 2 5 2" xfId="37102"/>
    <cellStyle name="Comma 2 2 15 2 5 2" xfId="37103"/>
    <cellStyle name="Comma 2 2 16 2 5 2" xfId="37104"/>
    <cellStyle name="Comma 2 2 17 2 5 2" xfId="37105"/>
    <cellStyle name="Comma 2 2 2 2 6 5 2" xfId="37106"/>
    <cellStyle name="Comma 2 2 2 2 2 2 5 2" xfId="37107"/>
    <cellStyle name="Comma 2 2 2 2 3 2 5 2" xfId="37108"/>
    <cellStyle name="Comma 2 2 2 2 4 2 5 2" xfId="37109"/>
    <cellStyle name="Comma 2 2 2 2 5 2 5 2" xfId="37110"/>
    <cellStyle name="Comma 2 2 2 3 2 5 2" xfId="37111"/>
    <cellStyle name="Comma 2 2 2 4 2 5 2" xfId="37112"/>
    <cellStyle name="Comma 2 2 2 5 2 5 2" xfId="37113"/>
    <cellStyle name="Comma 2 2 2 6 2 5 2" xfId="37114"/>
    <cellStyle name="Comma 2 2 3 6 5 2" xfId="37115"/>
    <cellStyle name="Comma 2 2 3 2 2 2 5 2" xfId="37116"/>
    <cellStyle name="Comma 2 2 3 2 3 2 5 2" xfId="37117"/>
    <cellStyle name="Comma 2 2 3 2 4 2 5 2" xfId="37118"/>
    <cellStyle name="Comma 2 2 3 2 5 2 5 2" xfId="37119"/>
    <cellStyle name="Comma 2 2 3 3 2 5 2" xfId="37120"/>
    <cellStyle name="Comma 2 2 4 2 2 5 2" xfId="37121"/>
    <cellStyle name="Comma 2 2 5 2 5 2" xfId="37122"/>
    <cellStyle name="Comma 2 2 6 2 5 2" xfId="37123"/>
    <cellStyle name="Comma 2 2 7 2 5 2" xfId="37124"/>
    <cellStyle name="Comma 2 2 8 2 5 2" xfId="37125"/>
    <cellStyle name="Comma 2 2 9 2 5 2" xfId="37126"/>
    <cellStyle name="Comma 3 10 2 5 2" xfId="37127"/>
    <cellStyle name="Comma 3 11 2 5 2" xfId="37128"/>
    <cellStyle name="Comma 3 12 2 5 2" xfId="37129"/>
    <cellStyle name="Comma 3 13 2 5 2" xfId="37130"/>
    <cellStyle name="Comma 3 14 2 5 2" xfId="37131"/>
    <cellStyle name="Comma 3 15 2 5 2" xfId="37132"/>
    <cellStyle name="Comma 3 16 2 5 2" xfId="37133"/>
    <cellStyle name="Comma 3 17 2 5 2" xfId="37134"/>
    <cellStyle name="Comma 3 18 2 5 2" xfId="37135"/>
    <cellStyle name="Comma 3 19 2 5 2" xfId="37136"/>
    <cellStyle name="Comma 3 2 2 2 5 2" xfId="37137"/>
    <cellStyle name="Comma 3 2 3 2 5 2" xfId="37138"/>
    <cellStyle name="Comma 3 2 4 2 5 2" xfId="37139"/>
    <cellStyle name="Comma 3 2 5 2 5 2" xfId="37140"/>
    <cellStyle name="Comma 3 20 2 5 2" xfId="37141"/>
    <cellStyle name="Comma 3 21 2 5 2" xfId="37142"/>
    <cellStyle name="Comma 3 3 6 5 2" xfId="37143"/>
    <cellStyle name="Comma 3 3 2 2 5 2" xfId="37144"/>
    <cellStyle name="Comma 3 3 3 2 5 2" xfId="37145"/>
    <cellStyle name="Comma 3 3 4 2 5 2" xfId="37146"/>
    <cellStyle name="Comma 3 3 5 2 5 2" xfId="37147"/>
    <cellStyle name="Comma 3 4 3 5 2" xfId="37148"/>
    <cellStyle name="Comma 3 4 2 2 5 2" xfId="37149"/>
    <cellStyle name="Comma 3 5 3 5 2" xfId="37150"/>
    <cellStyle name="Comma 3 5 2 2 5 2" xfId="37151"/>
    <cellStyle name="Comma 3 6 3 5 2" xfId="37152"/>
    <cellStyle name="Comma 3 6 2 2 5 2" xfId="37153"/>
    <cellStyle name="Comma 3 7 2 5 2" xfId="37154"/>
    <cellStyle name="Comma 3 8 2 5 2" xfId="37155"/>
    <cellStyle name="Comma 3 9 2 5 2" xfId="37156"/>
    <cellStyle name="Currency 120 2 5 2" xfId="37157"/>
    <cellStyle name="Currency 121 2 5 2" xfId="37158"/>
    <cellStyle name="Currency 122 2 5 2" xfId="37159"/>
    <cellStyle name="Currency 123 2 5 2" xfId="37160"/>
    <cellStyle name="Currency 124 2 5 2" xfId="37161"/>
    <cellStyle name="Currency 125 2 5 2" xfId="37162"/>
    <cellStyle name="Currency 126 2 5 2" xfId="37163"/>
    <cellStyle name="Currency 127 2 5 2" xfId="37164"/>
    <cellStyle name="Currency 128 2 5 2" xfId="37165"/>
    <cellStyle name="Currency 129 2 5 2" xfId="37166"/>
    <cellStyle name="Currency 130 2 5 2" xfId="37167"/>
    <cellStyle name="Currency 159 2 5 2" xfId="37168"/>
    <cellStyle name="Currency 2 27 2 5 2" xfId="37169"/>
    <cellStyle name="Currency 2 2 20 2 5 2" xfId="37170"/>
    <cellStyle name="Currency 2 2 10 2 5 2" xfId="37171"/>
    <cellStyle name="Currency 2 2 11 2 5 2" xfId="37172"/>
    <cellStyle name="Currency 2 2 12 2 5 2" xfId="37173"/>
    <cellStyle name="Currency 2 2 13 2 5 2" xfId="37174"/>
    <cellStyle name="Currency 2 2 14 2 5 2" xfId="37175"/>
    <cellStyle name="Currency 2 2 15 2 5 2" xfId="37176"/>
    <cellStyle name="Currency 2 2 16 2 5 2" xfId="37177"/>
    <cellStyle name="Currency 2 2 17 2 5 2" xfId="37178"/>
    <cellStyle name="Currency 2 2 18 2 5 2" xfId="37179"/>
    <cellStyle name="Currency 2 2 2 2 2 5 2" xfId="37180"/>
    <cellStyle name="Currency 2 2 2 3 2 5 2" xfId="37181"/>
    <cellStyle name="Currency 2 2 2 4 2 5 2" xfId="37182"/>
    <cellStyle name="Currency 2 2 2 5 2 5 2" xfId="37183"/>
    <cellStyle name="Currency 2 2 3 6 5 2" xfId="37184"/>
    <cellStyle name="Currency 2 2 3 2 2 5 2" xfId="37185"/>
    <cellStyle name="Currency 2 2 3 3 2 5 2" xfId="37186"/>
    <cellStyle name="Currency 2 2 3 4 2 5 2" xfId="37187"/>
    <cellStyle name="Currency 2 2 3 5 2 5 2" xfId="37188"/>
    <cellStyle name="Currency 2 2 4 2 5 2" xfId="37189"/>
    <cellStyle name="Currency 2 2 5 2 5 2" xfId="37190"/>
    <cellStyle name="Currency 2 2 6 2 5 2" xfId="37191"/>
    <cellStyle name="Currency 2 2 7 2 5 2" xfId="37192"/>
    <cellStyle name="Currency 2 2 8 2 5 2" xfId="37193"/>
    <cellStyle name="Currency 2 2 9 2 5 2" xfId="37194"/>
    <cellStyle name="Currency 3 10 2 5 2" xfId="37195"/>
    <cellStyle name="Currency 3 11 2 5 2" xfId="37196"/>
    <cellStyle name="Currency 3 12 2 5 2" xfId="37197"/>
    <cellStyle name="Currency 3 13 2 5 2" xfId="37198"/>
    <cellStyle name="Currency 3 14 2 5 2" xfId="37199"/>
    <cellStyle name="Currency 3 15 2 5 2" xfId="37200"/>
    <cellStyle name="Currency 3 16 2 5 2" xfId="37201"/>
    <cellStyle name="Currency 3 17 2 5 2" xfId="37202"/>
    <cellStyle name="Currency 3 18 2 5 2" xfId="37203"/>
    <cellStyle name="Currency 3 19 2 5 2" xfId="37204"/>
    <cellStyle name="Currency 3 2 2 2 5 2" xfId="37205"/>
    <cellStyle name="Currency 3 2 3 2 5 2" xfId="37206"/>
    <cellStyle name="Currency 3 2 4 2 5 2" xfId="37207"/>
    <cellStyle name="Currency 3 2 5 2 5 2" xfId="37208"/>
    <cellStyle name="Currency 3 20 2 5 2" xfId="37209"/>
    <cellStyle name="Currency 3 21 2 5 2" xfId="37210"/>
    <cellStyle name="Currency 3 3 8 5 2" xfId="37211"/>
    <cellStyle name="Currency 3 3 2 2 5 2" xfId="37212"/>
    <cellStyle name="Currency 3 3 3 2 5 2" xfId="37213"/>
    <cellStyle name="Currency 3 3 4 2 5 2" xfId="37214"/>
    <cellStyle name="Currency 3 3 5 2 5 2" xfId="37215"/>
    <cellStyle name="Currency 3 3 6 2 5 2" xfId="37216"/>
    <cellStyle name="Currency 3 4 3 5 2" xfId="37217"/>
    <cellStyle name="Currency 3 4 2 2 5 2" xfId="37218"/>
    <cellStyle name="Currency 3 5 3 5 2" xfId="37219"/>
    <cellStyle name="Currency 3 5 2 2 5 2" xfId="37220"/>
    <cellStyle name="Currency 3 6 3 5 2" xfId="37221"/>
    <cellStyle name="Currency 3 6 2 2 5 2" xfId="37222"/>
    <cellStyle name="Currency 3 7 2 5 2" xfId="37223"/>
    <cellStyle name="Currency 3 8 2 5 2" xfId="37224"/>
    <cellStyle name="Currency 3 9 2 5 2" xfId="37225"/>
    <cellStyle name="Normal 10 3 6 5 2" xfId="37226"/>
    <cellStyle name="Normal 10 3 2 5 5 2" xfId="37227"/>
    <cellStyle name="Normal 10 3 2 2 3 5 2" xfId="37228"/>
    <cellStyle name="Normal 10 3 2 2 2 2 5 2" xfId="37229"/>
    <cellStyle name="Normal 10 3 2 3 3 5 2" xfId="37230"/>
    <cellStyle name="Normal 10 3 2 3 2 2 5 2" xfId="37231"/>
    <cellStyle name="Normal 10 3 2 4 2 5 2" xfId="37232"/>
    <cellStyle name="Normal 10 3 3 3 5 2" xfId="37233"/>
    <cellStyle name="Normal 10 3 3 2 2 5 2" xfId="37234"/>
    <cellStyle name="Normal 10 3 4 3 5 2" xfId="37235"/>
    <cellStyle name="Normal 10 3 4 2 2 5 2" xfId="37236"/>
    <cellStyle name="Normal 10 3 5 2 5 2" xfId="37237"/>
    <cellStyle name="Normal 10 4 5 5 2" xfId="37238"/>
    <cellStyle name="Normal 10 4 2 3 5 2" xfId="37239"/>
    <cellStyle name="Normal 10 4 2 2 2 5 2" xfId="37240"/>
    <cellStyle name="Normal 10 4 3 3 5 2" xfId="37241"/>
    <cellStyle name="Normal 10 4 3 2 2 5 2" xfId="37242"/>
    <cellStyle name="Normal 10 4 4 2 5 2" xfId="37243"/>
    <cellStyle name="Normal 10 5 5 5 2" xfId="37244"/>
    <cellStyle name="Normal 10 5 2 3 5 2" xfId="37245"/>
    <cellStyle name="Normal 10 5 2 2 2 5 2" xfId="37246"/>
    <cellStyle name="Normal 10 5 3 3 5 2" xfId="37247"/>
    <cellStyle name="Normal 10 5 3 2 2 5 2" xfId="37248"/>
    <cellStyle name="Normal 10 5 4 2 5 2" xfId="37249"/>
    <cellStyle name="Normal 10 6 3 5 2" xfId="37250"/>
    <cellStyle name="Normal 10 6 2 2 5 2" xfId="37251"/>
    <cellStyle name="Normal 10 7 3 5 2" xfId="37252"/>
    <cellStyle name="Normal 10 7 2 2 5 2" xfId="37253"/>
    <cellStyle name="Normal 10 8 2 2 5 2" xfId="37254"/>
    <cellStyle name="Normal 10 9 2 5 2" xfId="37255"/>
    <cellStyle name="Normal 11 4 2 5 2" xfId="37256"/>
    <cellStyle name="Normal 11 3 2 5 2" xfId="37257"/>
    <cellStyle name="Normal 12 8 5 2" xfId="37258"/>
    <cellStyle name="Normal 12 2 2 5 5 2" xfId="37259"/>
    <cellStyle name="Normal 12 2 2 2 3 5 2" xfId="37260"/>
    <cellStyle name="Normal 12 2 2 2 2 2 5 2" xfId="37261"/>
    <cellStyle name="Normal 12 2 2 3 3 5 2" xfId="37262"/>
    <cellStyle name="Normal 12 2 2 3 2 2 5 2" xfId="37263"/>
    <cellStyle name="Normal 12 2 2 4 2 5 2" xfId="37264"/>
    <cellStyle name="Normal 12 2 3 3 5 2" xfId="37265"/>
    <cellStyle name="Normal 12 2 3 2 2 5 2" xfId="37266"/>
    <cellStyle name="Normal 12 2 4 3 5 2" xfId="37267"/>
    <cellStyle name="Normal 12 2 4 2 2 5 2" xfId="37268"/>
    <cellStyle name="Normal 12 2 5 2 2 5 2" xfId="37269"/>
    <cellStyle name="Normal 12 2 6 2 5 2" xfId="37270"/>
    <cellStyle name="Normal 12 3 5 5 2" xfId="37271"/>
    <cellStyle name="Normal 12 3 2 3 5 2" xfId="37272"/>
    <cellStyle name="Normal 12 3 2 2 2 5 2" xfId="37273"/>
    <cellStyle name="Normal 12 3 3 3 5 2" xfId="37274"/>
    <cellStyle name="Normal 12 3 3 2 2 5 2" xfId="37275"/>
    <cellStyle name="Normal 12 3 4 2 5 2" xfId="37276"/>
    <cellStyle name="Normal 12 4 5 5 2" xfId="37277"/>
    <cellStyle name="Normal 12 4 2 3 5 2" xfId="37278"/>
    <cellStyle name="Normal 12 4 2 2 2 5 2" xfId="37279"/>
    <cellStyle name="Normal 12 4 3 3 5 2" xfId="37280"/>
    <cellStyle name="Normal 12 4 3 2 2 5 2" xfId="37281"/>
    <cellStyle name="Normal 12 4 4 2 5 2" xfId="37282"/>
    <cellStyle name="Normal 12 5 3 5 2" xfId="37283"/>
    <cellStyle name="Normal 12 5 2 2 5 2" xfId="37284"/>
    <cellStyle name="Normal 12 6 3 5 2" xfId="37285"/>
    <cellStyle name="Normal 12 6 2 2 5 2" xfId="37286"/>
    <cellStyle name="Normal 12 7 2 5 2" xfId="37287"/>
    <cellStyle name="Normal 15 6 5 2" xfId="37288"/>
    <cellStyle name="Normal 15 3 2 5 2" xfId="37289"/>
    <cellStyle name="Normal 16 2 5 5 2" xfId="37290"/>
    <cellStyle name="Normal 16 2 2 3 5 2" xfId="37291"/>
    <cellStyle name="Normal 16 2 2 2 2 5 2" xfId="37292"/>
    <cellStyle name="Normal 16 2 3 3 5 2" xfId="37293"/>
    <cellStyle name="Normal 16 2 3 2 2 5 2" xfId="37294"/>
    <cellStyle name="Normal 16 2 4 2 5 2" xfId="37295"/>
    <cellStyle name="Normal 16 3 3 5 2" xfId="37296"/>
    <cellStyle name="Normal 16 3 2 2 5 2" xfId="37297"/>
    <cellStyle name="Normal 16 4 3 5 2" xfId="37298"/>
    <cellStyle name="Normal 16 4 2 2 5 2" xfId="37299"/>
    <cellStyle name="Normal 16 5 2 2 5 2" xfId="37300"/>
    <cellStyle name="Normal 16 6 2 5 2" xfId="37301"/>
    <cellStyle name="Normal 17 2 5 5 2" xfId="37302"/>
    <cellStyle name="Normal 17 2 2 3 5 2" xfId="37303"/>
    <cellStyle name="Normal 17 2 2 2 2 5 2" xfId="37304"/>
    <cellStyle name="Normal 17 2 3 3 5 2" xfId="37305"/>
    <cellStyle name="Normal 17 2 3 2 2 5 2" xfId="37306"/>
    <cellStyle name="Normal 17 2 4 2 5 2" xfId="37307"/>
    <cellStyle name="Normal 17 3 3 5 2" xfId="37308"/>
    <cellStyle name="Normal 17 3 2 2 5 2" xfId="37309"/>
    <cellStyle name="Normal 17 4 3 5 2" xfId="37310"/>
    <cellStyle name="Normal 17 4 2 2 5 2" xfId="37311"/>
    <cellStyle name="Normal 17 5 2 2 5 2" xfId="37312"/>
    <cellStyle name="Normal 17 6 2 5 2" xfId="37313"/>
    <cellStyle name="Normal 2 10 3 2 5 2" xfId="37314"/>
    <cellStyle name="Normal 2 11 3 2 5 2" xfId="37315"/>
    <cellStyle name="Normal 2 12 3 2 5 2" xfId="37316"/>
    <cellStyle name="Normal 2 13 3 2 5 2" xfId="37317"/>
    <cellStyle name="Normal 2 14 3 2 5 2" xfId="37318"/>
    <cellStyle name="Normal 2 15 3 2 5 2" xfId="37319"/>
    <cellStyle name="Normal 2 16 3 2 5 2" xfId="37320"/>
    <cellStyle name="Normal 2 17 3 2 5 2" xfId="37321"/>
    <cellStyle name="Normal 2 18 3 2 5 2" xfId="37322"/>
    <cellStyle name="Normal 2 19 3 2 5 2" xfId="37323"/>
    <cellStyle name="Normal 2 2 10 2 5 2" xfId="37324"/>
    <cellStyle name="Normal 2 2 11 2 5 2" xfId="37325"/>
    <cellStyle name="Normal 2 2 12 2 5 2" xfId="37326"/>
    <cellStyle name="Normal 2 2 13 2 5 2" xfId="37327"/>
    <cellStyle name="Normal 2 2 14 2 5 2" xfId="37328"/>
    <cellStyle name="Normal 2 2 15 2 5 2" xfId="37329"/>
    <cellStyle name="Normal 2 2 16 2 5 2" xfId="37330"/>
    <cellStyle name="Normal 2 2 17 2 5 2" xfId="37331"/>
    <cellStyle name="Normal 2 2 18 2 5 2" xfId="37332"/>
    <cellStyle name="Normal 2 2 19 2 5 2" xfId="37333"/>
    <cellStyle name="Normal 2 2 2 2 6 5 2" xfId="37334"/>
    <cellStyle name="Normal 2 2 2 2 2 3 5 2" xfId="37335"/>
    <cellStyle name="Normal 2 2 2 2 2 2 2 5 2" xfId="37336"/>
    <cellStyle name="Normal 2 2 2 2 3 2 5 2" xfId="37337"/>
    <cellStyle name="Normal 2 2 2 2 4 2 5 2" xfId="37338"/>
    <cellStyle name="Normal 2 2 2 2 5 2 5 2" xfId="37339"/>
    <cellStyle name="Normal 2 2 20 2 5 2" xfId="37340"/>
    <cellStyle name="Normal 2 2 21 2 5 2" xfId="37341"/>
    <cellStyle name="Normal 2 2 22 2 5 2" xfId="37342"/>
    <cellStyle name="Normal 2 2 3 9 5 2" xfId="37343"/>
    <cellStyle name="Normal 2 2 3 2 2 5 2" xfId="37344"/>
    <cellStyle name="Normal 2 2 3 3 2 5 2" xfId="37345"/>
    <cellStyle name="Normal 2 2 3 4 2 5 2" xfId="37346"/>
    <cellStyle name="Normal 2 2 3 5 2 5 2" xfId="37347"/>
    <cellStyle name="Normal 2 2 3 6 2 5 2" xfId="37348"/>
    <cellStyle name="Normal 2 2 4 5 5 2" xfId="37349"/>
    <cellStyle name="Normal 2 2 4 2 2 5 2" xfId="37350"/>
    <cellStyle name="Normal 2 2 5 4 5 2" xfId="37351"/>
    <cellStyle name="Normal 2 2 5 2 2 5 2" xfId="37352"/>
    <cellStyle name="Normal 2 2 6 2 5 2" xfId="37353"/>
    <cellStyle name="Normal 2 2 7 2 5 2" xfId="37354"/>
    <cellStyle name="Normal 2 2 8 2 5 2" xfId="37355"/>
    <cellStyle name="Normal 2 2 9 2 5 2" xfId="37356"/>
    <cellStyle name="Normal 2 20 2 5 2" xfId="37357"/>
    <cellStyle name="Normal 2 3 2 3 5 2" xfId="37358"/>
    <cellStyle name="Normal 2 3 3 2 5 2" xfId="37359"/>
    <cellStyle name="Normal 2 3 4 2 5 2" xfId="37360"/>
    <cellStyle name="Normal 2 3 5 2 5 2" xfId="37361"/>
    <cellStyle name="Normal 2 3 6 2 5 2" xfId="37362"/>
    <cellStyle name="Normal 2 4 5 2 5 2" xfId="37363"/>
    <cellStyle name="Normal 2 4 2 2 5 2" xfId="37364"/>
    <cellStyle name="Normal 2 5 3 2 5 2" xfId="37365"/>
    <cellStyle name="Normal 2 6 3 2 5 2" xfId="37366"/>
    <cellStyle name="Normal 2 7 3 2 5 2" xfId="37367"/>
    <cellStyle name="Normal 2 8 3 2 5 2" xfId="37368"/>
    <cellStyle name="Normal 2 9 3 2 5 2" xfId="37369"/>
    <cellStyle name="Normal 21 9 5 2" xfId="37370"/>
    <cellStyle name="Normal 21 2 7 5 2" xfId="37371"/>
    <cellStyle name="Normal 21 2 2 2 5 2" xfId="37372"/>
    <cellStyle name="Normal 21 2 3 2 5 2" xfId="37373"/>
    <cellStyle name="Normal 21 2 4 2 5 2" xfId="37374"/>
    <cellStyle name="Normal 21 2 5 2 5 2" xfId="37375"/>
    <cellStyle name="Normal 21 2 6 2 5 2" xfId="37376"/>
    <cellStyle name="Normal 21 3 3 5 2" xfId="37377"/>
    <cellStyle name="Normal 21 3 2 2 5 2" xfId="37378"/>
    <cellStyle name="Normal 21 4 2 5 2" xfId="37379"/>
    <cellStyle name="Normal 21 5 2 5 2" xfId="37380"/>
    <cellStyle name="Normal 21 6 2 5 2" xfId="37381"/>
    <cellStyle name="Normal 21 8 2 5 2" xfId="37382"/>
    <cellStyle name="Normal 22 8 5 2" xfId="37383"/>
    <cellStyle name="Normal 22 2 7 5 2" xfId="37384"/>
    <cellStyle name="Normal 22 2 2 2 5 2" xfId="37385"/>
    <cellStyle name="Normal 22 2 3 2 5 2" xfId="37386"/>
    <cellStyle name="Normal 22 2 4 2 5 2" xfId="37387"/>
    <cellStyle name="Normal 22 2 5 2 5 2" xfId="37388"/>
    <cellStyle name="Normal 22 3 2 5 2" xfId="37389"/>
    <cellStyle name="Normal 22 4 2 5 2" xfId="37390"/>
    <cellStyle name="Normal 22 5 2 5 2" xfId="37391"/>
    <cellStyle name="Normal 22 6 2 5 2" xfId="37392"/>
    <cellStyle name="Normal 23 8 5 2" xfId="37393"/>
    <cellStyle name="Normal 23 2 6 5 2" xfId="37394"/>
    <cellStyle name="Normal 23 2 2 2 5 2" xfId="37395"/>
    <cellStyle name="Normal 23 2 3 2 5 2" xfId="37396"/>
    <cellStyle name="Normal 23 2 4 2 5 2" xfId="37397"/>
    <cellStyle name="Normal 23 2 5 2 5 2" xfId="37398"/>
    <cellStyle name="Normal 23 3 2 5 2" xfId="37399"/>
    <cellStyle name="Normal 23 4 2 5 2" xfId="37400"/>
    <cellStyle name="Normal 23 5 2 5 2" xfId="37401"/>
    <cellStyle name="Normal 23 6 2 5 2" xfId="37402"/>
    <cellStyle name="Normal 24 8 5 2" xfId="37403"/>
    <cellStyle name="Normal 24 2 6 5 2" xfId="37404"/>
    <cellStyle name="Normal 24 2 2 2 5 2" xfId="37405"/>
    <cellStyle name="Normal 24 2 3 2 5 2" xfId="37406"/>
    <cellStyle name="Normal 24 2 4 2 5 2" xfId="37407"/>
    <cellStyle name="Normal 24 2 5 2 5 2" xfId="37408"/>
    <cellStyle name="Normal 24 3 2 5 2" xfId="37409"/>
    <cellStyle name="Normal 24 4 2 5 2" xfId="37410"/>
    <cellStyle name="Normal 24 5 2 5 2" xfId="37411"/>
    <cellStyle name="Normal 24 6 2 5 2" xfId="37412"/>
    <cellStyle name="Normal 26 8 5 2" xfId="37413"/>
    <cellStyle name="Normal 26 2 6 5 2" xfId="37414"/>
    <cellStyle name="Normal 26 2 2 2 5 2" xfId="37415"/>
    <cellStyle name="Normal 26 2 3 2 5 2" xfId="37416"/>
    <cellStyle name="Normal 26 2 4 2 5 2" xfId="37417"/>
    <cellStyle name="Normal 26 2 5 2 5 2" xfId="37418"/>
    <cellStyle name="Normal 26 3 2 5 2" xfId="37419"/>
    <cellStyle name="Normal 26 4 2 5 2" xfId="37420"/>
    <cellStyle name="Normal 26 5 2 5 2" xfId="37421"/>
    <cellStyle name="Normal 26 6 2 5 2" xfId="37422"/>
    <cellStyle name="Normal 3 10 2 5 2" xfId="37423"/>
    <cellStyle name="Normal 3 11 2 5 2" xfId="37424"/>
    <cellStyle name="Normal 3 12 2 5 2" xfId="37425"/>
    <cellStyle name="Normal 3 13 2 5 2" xfId="37426"/>
    <cellStyle name="Normal 3 14 2 5 2" xfId="37427"/>
    <cellStyle name="Normal 3 15 2 5 2" xfId="37428"/>
    <cellStyle name="Normal 3 16 2 5 2" xfId="37429"/>
    <cellStyle name="Normal 3 17 2 5 2" xfId="37430"/>
    <cellStyle name="Normal 3 18 2 5 2" xfId="37431"/>
    <cellStyle name="Normal 3 19 2 5 2" xfId="37432"/>
    <cellStyle name="Normal 3 2 2 2 5 2" xfId="37433"/>
    <cellStyle name="Normal 3 2 3 2 5 2" xfId="37434"/>
    <cellStyle name="Normal 3 2 4 2 5 2" xfId="37435"/>
    <cellStyle name="Normal 3 2 5 2 5 2" xfId="37436"/>
    <cellStyle name="Normal 3 2 6 2 5 2" xfId="37437"/>
    <cellStyle name="Normal 3 20 2 5 2" xfId="37438"/>
    <cellStyle name="Normal 3 21 2 5 2" xfId="37439"/>
    <cellStyle name="Normal 3 22 2 5 2" xfId="37440"/>
    <cellStyle name="Normal 3 23 2 5 2" xfId="37441"/>
    <cellStyle name="Normal 3 24 2 5 2" xfId="37442"/>
    <cellStyle name="Normal 3 3 5 5 2" xfId="37443"/>
    <cellStyle name="Normal 3 3 2 2 5 2" xfId="37444"/>
    <cellStyle name="Normal 3 3 3 2 5 2" xfId="37445"/>
    <cellStyle name="Normal 3 4 3 5 2" xfId="37446"/>
    <cellStyle name="Normal 3 4 2 2 5 2" xfId="37447"/>
    <cellStyle name="Normal 3 5 3 5 2" xfId="37448"/>
    <cellStyle name="Normal 3 5 2 2 5 2" xfId="37449"/>
    <cellStyle name="Normal 3 6 2 5 2" xfId="37450"/>
    <cellStyle name="Normal 3 7 2 5 2" xfId="37451"/>
    <cellStyle name="Normal 3 8 2 5 2" xfId="37452"/>
    <cellStyle name="Normal 3 9 2 5 2" xfId="37453"/>
    <cellStyle name="Normal 4 2 10 2 5 2" xfId="37454"/>
    <cellStyle name="Normal 4 2 11 2 5 2" xfId="37455"/>
    <cellStyle name="Normal 4 2 12 2 5 2" xfId="37456"/>
    <cellStyle name="Normal 4 2 13 2 5 2" xfId="37457"/>
    <cellStyle name="Normal 4 2 14 2 5 2" xfId="37458"/>
    <cellStyle name="Normal 4 2 15 2 5 2" xfId="37459"/>
    <cellStyle name="Normal 4 2 16 2 5 2" xfId="37460"/>
    <cellStyle name="Normal 4 2 17 2 5 2" xfId="37461"/>
    <cellStyle name="Normal 4 2 18 2 5 2" xfId="37462"/>
    <cellStyle name="Normal 4 2 19 2 5 2" xfId="37463"/>
    <cellStyle name="Normal 4 2 2 6 5 2" xfId="37464"/>
    <cellStyle name="Normal 4 2 2 2 2 5 2" xfId="37465"/>
    <cellStyle name="Normal 4 2 2 3 2 5 2" xfId="37466"/>
    <cellStyle name="Normal 4 2 2 4 2 5 2" xfId="37467"/>
    <cellStyle name="Normal 4 2 2 5 2 5 2" xfId="37468"/>
    <cellStyle name="Normal 4 2 20 2 5 2" xfId="37469"/>
    <cellStyle name="Normal 4 2 21 2 5 2" xfId="37470"/>
    <cellStyle name="Normal 4 2 22 2 5 2" xfId="37471"/>
    <cellStyle name="Normal 4 2 23 2 5 2" xfId="37472"/>
    <cellStyle name="Normal 4 2 24 2 5 2" xfId="37473"/>
    <cellStyle name="Normal 4 2 3 3 5 2" xfId="37474"/>
    <cellStyle name="Normal 4 2 3 2 2 5 2" xfId="37475"/>
    <cellStyle name="Normal 4 2 4 3 5 2" xfId="37476"/>
    <cellStyle name="Normal 4 2 4 2 2 5 2" xfId="37477"/>
    <cellStyle name="Normal 4 2 5 3 5 2" xfId="37478"/>
    <cellStyle name="Normal 4 2 5 2 2 5 2" xfId="37479"/>
    <cellStyle name="Normal 4 2 6 2 5 2" xfId="37480"/>
    <cellStyle name="Normal 4 2 7 2 5 2" xfId="37481"/>
    <cellStyle name="Normal 4 2 8 2 5 2" xfId="37482"/>
    <cellStyle name="Normal 4 2 9 2 5 2" xfId="37483"/>
    <cellStyle name="Normal 4 3 7 5 2" xfId="37484"/>
    <cellStyle name="Normal 4 3 2 6 5 2" xfId="37485"/>
    <cellStyle name="Normal 4 3 2 2 5 5 2" xfId="37486"/>
    <cellStyle name="Normal 4 3 2 2 2 3 5 2" xfId="37487"/>
    <cellStyle name="Normal 4 3 2 2 2 2 2 5 2" xfId="37488"/>
    <cellStyle name="Normal 4 3 2 2 3 3 5 2" xfId="37489"/>
    <cellStyle name="Normal 4 3 2 2 3 2 2 5 2" xfId="37490"/>
    <cellStyle name="Normal 4 3 2 2 4 2 5 2" xfId="37491"/>
    <cellStyle name="Normal 4 3 2 3 3 5 2" xfId="37492"/>
    <cellStyle name="Normal 4 3 2 3 2 2 5 2" xfId="37493"/>
    <cellStyle name="Normal 4 3 2 4 3 5 2" xfId="37494"/>
    <cellStyle name="Normal 4 3 2 4 2 2 5 2" xfId="37495"/>
    <cellStyle name="Normal 4 3 2 5 2 5 2" xfId="37496"/>
    <cellStyle name="Normal 4 3 3 5 5 2" xfId="37497"/>
    <cellStyle name="Normal 4 3 3 2 3 5 2" xfId="37498"/>
    <cellStyle name="Normal 4 3 3 2 2 2 5 2" xfId="37499"/>
    <cellStyle name="Normal 4 3 3 3 3 5 2" xfId="37500"/>
    <cellStyle name="Normal 4 3 3 3 2 2 5 2" xfId="37501"/>
    <cellStyle name="Normal 4 3 3 4 2 5 2" xfId="37502"/>
    <cellStyle name="Normal 4 3 4 3 5 2" xfId="37503"/>
    <cellStyle name="Normal 4 3 4 2 2 5 2" xfId="37504"/>
    <cellStyle name="Normal 4 3 5 3 5 2" xfId="37505"/>
    <cellStyle name="Normal 4 3 5 2 2 5 2" xfId="37506"/>
    <cellStyle name="Normal 4 3 6 2 5 2" xfId="37507"/>
    <cellStyle name="Normal 4 4 4 5 2" xfId="37508"/>
    <cellStyle name="Normal 4 4 2 2 5 2" xfId="37509"/>
    <cellStyle name="Normal 4 5 2 5 2" xfId="37510"/>
    <cellStyle name="Normal 4 6 2 5 2" xfId="37511"/>
    <cellStyle name="Normal 4 7 2 5 2" xfId="37512"/>
    <cellStyle name="Normal 4 8 2 5 2" xfId="37513"/>
    <cellStyle name="Normal 41 2 2 5 2" xfId="37514"/>
    <cellStyle name="Normal 46 2 5 2" xfId="37515"/>
    <cellStyle name="Normal 5 28 2 5 2" xfId="37516"/>
    <cellStyle name="Normal 5 2 7 5 2" xfId="37517"/>
    <cellStyle name="Normal 5 2 2 2 2 2 5 2" xfId="37518"/>
    <cellStyle name="Normal 5 2 2 3 2 5 2" xfId="37519"/>
    <cellStyle name="Normal 5 2 3 2 2 2 5 2" xfId="37520"/>
    <cellStyle name="Normal 5 2 3 3 2 5 2" xfId="37521"/>
    <cellStyle name="Normal 5 2 4 2 2 5 2" xfId="37522"/>
    <cellStyle name="Normal 5 2 6 2 5 2" xfId="37523"/>
    <cellStyle name="Normal 5 24 2 5 2" xfId="37524"/>
    <cellStyle name="Normal 5 3 3 5 2" xfId="37525"/>
    <cellStyle name="Normal 5 4 3 5 2" xfId="37526"/>
    <cellStyle name="Normal 5 5 3 5 2" xfId="37527"/>
    <cellStyle name="Normal 5 6 3 5 2" xfId="37528"/>
    <cellStyle name="Normal 5 7 3 5 2" xfId="37529"/>
    <cellStyle name="Normal 7 25 2 5 2" xfId="37530"/>
    <cellStyle name="Normal 7 10 2 5 2" xfId="37531"/>
    <cellStyle name="Normal 7 11 2 5 2" xfId="37532"/>
    <cellStyle name="Normal 7 12 2 5 2" xfId="37533"/>
    <cellStyle name="Normal 7 13 2 5 2" xfId="37534"/>
    <cellStyle name="Normal 7 14 2 5 2" xfId="37535"/>
    <cellStyle name="Normal 7 15 2 5 2" xfId="37536"/>
    <cellStyle name="Normal 7 16 2 5 2" xfId="37537"/>
    <cellStyle name="Normal 7 17 2 5 2" xfId="37538"/>
    <cellStyle name="Normal 7 18 2 5 2" xfId="37539"/>
    <cellStyle name="Normal 7 19 2 5 2" xfId="37540"/>
    <cellStyle name="Normal 7 2 6 5 2" xfId="37541"/>
    <cellStyle name="Normal 7 2 2 2 5 2" xfId="37542"/>
    <cellStyle name="Normal 7 2 3 2 5 2" xfId="37543"/>
    <cellStyle name="Normal 7 2 4 2 5 2" xfId="37544"/>
    <cellStyle name="Normal 7 2 5 2 5 2" xfId="37545"/>
    <cellStyle name="Normal 7 20 2 5 2" xfId="37546"/>
    <cellStyle name="Normal 7 22 2 5 2" xfId="37547"/>
    <cellStyle name="Normal 7 3 6 5 2" xfId="37548"/>
    <cellStyle name="Normal 7 3 2 2 5 2" xfId="37549"/>
    <cellStyle name="Normal 7 3 3 2 5 2" xfId="37550"/>
    <cellStyle name="Normal 7 3 4 2 5 2" xfId="37551"/>
    <cellStyle name="Normal 7 3 5 2 5 2" xfId="37552"/>
    <cellStyle name="Normal 7 4 2 5 2" xfId="37553"/>
    <cellStyle name="Normal 7 5 2 5 2" xfId="37554"/>
    <cellStyle name="Normal 7 6 2 5 2" xfId="37555"/>
    <cellStyle name="Normal 7 7 2 5 2" xfId="37556"/>
    <cellStyle name="Normal 7 8 2 5 2" xfId="37557"/>
    <cellStyle name="Normal 7 9 2 5 2" xfId="37558"/>
    <cellStyle name="Normal 8 25 2 5 2" xfId="37559"/>
    <cellStyle name="Normal 8 10 2 5 2" xfId="37560"/>
    <cellStyle name="Normal 8 11 2 5 2" xfId="37561"/>
    <cellStyle name="Normal 8 12 2 5 2" xfId="37562"/>
    <cellStyle name="Normal 8 13 2 5 2" xfId="37563"/>
    <cellStyle name="Normal 8 14 2 5 2" xfId="37564"/>
    <cellStyle name="Normal 8 15 2 5 2" xfId="37565"/>
    <cellStyle name="Normal 8 16 2 5 2" xfId="37566"/>
    <cellStyle name="Normal 8 17 2 5 2" xfId="37567"/>
    <cellStyle name="Normal 8 18 2 5 2" xfId="37568"/>
    <cellStyle name="Normal 8 19 2 5 2" xfId="37569"/>
    <cellStyle name="Normal 8 2 6 2 5 2" xfId="37570"/>
    <cellStyle name="Normal 8 2 2 2 2 5 2" xfId="37571"/>
    <cellStyle name="Normal 8 2 3 2 5 2" xfId="37572"/>
    <cellStyle name="Normal 8 2 4 2 5 2" xfId="37573"/>
    <cellStyle name="Normal 8 2 5 2 5 2" xfId="37574"/>
    <cellStyle name="Normal 8 20 2 5 2" xfId="37575"/>
    <cellStyle name="Normal 8 22 2 5 2" xfId="37576"/>
    <cellStyle name="Normal 8 3 6 2 5 2" xfId="37577"/>
    <cellStyle name="Normal 8 3 2 2 5 2" xfId="37578"/>
    <cellStyle name="Normal 8 3 3 2 5 2" xfId="37579"/>
    <cellStyle name="Normal 8 3 4 2 5 2" xfId="37580"/>
    <cellStyle name="Normal 8 3 5 2 5 2" xfId="37581"/>
    <cellStyle name="Normal 8 4 2 5 2" xfId="37582"/>
    <cellStyle name="Normal 8 5 2 5 2" xfId="37583"/>
    <cellStyle name="Normal 8 6 2 5 2" xfId="37584"/>
    <cellStyle name="Normal 8 7 2 5 2" xfId="37585"/>
    <cellStyle name="Normal 8 8 2 5 2" xfId="37586"/>
    <cellStyle name="Normal 8 9 2 5 2" xfId="37587"/>
    <cellStyle name="Normal 9 25 2 5 2" xfId="37588"/>
    <cellStyle name="Normal 9 10 2 5 2" xfId="37589"/>
    <cellStyle name="Normal 9 11 2 5 2" xfId="37590"/>
    <cellStyle name="Normal 9 12 2 5 2" xfId="37591"/>
    <cellStyle name="Normal 9 13 2 5 2" xfId="37592"/>
    <cellStyle name="Normal 9 14 2 5 2" xfId="37593"/>
    <cellStyle name="Normal 9 15 2 5 2" xfId="37594"/>
    <cellStyle name="Normal 9 16 2 5 2" xfId="37595"/>
    <cellStyle name="Normal 9 17 2 5 2" xfId="37596"/>
    <cellStyle name="Normal 9 18 2 5 2" xfId="37597"/>
    <cellStyle name="Normal 9 19 2 5 2" xfId="37598"/>
    <cellStyle name="Normal 9 2 6 5 2" xfId="37599"/>
    <cellStyle name="Normal 9 2 2 2 5 2" xfId="37600"/>
    <cellStyle name="Normal 9 2 3 2 5 2" xfId="37601"/>
    <cellStyle name="Normal 9 2 4 2 5 2" xfId="37602"/>
    <cellStyle name="Normal 9 2 5 2 5 2" xfId="37603"/>
    <cellStyle name="Normal 9 20 2 5 2" xfId="37604"/>
    <cellStyle name="Normal 9 22 2 5 2" xfId="37605"/>
    <cellStyle name="Normal 9 3 6 5 2" xfId="37606"/>
    <cellStyle name="Normal 9 3 2 2 5 2" xfId="37607"/>
    <cellStyle name="Normal 9 3 3 2 5 2" xfId="37608"/>
    <cellStyle name="Normal 9 3 4 2 5 2" xfId="37609"/>
    <cellStyle name="Normal 9 3 5 2 5 2" xfId="37610"/>
    <cellStyle name="Normal 9 4 2 5 2" xfId="37611"/>
    <cellStyle name="Normal 9 5 2 5 2" xfId="37612"/>
    <cellStyle name="Normal 9 6 2 5 2" xfId="37613"/>
    <cellStyle name="Normal 9 7 2 5 2" xfId="37614"/>
    <cellStyle name="Normal 9 8 2 5 2" xfId="37615"/>
    <cellStyle name="Normal 9 9 2 5 2" xfId="37616"/>
    <cellStyle name="Note 2 2 5 2" xfId="37617"/>
    <cellStyle name="Note 3 2 5 2" xfId="37618"/>
    <cellStyle name="Note 4 2 5 2" xfId="37619"/>
    <cellStyle name="Note 7 2 5 2" xfId="37620"/>
    <cellStyle name="Percent 120 2 5 2" xfId="37621"/>
    <cellStyle name="Percent 121 2 5 2" xfId="37622"/>
    <cellStyle name="Percent 122 2 5 2" xfId="37623"/>
    <cellStyle name="Percent 123 2 5 2" xfId="37624"/>
    <cellStyle name="Percent 124 2 5 2" xfId="37625"/>
    <cellStyle name="Percent 125 2 5 2" xfId="37626"/>
    <cellStyle name="Percent 126 2 5 2" xfId="37627"/>
    <cellStyle name="Percent 127 2 5 2" xfId="37628"/>
    <cellStyle name="Percent 128 2 5 2" xfId="37629"/>
    <cellStyle name="Percent 129 2 5 2" xfId="37630"/>
    <cellStyle name="Percent 130 2 5 2" xfId="37631"/>
    <cellStyle name="Percent 159 2 5 2" xfId="37632"/>
    <cellStyle name="Percent 2 22 2 5 2" xfId="37633"/>
    <cellStyle name="Percent 25 2 3 5 2" xfId="37634"/>
    <cellStyle name="Percent 25 2 2 2 5 2" xfId="37635"/>
    <cellStyle name="Percent 25 3 3 5 2" xfId="37636"/>
    <cellStyle name="Percent 25 3 2 2 5 2" xfId="37637"/>
    <cellStyle name="Percent 25 4 2 2 5 2" xfId="37638"/>
    <cellStyle name="Percent 25 5 2 5 2" xfId="37639"/>
    <cellStyle name="Percent 26 2 3 5 2" xfId="37640"/>
    <cellStyle name="Percent 26 2 2 2 5 2" xfId="37641"/>
    <cellStyle name="Percent 26 3 3 5 2" xfId="37642"/>
    <cellStyle name="Percent 26 3 2 2 5 2" xfId="37643"/>
    <cellStyle name="Percent 26 4 2 2 5 2" xfId="37644"/>
    <cellStyle name="Percent 26 5 2 5 2" xfId="37645"/>
    <cellStyle name="Percent 27 2 3 5 2" xfId="37646"/>
    <cellStyle name="Percent 27 2 2 2 5 2" xfId="37647"/>
    <cellStyle name="Percent 27 3 3 5 2" xfId="37648"/>
    <cellStyle name="Percent 27 3 2 2 5 2" xfId="37649"/>
    <cellStyle name="Percent 27 4 2 2 5 2" xfId="37650"/>
    <cellStyle name="Percent 27 5 2 5 2" xfId="37651"/>
    <cellStyle name="Percent 28 2 3 5 2" xfId="37652"/>
    <cellStyle name="Percent 28 2 2 2 5 2" xfId="37653"/>
    <cellStyle name="Percent 28 3 3 5 2" xfId="37654"/>
    <cellStyle name="Percent 28 3 2 2 5 2" xfId="37655"/>
    <cellStyle name="Percent 28 4 2 2 5 2" xfId="37656"/>
    <cellStyle name="Percent 28 5 2 5 2" xfId="37657"/>
    <cellStyle name="Percent 29 2 3 5 2" xfId="37658"/>
    <cellStyle name="Percent 29 2 2 2 5 2" xfId="37659"/>
    <cellStyle name="Percent 29 3 3 5 2" xfId="37660"/>
    <cellStyle name="Percent 29 3 2 2 5 2" xfId="37661"/>
    <cellStyle name="Percent 29 4 2 2 5 2" xfId="37662"/>
    <cellStyle name="Percent 29 5 2 5 2" xfId="37663"/>
    <cellStyle name="Percent 3 10 2 5 2" xfId="37664"/>
    <cellStyle name="Percent 3 11 2 5 2" xfId="37665"/>
    <cellStyle name="Percent 3 12 2 5 2" xfId="37666"/>
    <cellStyle name="Percent 3 13 2 5 2" xfId="37667"/>
    <cellStyle name="Percent 3 14 2 5 2" xfId="37668"/>
    <cellStyle name="Percent 3 15 2 5 2" xfId="37669"/>
    <cellStyle name="Percent 3 16 2 5 2" xfId="37670"/>
    <cellStyle name="Percent 3 17 2 5 2" xfId="37671"/>
    <cellStyle name="Percent 3 18 2 5 2" xfId="37672"/>
    <cellStyle name="Percent 3 19 2 5 2" xfId="37673"/>
    <cellStyle name="Percent 3 2 23 5 2" xfId="37674"/>
    <cellStyle name="Percent 3 2 10 2 5 2" xfId="37675"/>
    <cellStyle name="Percent 3 2 11 2 5 2" xfId="37676"/>
    <cellStyle name="Percent 3 2 12 2 5 2" xfId="37677"/>
    <cellStyle name="Percent 3 2 13 2 5 2" xfId="37678"/>
    <cellStyle name="Percent 3 2 14 2 5 2" xfId="37679"/>
    <cellStyle name="Percent 3 2 15 2 5 2" xfId="37680"/>
    <cellStyle name="Percent 3 2 16 2 5 2" xfId="37681"/>
    <cellStyle name="Percent 3 2 17 2 5 2" xfId="37682"/>
    <cellStyle name="Percent 3 2 18 2 5 2" xfId="37683"/>
    <cellStyle name="Percent 3 2 19 2 5 2" xfId="37684"/>
    <cellStyle name="Percent 3 2 2 2 2 5 2" xfId="37685"/>
    <cellStyle name="Percent 3 2 2 3 2 5 2" xfId="37686"/>
    <cellStyle name="Percent 3 2 2 4 2 5 2" xfId="37687"/>
    <cellStyle name="Percent 3 2 2 5 2 5 2" xfId="37688"/>
    <cellStyle name="Percent 3 2 20 2 5 2" xfId="37689"/>
    <cellStyle name="Percent 3 2 21 2 2 5 2" xfId="37690"/>
    <cellStyle name="Percent 3 2 3 6 5 2" xfId="37691"/>
    <cellStyle name="Percent 3 2 3 2 2 5 2" xfId="37692"/>
    <cellStyle name="Percent 3 2 3 3 2 5 2" xfId="37693"/>
    <cellStyle name="Percent 3 2 3 4 2 5 2" xfId="37694"/>
    <cellStyle name="Percent 3 2 3 5 2 5 2" xfId="37695"/>
    <cellStyle name="Percent 3 2 4 3 5 2" xfId="37696"/>
    <cellStyle name="Percent 3 2 4 2 2 5 2" xfId="37697"/>
    <cellStyle name="Percent 3 2 5 3 5 2" xfId="37698"/>
    <cellStyle name="Percent 3 2 5 2 2 5 2" xfId="37699"/>
    <cellStyle name="Percent 3 2 6 3 5 2" xfId="37700"/>
    <cellStyle name="Percent 3 2 6 2 2 5 2" xfId="37701"/>
    <cellStyle name="Percent 3 2 7 2 5 2" xfId="37702"/>
    <cellStyle name="Percent 3 2 8 2 5 2" xfId="37703"/>
    <cellStyle name="Percent 3 2 9 2 5 2" xfId="37704"/>
    <cellStyle name="Percent 3 20 2 5 2" xfId="37705"/>
    <cellStyle name="Percent 3 21 2 5 2" xfId="37706"/>
    <cellStyle name="Percent 3 3 2 2 5 2" xfId="37707"/>
    <cellStyle name="Percent 3 3 3 2 5 2" xfId="37708"/>
    <cellStyle name="Percent 3 3 4 2 5 2" xfId="37709"/>
    <cellStyle name="Percent 3 3 5 2 5 2" xfId="37710"/>
    <cellStyle name="Percent 3 4 6 5 2" xfId="37711"/>
    <cellStyle name="Percent 3 4 2 2 5 2" xfId="37712"/>
    <cellStyle name="Percent 3 4 3 2 5 2" xfId="37713"/>
    <cellStyle name="Percent 3 4 4 2 5 2" xfId="37714"/>
    <cellStyle name="Percent 3 4 5 2 5 2" xfId="37715"/>
    <cellStyle name="Percent 3 5 3 5 2" xfId="37716"/>
    <cellStyle name="Percent 3 5 2 2 5 2" xfId="37717"/>
    <cellStyle name="Percent 3 6 3 5 2" xfId="37718"/>
    <cellStyle name="Percent 3 6 2 2 5 2" xfId="37719"/>
    <cellStyle name="Percent 3 7 3 5 2" xfId="37720"/>
    <cellStyle name="Percent 3 7 2 2 5 2" xfId="37721"/>
    <cellStyle name="Percent 3 8 2 5 2" xfId="37722"/>
    <cellStyle name="Percent 3 9 2 5 2" xfId="37723"/>
    <cellStyle name="Percent 30 2 3 5 2" xfId="37724"/>
    <cellStyle name="Percent 30 2 2 2 5 2" xfId="37725"/>
    <cellStyle name="Percent 30 3 3 5 2" xfId="37726"/>
    <cellStyle name="Percent 30 3 2 2 5 2" xfId="37727"/>
    <cellStyle name="Percent 30 4 2 2 5 2" xfId="37728"/>
    <cellStyle name="Percent 30 5 2 5 2" xfId="37729"/>
    <cellStyle name="Percent 31 2 3 5 2" xfId="37730"/>
    <cellStyle name="Percent 31 2 2 2 5 2" xfId="37731"/>
    <cellStyle name="Percent 31 3 3 5 2" xfId="37732"/>
    <cellStyle name="Percent 31 3 2 2 5 2" xfId="37733"/>
    <cellStyle name="Percent 31 4 2 2 5 2" xfId="37734"/>
    <cellStyle name="Percent 31 5 2 5 2" xfId="37735"/>
    <cellStyle name="Percent 32 2 3 5 2" xfId="37736"/>
    <cellStyle name="Percent 32 2 2 2 5 2" xfId="37737"/>
    <cellStyle name="Percent 32 3 3 5 2" xfId="37738"/>
    <cellStyle name="Percent 32 3 2 2 5 2" xfId="37739"/>
    <cellStyle name="Percent 32 4 2 2 5 2" xfId="37740"/>
    <cellStyle name="Percent 32 5 2 5 2" xfId="37741"/>
    <cellStyle name="Percent 33 2 3 5 2" xfId="37742"/>
    <cellStyle name="Percent 33 2 2 2 5 2" xfId="37743"/>
    <cellStyle name="Percent 33 3 3 5 2" xfId="37744"/>
    <cellStyle name="Percent 33 3 2 2 5 2" xfId="37745"/>
    <cellStyle name="Percent 33 4 2 2 5 2" xfId="37746"/>
    <cellStyle name="Percent 33 5 2 5 2" xfId="37747"/>
    <cellStyle name="Percent 34 2 3 5 2" xfId="37748"/>
    <cellStyle name="Percent 34 2 2 2 5 2" xfId="37749"/>
    <cellStyle name="Percent 34 3 3 5 2" xfId="37750"/>
    <cellStyle name="Percent 34 3 2 2 5 2" xfId="37751"/>
    <cellStyle name="Percent 34 4 2 2 5 2" xfId="37752"/>
    <cellStyle name="Percent 34 5 2 5 2" xfId="37753"/>
    <cellStyle name="Percent 35 2 3 5 2" xfId="37754"/>
    <cellStyle name="Percent 35 2 2 2 5 2" xfId="37755"/>
    <cellStyle name="Percent 35 3 3 5 2" xfId="37756"/>
    <cellStyle name="Percent 35 3 2 2 5 2" xfId="37757"/>
    <cellStyle name="Percent 35 4 2 2 5 2" xfId="37758"/>
    <cellStyle name="Percent 35 5 2 5 2" xfId="37759"/>
    <cellStyle name="Currency 5 4 2 5 2" xfId="37760"/>
    <cellStyle name="Comma 5 7 2 5 2" xfId="37761"/>
    <cellStyle name="Percent 5 4 2 5 2" xfId="37762"/>
    <cellStyle name="Comma 6 5 2 5 2" xfId="37763"/>
    <cellStyle name="Currency 5 2 4 2 5 2" xfId="37764"/>
    <cellStyle name="Comma 5 2 4 2 5 2" xfId="37765"/>
    <cellStyle name="Percent 5 2 4 2 5 2" xfId="37766"/>
    <cellStyle name="Comma 6 2 3 2 5 2" xfId="37767"/>
    <cellStyle name="Currency 5 3 2 2 5 2" xfId="37768"/>
    <cellStyle name="Comma 5 3 2 2 5 2" xfId="37769"/>
    <cellStyle name="Percent 5 3 2 2 5 2" xfId="37770"/>
    <cellStyle name="Comma 6 3 4 2 5 2" xfId="37771"/>
    <cellStyle name="Normal 11 2 2 2 5 2" xfId="37772"/>
    <cellStyle name="Currency 5 2 2 2 2 5 2" xfId="37773"/>
    <cellStyle name="Comma 5 2 2 2 2 5 2" xfId="37774"/>
    <cellStyle name="Percent 5 2 2 2 2 5 2" xfId="37775"/>
    <cellStyle name="Comma 6 2 2 2 2 5 2" xfId="37776"/>
    <cellStyle name="Normal 52 4 2" xfId="37777"/>
    <cellStyle name="Comma 205 4 2" xfId="37778"/>
    <cellStyle name="Comma 206 4 2" xfId="37779"/>
    <cellStyle name="Currency 5 7 4 2" xfId="37780"/>
    <cellStyle name="Normal 8 27 4 2" xfId="37781"/>
    <cellStyle name="Comma 5 10 4 2" xfId="37782"/>
    <cellStyle name="Percent 5 7 4 2" xfId="37783"/>
    <cellStyle name="Comma 6 8 4 2" xfId="37784"/>
    <cellStyle name="Normal 11 6 4 2" xfId="37785"/>
    <cellStyle name="Currency 5 2 7 4 2" xfId="37786"/>
    <cellStyle name="Normal 8 2 8 4 2" xfId="37787"/>
    <cellStyle name="Comma 5 2 7 4 2" xfId="37788"/>
    <cellStyle name="Percent 5 2 7 4 2" xfId="37789"/>
    <cellStyle name="Comma 6 2 6 4 2" xfId="37790"/>
    <cellStyle name="Currency 5 3 5 4 2" xfId="37791"/>
    <cellStyle name="Normal 8 3 8 4 2" xfId="37792"/>
    <cellStyle name="Comma 5 3 5 4 2" xfId="37793"/>
    <cellStyle name="Percent 5 3 5 4 2" xfId="37794"/>
    <cellStyle name="Comma 6 3 7 4 2" xfId="37795"/>
    <cellStyle name="Normal 11 2 5 4 2" xfId="37796"/>
    <cellStyle name="Currency 5 2 2 5 4 2" xfId="37797"/>
    <cellStyle name="Normal 8 2 2 4 4 2" xfId="37798"/>
    <cellStyle name="Comma 5 2 2 5 4 2" xfId="37799"/>
    <cellStyle name="Percent 5 2 2 5 4 2" xfId="37800"/>
    <cellStyle name="Comma 6 2 2 4 4 2" xfId="37801"/>
    <cellStyle name="Normal 50 3 4 2" xfId="37802"/>
    <cellStyle name="Comma 186 3 4 2" xfId="37803"/>
    <cellStyle name="Percent 162 3 4 2" xfId="37804"/>
    <cellStyle name="Normal 2 24 3 4 2" xfId="37805"/>
    <cellStyle name="20% - Accent1 2 3 4 2" xfId="37806"/>
    <cellStyle name="20% - Accent1 3 3 4 2" xfId="37807"/>
    <cellStyle name="20% - Accent1 4 3 4 2" xfId="37808"/>
    <cellStyle name="20% - Accent1 5 3 4 2" xfId="37809"/>
    <cellStyle name="20% - Accent2 2 3 4 2" xfId="37810"/>
    <cellStyle name="20% - Accent2 3 3 4 2" xfId="37811"/>
    <cellStyle name="20% - Accent2 4 3 4 2" xfId="37812"/>
    <cellStyle name="20% - Accent2 5 3 4 2" xfId="37813"/>
    <cellStyle name="20% - Accent3 2 3 4 2" xfId="37814"/>
    <cellStyle name="20% - Accent3 3 3 4 2" xfId="37815"/>
    <cellStyle name="20% - Accent3 4 3 4 2" xfId="37816"/>
    <cellStyle name="20% - Accent3 5 3 4 2" xfId="37817"/>
    <cellStyle name="20% - Accent4 2 3 4 2" xfId="37818"/>
    <cellStyle name="20% - Accent4 3 3 4 2" xfId="37819"/>
    <cellStyle name="20% - Accent4 4 3 4 2" xfId="37820"/>
    <cellStyle name="20% - Accent4 5 3 4 2" xfId="37821"/>
    <cellStyle name="20% - Accent5 2 3 4 2" xfId="37822"/>
    <cellStyle name="20% - Accent5 3 3 4 2" xfId="37823"/>
    <cellStyle name="20% - Accent5 4 3 4 2" xfId="37824"/>
    <cellStyle name="20% - Accent6 2 3 4 2" xfId="37825"/>
    <cellStyle name="20% - Accent6 3 3 4 2" xfId="37826"/>
    <cellStyle name="20% - Accent6 4 3 4 2" xfId="37827"/>
    <cellStyle name="40% - Accent1 2 3 4 2" xfId="37828"/>
    <cellStyle name="40% - Accent1 3 3 4 2" xfId="37829"/>
    <cellStyle name="40% - Accent1 4 3 4 2" xfId="37830"/>
    <cellStyle name="40% - Accent1 5 3 4 2" xfId="37831"/>
    <cellStyle name="40% - Accent2 2 3 4 2" xfId="37832"/>
    <cellStyle name="40% - Accent2 3 3 4 2" xfId="37833"/>
    <cellStyle name="40% - Accent2 4 3 4 2" xfId="37834"/>
    <cellStyle name="40% - Accent3 2 3 4 2" xfId="37835"/>
    <cellStyle name="40% - Accent3 3 3 4 2" xfId="37836"/>
    <cellStyle name="40% - Accent3 4 3 4 2" xfId="37837"/>
    <cellStyle name="40% - Accent3 5 3 4 2" xfId="37838"/>
    <cellStyle name="40% - Accent4 2 3 4 2" xfId="37839"/>
    <cellStyle name="40% - Accent4 3 3 4 2" xfId="37840"/>
    <cellStyle name="40% - Accent4 4 3 4 2" xfId="37841"/>
    <cellStyle name="40% - Accent4 5 3 4 2" xfId="37842"/>
    <cellStyle name="40% - Accent5 2 3 4 2" xfId="37843"/>
    <cellStyle name="40% - Accent5 3 3 4 2" xfId="37844"/>
    <cellStyle name="40% - Accent5 4 3 4 2" xfId="37845"/>
    <cellStyle name="40% - Accent6 2 3 4 2" xfId="37846"/>
    <cellStyle name="40% - Accent6 3 3 4 2" xfId="37847"/>
    <cellStyle name="40% - Accent6 4 3 4 2" xfId="37848"/>
    <cellStyle name="40% - Accent6 5 3 4 2" xfId="37849"/>
    <cellStyle name="Comma 143 3 4 2" xfId="37850"/>
    <cellStyle name="Comma 144 3 4 2" xfId="37851"/>
    <cellStyle name="Comma 145 3 4 2" xfId="37852"/>
    <cellStyle name="Comma 146 3 4 2" xfId="37853"/>
    <cellStyle name="Comma 147 3 4 2" xfId="37854"/>
    <cellStyle name="Comma 148 3 4 2" xfId="37855"/>
    <cellStyle name="Comma 149 3 4 2" xfId="37856"/>
    <cellStyle name="Comma 150 3 4 2" xfId="37857"/>
    <cellStyle name="Comma 151 3 4 2" xfId="37858"/>
    <cellStyle name="Comma 152 3 4 2" xfId="37859"/>
    <cellStyle name="Comma 153 3 4 2" xfId="37860"/>
    <cellStyle name="Comma 182 3 4 2" xfId="37861"/>
    <cellStyle name="Comma 2 23 3 4 2" xfId="37862"/>
    <cellStyle name="Comma 2 2 10 3 4 2" xfId="37863"/>
    <cellStyle name="Comma 2 2 11 3 4 2" xfId="37864"/>
    <cellStyle name="Comma 2 2 12 3 4 2" xfId="37865"/>
    <cellStyle name="Comma 2 2 13 3 4 2" xfId="37866"/>
    <cellStyle name="Comma 2 2 14 3 4 2" xfId="37867"/>
    <cellStyle name="Comma 2 2 15 3 4 2" xfId="37868"/>
    <cellStyle name="Comma 2 2 16 3 4 2" xfId="37869"/>
    <cellStyle name="Comma 2 2 17 3 4 2" xfId="37870"/>
    <cellStyle name="Comma 2 2 2 2 7 4 2" xfId="37871"/>
    <cellStyle name="Comma 2 2 2 2 2 3 4 2" xfId="37872"/>
    <cellStyle name="Comma 2 2 2 2 3 3 4 2" xfId="37873"/>
    <cellStyle name="Comma 2 2 2 2 4 3 4 2" xfId="37874"/>
    <cellStyle name="Comma 2 2 2 2 5 3 4 2" xfId="37875"/>
    <cellStyle name="Comma 2 2 2 3 3 4 2" xfId="37876"/>
    <cellStyle name="Comma 2 2 2 4 3 4 2" xfId="37877"/>
    <cellStyle name="Comma 2 2 2 5 3 4 2" xfId="37878"/>
    <cellStyle name="Comma 2 2 2 6 3 4 2" xfId="37879"/>
    <cellStyle name="Comma 2 2 3 7 4 2" xfId="37880"/>
    <cellStyle name="Comma 2 2 3 2 2 3 4 2" xfId="37881"/>
    <cellStyle name="Comma 2 2 3 2 3 3 4 2" xfId="37882"/>
    <cellStyle name="Comma 2 2 3 2 4 3 4 2" xfId="37883"/>
    <cellStyle name="Comma 2 2 3 2 5 3 4 2" xfId="37884"/>
    <cellStyle name="Comma 2 2 3 3 3 4 2" xfId="37885"/>
    <cellStyle name="Comma 2 2 4 2 3 4 2" xfId="37886"/>
    <cellStyle name="Comma 2 2 5 3 4 2" xfId="37887"/>
    <cellStyle name="Comma 2 2 6 3 4 2" xfId="37888"/>
    <cellStyle name="Comma 2 2 7 3 4 2" xfId="37889"/>
    <cellStyle name="Comma 2 2 8 3 4 2" xfId="37890"/>
    <cellStyle name="Comma 2 2 9 3 4 2" xfId="37891"/>
    <cellStyle name="Comma 3 10 3 4 2" xfId="37892"/>
    <cellStyle name="Comma 3 11 3 4 2" xfId="37893"/>
    <cellStyle name="Comma 3 12 3 4 2" xfId="37894"/>
    <cellStyle name="Comma 3 13 3 4 2" xfId="37895"/>
    <cellStyle name="Comma 3 14 3 4 2" xfId="37896"/>
    <cellStyle name="Comma 3 15 3 4 2" xfId="37897"/>
    <cellStyle name="Comma 3 16 3 4 2" xfId="37898"/>
    <cellStyle name="Comma 3 17 3 4 2" xfId="37899"/>
    <cellStyle name="Comma 3 18 3 4 2" xfId="37900"/>
    <cellStyle name="Comma 3 19 3 4 2" xfId="37901"/>
    <cellStyle name="Comma 3 2 2 3 4 2" xfId="37902"/>
    <cellStyle name="Comma 3 2 3 3 4 2" xfId="37903"/>
    <cellStyle name="Comma 3 2 4 3 4 2" xfId="37904"/>
    <cellStyle name="Comma 3 2 5 3 4 2" xfId="37905"/>
    <cellStyle name="Comma 3 20 3 4 2" xfId="37906"/>
    <cellStyle name="Comma 3 21 3 4 2" xfId="37907"/>
    <cellStyle name="Comma 3 3 7 4 2" xfId="37908"/>
    <cellStyle name="Comma 3 3 2 3 4 2" xfId="37909"/>
    <cellStyle name="Comma 3 3 3 3 4 2" xfId="37910"/>
    <cellStyle name="Comma 3 3 4 3 4 2" xfId="37911"/>
    <cellStyle name="Comma 3 3 5 3 4 2" xfId="37912"/>
    <cellStyle name="Comma 3 4 4 4 2" xfId="37913"/>
    <cellStyle name="Comma 3 4 2 3 4 2" xfId="37914"/>
    <cellStyle name="Comma 3 5 4 4 2" xfId="37915"/>
    <cellStyle name="Comma 3 5 2 3 4 2" xfId="37916"/>
    <cellStyle name="Comma 3 6 4 4 2" xfId="37917"/>
    <cellStyle name="Comma 3 6 2 3 4 2" xfId="37918"/>
    <cellStyle name="Comma 3 7 3 4 2" xfId="37919"/>
    <cellStyle name="Comma 3 8 3 4 2" xfId="37920"/>
    <cellStyle name="Comma 3 9 3 4 2" xfId="37921"/>
    <cellStyle name="Currency 120 3 4 2" xfId="37922"/>
    <cellStyle name="Currency 121 3 4 2" xfId="37923"/>
    <cellStyle name="Currency 122 3 4 2" xfId="37924"/>
    <cellStyle name="Currency 123 3 4 2" xfId="37925"/>
    <cellStyle name="Currency 124 3 4 2" xfId="37926"/>
    <cellStyle name="Currency 125 3 4 2" xfId="37927"/>
    <cellStyle name="Currency 126 3 4 2" xfId="37928"/>
    <cellStyle name="Currency 127 3 4 2" xfId="37929"/>
    <cellStyle name="Currency 128 3 4 2" xfId="37930"/>
    <cellStyle name="Currency 129 3 4 2" xfId="37931"/>
    <cellStyle name="Currency 130 3 4 2" xfId="37932"/>
    <cellStyle name="Currency 159 3 4 2" xfId="37933"/>
    <cellStyle name="Currency 2 27 3 4 2" xfId="37934"/>
    <cellStyle name="Currency 2 2 20 3 4 2" xfId="37935"/>
    <cellStyle name="Currency 2 2 10 3 4 2" xfId="37936"/>
    <cellStyle name="Currency 2 2 11 3 4 2" xfId="37937"/>
    <cellStyle name="Currency 2 2 12 3 4 2" xfId="37938"/>
    <cellStyle name="Currency 2 2 13 3 4 2" xfId="37939"/>
    <cellStyle name="Currency 2 2 14 3 4 2" xfId="37940"/>
    <cellStyle name="Currency 2 2 15 3 4 2" xfId="37941"/>
    <cellStyle name="Currency 2 2 16 3 4 2" xfId="37942"/>
    <cellStyle name="Currency 2 2 17 3 4 2" xfId="37943"/>
    <cellStyle name="Currency 2 2 18 3 4 2" xfId="37944"/>
    <cellStyle name="Currency 2 2 2 2 3 4 2" xfId="37945"/>
    <cellStyle name="Currency 2 2 2 3 3 4 2" xfId="37946"/>
    <cellStyle name="Currency 2 2 2 4 3 4 2" xfId="37947"/>
    <cellStyle name="Currency 2 2 2 5 3 4 2" xfId="37948"/>
    <cellStyle name="Currency 2 2 3 7 4 2" xfId="37949"/>
    <cellStyle name="Currency 2 2 3 2 3 4 2" xfId="37950"/>
    <cellStyle name="Currency 2 2 3 3 3 4 2" xfId="37951"/>
    <cellStyle name="Currency 2 2 3 4 3 4 2" xfId="37952"/>
    <cellStyle name="Currency 2 2 3 5 3 4 2" xfId="37953"/>
    <cellStyle name="Currency 2 2 4 3 4 2" xfId="37954"/>
    <cellStyle name="Currency 2 2 5 3 4 2" xfId="37955"/>
    <cellStyle name="Currency 2 2 6 3 4 2" xfId="37956"/>
    <cellStyle name="Currency 2 2 7 3 4 2" xfId="37957"/>
    <cellStyle name="Currency 2 2 8 3 4 2" xfId="37958"/>
    <cellStyle name="Currency 2 2 9 3 4 2" xfId="37959"/>
    <cellStyle name="Currency 3 10 3 4 2" xfId="37960"/>
    <cellStyle name="Currency 3 11 3 4 2" xfId="37961"/>
    <cellStyle name="Currency 3 12 3 4 2" xfId="37962"/>
    <cellStyle name="Currency 3 13 3 4 2" xfId="37963"/>
    <cellStyle name="Currency 3 14 3 4 2" xfId="37964"/>
    <cellStyle name="Currency 3 15 3 4 2" xfId="37965"/>
    <cellStyle name="Currency 3 16 3 4 2" xfId="37966"/>
    <cellStyle name="Currency 3 17 3 4 2" xfId="37967"/>
    <cellStyle name="Currency 3 18 3 4 2" xfId="37968"/>
    <cellStyle name="Currency 3 19 3 4 2" xfId="37969"/>
    <cellStyle name="Currency 3 2 2 3 4 2" xfId="37970"/>
    <cellStyle name="Currency 3 2 3 3 4 2" xfId="37971"/>
    <cellStyle name="Currency 3 2 4 3 4 2" xfId="37972"/>
    <cellStyle name="Currency 3 2 5 3 4 2" xfId="37973"/>
    <cellStyle name="Currency 3 20 3 4 2" xfId="37974"/>
    <cellStyle name="Currency 3 21 3 4 2" xfId="37975"/>
    <cellStyle name="Currency 3 3 9 4 2" xfId="37976"/>
    <cellStyle name="Currency 3 3 2 3 4 2" xfId="37977"/>
    <cellStyle name="Currency 3 3 3 3 4 2" xfId="37978"/>
    <cellStyle name="Currency 3 3 4 3 4 2" xfId="37979"/>
    <cellStyle name="Currency 3 3 5 3 4 2" xfId="37980"/>
    <cellStyle name="Currency 3 3 6 3 4 2" xfId="37981"/>
    <cellStyle name="Currency 3 4 4 4 2" xfId="37982"/>
    <cellStyle name="Currency 3 4 2 3 4 2" xfId="37983"/>
    <cellStyle name="Currency 3 5 4 4 2" xfId="37984"/>
    <cellStyle name="Currency 3 5 2 3 4 2" xfId="37985"/>
    <cellStyle name="Currency 3 6 4 4 2" xfId="37986"/>
    <cellStyle name="Currency 3 6 2 3 4 2" xfId="37987"/>
    <cellStyle name="Currency 3 7 3 4 2" xfId="37988"/>
    <cellStyle name="Currency 3 8 3 4 2" xfId="37989"/>
    <cellStyle name="Currency 3 9 3 4 2" xfId="37990"/>
    <cellStyle name="Normal 10 3 7 4 2" xfId="37991"/>
    <cellStyle name="Normal 10 3 2 6 4 2" xfId="37992"/>
    <cellStyle name="Normal 10 3 2 2 4 4 2" xfId="37993"/>
    <cellStyle name="Normal 10 3 2 2 2 3 4 2" xfId="37994"/>
    <cellStyle name="Normal 10 3 2 3 4 4 2" xfId="37995"/>
    <cellStyle name="Normal 10 3 2 3 2 3 4 2" xfId="37996"/>
    <cellStyle name="Normal 10 3 2 4 3 4 2" xfId="37997"/>
    <cellStyle name="Normal 10 3 3 4 4 2" xfId="37998"/>
    <cellStyle name="Normal 10 3 3 2 3 4 2" xfId="37999"/>
    <cellStyle name="Normal 10 3 4 4 4 2" xfId="38000"/>
    <cellStyle name="Normal 10 3 4 2 3 4 2" xfId="38001"/>
    <cellStyle name="Normal 10 3 5 3 4 2" xfId="38002"/>
    <cellStyle name="Normal 10 4 6 4 2" xfId="38003"/>
    <cellStyle name="Normal 10 4 2 4 4 2" xfId="38004"/>
    <cellStyle name="Normal 10 4 2 2 3 4 2" xfId="38005"/>
    <cellStyle name="Normal 10 4 3 4 4 2" xfId="38006"/>
    <cellStyle name="Normal 10 4 3 2 3 4 2" xfId="38007"/>
    <cellStyle name="Normal 10 4 4 3 4 2" xfId="38008"/>
    <cellStyle name="Normal 10 5 6 4 2" xfId="38009"/>
    <cellStyle name="Normal 10 5 2 4 4 2" xfId="38010"/>
    <cellStyle name="Normal 10 5 2 2 3 4 2" xfId="38011"/>
    <cellStyle name="Normal 10 5 3 4 4 2" xfId="38012"/>
    <cellStyle name="Normal 10 5 3 2 3 4 2" xfId="38013"/>
    <cellStyle name="Normal 10 5 4 3 4 2" xfId="38014"/>
    <cellStyle name="Normal 10 6 4 4 2" xfId="38015"/>
    <cellStyle name="Normal 10 6 2 3 4 2" xfId="38016"/>
    <cellStyle name="Normal 10 7 4 4 2" xfId="38017"/>
    <cellStyle name="Normal 10 7 2 3 4 2" xfId="38018"/>
    <cellStyle name="Normal 10 8 2 3 4 2" xfId="38019"/>
    <cellStyle name="Normal 10 9 3 4 2" xfId="38020"/>
    <cellStyle name="Normal 11 4 3 4 2" xfId="38021"/>
    <cellStyle name="Normal 11 3 3 4 2" xfId="38022"/>
    <cellStyle name="Normal 12 9 4 2" xfId="38023"/>
    <cellStyle name="Normal 12 2 2 6 4 2" xfId="38024"/>
    <cellStyle name="Normal 12 2 2 2 4 4 2" xfId="38025"/>
    <cellStyle name="Normal 12 2 2 2 2 3 4 2" xfId="38026"/>
    <cellStyle name="Normal 12 2 2 3 4 4 2" xfId="38027"/>
    <cellStyle name="Normal 12 2 2 3 2 3 4 2" xfId="38028"/>
    <cellStyle name="Normal 12 2 2 4 3 4 2" xfId="38029"/>
    <cellStyle name="Normal 12 2 3 4 4 2" xfId="38030"/>
    <cellStyle name="Normal 12 2 3 2 3 4 2" xfId="38031"/>
    <cellStyle name="Normal 12 2 4 4 4 2" xfId="38032"/>
    <cellStyle name="Normal 12 2 4 2 3 4 2" xfId="38033"/>
    <cellStyle name="Normal 12 2 5 2 3 4 2" xfId="38034"/>
    <cellStyle name="Normal 12 2 6 3 4 2" xfId="38035"/>
    <cellStyle name="Normal 12 3 6 4 2" xfId="38036"/>
    <cellStyle name="Normal 12 3 2 4 4 2" xfId="38037"/>
    <cellStyle name="Normal 12 3 2 2 3 4 2" xfId="38038"/>
    <cellStyle name="Normal 12 3 3 4 4 2" xfId="38039"/>
    <cellStyle name="Normal 12 3 3 2 3 4 2" xfId="38040"/>
    <cellStyle name="Normal 12 3 4 3 4 2" xfId="38041"/>
    <cellStyle name="Normal 12 4 6 4 2" xfId="38042"/>
    <cellStyle name="Normal 12 4 2 4 4 2" xfId="38043"/>
    <cellStyle name="Normal 12 4 2 2 3 4 2" xfId="38044"/>
    <cellStyle name="Normal 12 4 3 4 4 2" xfId="38045"/>
    <cellStyle name="Normal 12 4 3 2 3 4 2" xfId="38046"/>
    <cellStyle name="Normal 12 4 4 3 4 2" xfId="38047"/>
    <cellStyle name="Normal 12 5 4 4 2" xfId="38048"/>
    <cellStyle name="Normal 12 5 2 3 4 2" xfId="38049"/>
    <cellStyle name="Normal 12 6 4 4 2" xfId="38050"/>
    <cellStyle name="Normal 12 6 2 3 4 2" xfId="38051"/>
    <cellStyle name="Normal 12 7 3 4 2" xfId="38052"/>
    <cellStyle name="Normal 15 7 4 2" xfId="38053"/>
    <cellStyle name="Normal 15 3 3 4 2" xfId="38054"/>
    <cellStyle name="Normal 16 2 6 4 2" xfId="38055"/>
    <cellStyle name="Normal 16 2 2 4 4 2" xfId="38056"/>
    <cellStyle name="Normal 16 2 2 2 3 4 2" xfId="38057"/>
    <cellStyle name="Normal 16 2 3 4 4 2" xfId="38058"/>
    <cellStyle name="Normal 16 2 3 2 3 4 2" xfId="38059"/>
    <cellStyle name="Normal 16 2 4 3 4 2" xfId="38060"/>
    <cellStyle name="Normal 16 3 4 4 2" xfId="38061"/>
    <cellStyle name="Normal 16 3 2 3 4 2" xfId="38062"/>
    <cellStyle name="Normal 16 4 4 4 2" xfId="38063"/>
    <cellStyle name="Normal 16 4 2 3 4 2" xfId="38064"/>
    <cellStyle name="Normal 16 5 2 3 4 2" xfId="38065"/>
    <cellStyle name="Normal 16 6 3 4 2" xfId="38066"/>
    <cellStyle name="Normal 17 2 6 4 2" xfId="38067"/>
    <cellStyle name="Normal 17 2 2 4 4 2" xfId="38068"/>
    <cellStyle name="Normal 17 2 2 2 3 4 2" xfId="38069"/>
    <cellStyle name="Normal 17 2 3 4 4 2" xfId="38070"/>
    <cellStyle name="Normal 17 2 3 2 3 4 2" xfId="38071"/>
    <cellStyle name="Normal 17 2 4 3 4 2" xfId="38072"/>
    <cellStyle name="Normal 17 3 4 4 2" xfId="38073"/>
    <cellStyle name="Normal 17 3 2 3 4 2" xfId="38074"/>
    <cellStyle name="Normal 17 4 4 4 2" xfId="38075"/>
    <cellStyle name="Normal 17 4 2 3 4 2" xfId="38076"/>
    <cellStyle name="Normal 17 5 2 3 4 2" xfId="38077"/>
    <cellStyle name="Normal 17 6 3 4 2" xfId="38078"/>
    <cellStyle name="Normal 2 10 3 3 4 2" xfId="38079"/>
    <cellStyle name="Normal 2 11 3 3 4 2" xfId="38080"/>
    <cellStyle name="Normal 2 12 3 3 4 2" xfId="38081"/>
    <cellStyle name="Normal 2 13 3 3 4 2" xfId="38082"/>
    <cellStyle name="Normal 2 14 3 3 4 2" xfId="38083"/>
    <cellStyle name="Normal 2 15 3 3 4 2" xfId="38084"/>
    <cellStyle name="Normal 2 16 3 3 4 2" xfId="38085"/>
    <cellStyle name="Normal 2 17 3 3 4 2" xfId="38086"/>
    <cellStyle name="Normal 2 18 3 3 4 2" xfId="38087"/>
    <cellStyle name="Normal 2 19 3 3 4 2" xfId="38088"/>
    <cellStyle name="Normal 2 2 10 3 4 2" xfId="38089"/>
    <cellStyle name="Normal 2 2 11 3 4 2" xfId="38090"/>
    <cellStyle name="Normal 2 2 12 3 4 2" xfId="38091"/>
    <cellStyle name="Normal 2 2 13 3 4 2" xfId="38092"/>
    <cellStyle name="Normal 2 2 14 3 4 2" xfId="38093"/>
    <cellStyle name="Normal 2 2 15 3 4 2" xfId="38094"/>
    <cellStyle name="Normal 2 2 16 3 4 2" xfId="38095"/>
    <cellStyle name="Normal 2 2 17 3 4 2" xfId="38096"/>
    <cellStyle name="Normal 2 2 18 3 4 2" xfId="38097"/>
    <cellStyle name="Normal 2 2 19 3 4 2" xfId="38098"/>
    <cellStyle name="Normal 2 2 2 2 7 4 2" xfId="38099"/>
    <cellStyle name="Normal 2 2 2 2 2 4 4 2" xfId="38100"/>
    <cellStyle name="Normal 2 2 2 2 2 2 3 4 2" xfId="38101"/>
    <cellStyle name="Normal 2 2 2 2 3 3 4 2" xfId="38102"/>
    <cellStyle name="Normal 2 2 2 2 4 3 4 2" xfId="38103"/>
    <cellStyle name="Normal 2 2 2 2 5 3 4 2" xfId="38104"/>
    <cellStyle name="Normal 2 2 20 3 4 2" xfId="38105"/>
    <cellStyle name="Normal 2 2 21 3 4 2" xfId="38106"/>
    <cellStyle name="Normal 2 2 22 3 4 2" xfId="38107"/>
    <cellStyle name="Normal 2 2 3 10 4 2" xfId="38108"/>
    <cellStyle name="Normal 2 2 3 2 3 4 2" xfId="38109"/>
    <cellStyle name="Normal 2 2 3 3 3 4 2" xfId="38110"/>
    <cellStyle name="Normal 2 2 3 4 3 4 2" xfId="38111"/>
    <cellStyle name="Normal 2 2 3 5 3 4 2" xfId="38112"/>
    <cellStyle name="Normal 2 2 3 6 3 4 2" xfId="38113"/>
    <cellStyle name="Normal 2 2 4 6 4 2" xfId="38114"/>
    <cellStyle name="Normal 2 2 4 2 3 4 2" xfId="38115"/>
    <cellStyle name="Normal 2 2 5 5 4 2" xfId="38116"/>
    <cellStyle name="Normal 2 2 5 2 3 4 2" xfId="38117"/>
    <cellStyle name="Normal 2 2 6 3 4 2" xfId="38118"/>
    <cellStyle name="Normal 2 2 7 3 4 2" xfId="38119"/>
    <cellStyle name="Normal 2 2 8 3 4 2" xfId="38120"/>
    <cellStyle name="Normal 2 2 9 3 4 2" xfId="38121"/>
    <cellStyle name="Normal 2 20 3 4 2" xfId="38122"/>
    <cellStyle name="Normal 2 3 2 4 4 2" xfId="38123"/>
    <cellStyle name="Normal 2 3 3 3 4 2" xfId="38124"/>
    <cellStyle name="Normal 2 3 4 3 4 2" xfId="38125"/>
    <cellStyle name="Normal 2 3 5 3 4 2" xfId="38126"/>
    <cellStyle name="Normal 2 3 6 3 4 2" xfId="38127"/>
    <cellStyle name="Normal 2 4 5 3 4 2" xfId="38128"/>
    <cellStyle name="Normal 2 4 2 3 4 2" xfId="38129"/>
    <cellStyle name="Normal 2 5 3 3 4 2" xfId="38130"/>
    <cellStyle name="Normal 2 6 3 3 4 2" xfId="38131"/>
    <cellStyle name="Normal 2 7 3 3 4 2" xfId="38132"/>
    <cellStyle name="Normal 2 8 3 3 4 2" xfId="38133"/>
    <cellStyle name="Normal 2 9 3 3 4 2" xfId="38134"/>
    <cellStyle name="Normal 21 10 4 2" xfId="38135"/>
    <cellStyle name="Normal 21 2 8 4 2" xfId="38136"/>
    <cellStyle name="Normal 21 2 2 3 4 2" xfId="38137"/>
    <cellStyle name="Normal 21 2 3 3 4 2" xfId="38138"/>
    <cellStyle name="Normal 21 2 4 3 4 2" xfId="38139"/>
    <cellStyle name="Normal 21 2 5 3 4 2" xfId="38140"/>
    <cellStyle name="Normal 21 2 6 3 4 2" xfId="38141"/>
    <cellStyle name="Normal 21 3 4 4 2" xfId="38142"/>
    <cellStyle name="Normal 21 3 2 3 4 2" xfId="38143"/>
    <cellStyle name="Normal 21 4 3 4 2" xfId="38144"/>
    <cellStyle name="Normal 21 5 3 4 2" xfId="38145"/>
    <cellStyle name="Normal 21 6 3 4 2" xfId="38146"/>
    <cellStyle name="Normal 21 8 3 4 2" xfId="38147"/>
    <cellStyle name="Normal 22 9 4 2" xfId="38148"/>
    <cellStyle name="Normal 22 2 8 4 2" xfId="38149"/>
    <cellStyle name="Normal 22 2 2 3 4 2" xfId="38150"/>
    <cellStyle name="Normal 22 2 3 3 4 2" xfId="38151"/>
    <cellStyle name="Normal 22 2 4 3 4 2" xfId="38152"/>
    <cellStyle name="Normal 22 2 5 3 4 2" xfId="38153"/>
    <cellStyle name="Normal 22 3 3 4 2" xfId="38154"/>
    <cellStyle name="Normal 22 4 3 4 2" xfId="38155"/>
    <cellStyle name="Normal 22 5 3 4 2" xfId="38156"/>
    <cellStyle name="Normal 22 6 3 4 2" xfId="38157"/>
    <cellStyle name="Normal 23 9 4 2" xfId="38158"/>
    <cellStyle name="Normal 23 2 7 4 2" xfId="38159"/>
    <cellStyle name="Normal 23 2 2 3 4 2" xfId="38160"/>
    <cellStyle name="Normal 23 2 3 3 4 2" xfId="38161"/>
    <cellStyle name="Normal 23 2 4 3 4 2" xfId="38162"/>
    <cellStyle name="Normal 23 2 5 3 4 2" xfId="38163"/>
    <cellStyle name="Normal 23 3 3 4 2" xfId="38164"/>
    <cellStyle name="Normal 23 4 3 4 2" xfId="38165"/>
    <cellStyle name="Normal 23 5 3 4 2" xfId="38166"/>
    <cellStyle name="Normal 23 6 3 4 2" xfId="38167"/>
    <cellStyle name="Normal 24 9 4 2" xfId="38168"/>
    <cellStyle name="Normal 24 2 7 4 2" xfId="38169"/>
    <cellStyle name="Normal 24 2 2 3 4 2" xfId="38170"/>
    <cellStyle name="Normal 24 2 3 3 4 2" xfId="38171"/>
    <cellStyle name="Normal 24 2 4 3 4 2" xfId="38172"/>
    <cellStyle name="Normal 24 2 5 3 4 2" xfId="38173"/>
    <cellStyle name="Normal 24 3 3 4 2" xfId="38174"/>
    <cellStyle name="Normal 24 4 3 4 2" xfId="38175"/>
    <cellStyle name="Normal 24 5 3 4 2" xfId="38176"/>
    <cellStyle name="Normal 24 6 3 4 2" xfId="38177"/>
    <cellStyle name="Normal 26 9 4 2" xfId="38178"/>
    <cellStyle name="Normal 26 2 7 4 2" xfId="38179"/>
    <cellStyle name="Normal 26 2 2 3 4 2" xfId="38180"/>
    <cellStyle name="Normal 26 2 3 3 4 2" xfId="38181"/>
    <cellStyle name="Normal 26 2 4 3 4 2" xfId="38182"/>
    <cellStyle name="Normal 26 2 5 3 4 2" xfId="38183"/>
    <cellStyle name="Normal 26 3 3 4 2" xfId="38184"/>
    <cellStyle name="Normal 26 4 3 4 2" xfId="38185"/>
    <cellStyle name="Normal 26 5 3 4 2" xfId="38186"/>
    <cellStyle name="Normal 26 6 3 4 2" xfId="38187"/>
    <cellStyle name="Normal 3 10 3 4 2" xfId="38188"/>
    <cellStyle name="Normal 3 11 3 4 2" xfId="38189"/>
    <cellStyle name="Normal 3 12 3 4 2" xfId="38190"/>
    <cellStyle name="Normal 3 13 3 4 2" xfId="38191"/>
    <cellStyle name="Normal 3 14 3 4 2" xfId="38192"/>
    <cellStyle name="Normal 3 15 3 4 2" xfId="38193"/>
    <cellStyle name="Normal 3 16 3 4 2" xfId="38194"/>
    <cellStyle name="Normal 3 17 3 4 2" xfId="38195"/>
    <cellStyle name="Normal 3 18 3 4 2" xfId="38196"/>
    <cellStyle name="Normal 3 19 3 4 2" xfId="38197"/>
    <cellStyle name="Normal 3 2 2 3 4 2" xfId="38198"/>
    <cellStyle name="Normal 3 2 3 3 4 2" xfId="38199"/>
    <cellStyle name="Normal 3 2 4 3 4 2" xfId="38200"/>
    <cellStyle name="Normal 3 2 5 3 4 2" xfId="38201"/>
    <cellStyle name="Normal 3 2 6 3 4 2" xfId="38202"/>
    <cellStyle name="Normal 3 20 3 4 2" xfId="38203"/>
    <cellStyle name="Normal 3 21 3 4 2" xfId="38204"/>
    <cellStyle name="Normal 3 22 3 4 2" xfId="38205"/>
    <cellStyle name="Normal 3 23 3 4 2" xfId="38206"/>
    <cellStyle name="Normal 3 24 3 4 2" xfId="38207"/>
    <cellStyle name="Normal 3 3 6 4 2" xfId="38208"/>
    <cellStyle name="Normal 3 3 2 3 4 2" xfId="38209"/>
    <cellStyle name="Normal 3 3 3 3 4 2" xfId="38210"/>
    <cellStyle name="Normal 3 4 4 4 2" xfId="38211"/>
    <cellStyle name="Normal 3 4 2 3 4 2" xfId="38212"/>
    <cellStyle name="Normal 3 5 4 4 2" xfId="38213"/>
    <cellStyle name="Normal 3 5 2 3 4 2" xfId="38214"/>
    <cellStyle name="Normal 3 6 3 4 2" xfId="38215"/>
    <cellStyle name="Normal 3 7 3 4 2" xfId="38216"/>
    <cellStyle name="Normal 3 8 3 4 2" xfId="38217"/>
    <cellStyle name="Normal 3 9 3 4 2" xfId="38218"/>
    <cellStyle name="Normal 4 2 10 3 4 2" xfId="38219"/>
    <cellStyle name="Normal 4 2 11 3 4 2" xfId="38220"/>
    <cellStyle name="Normal 4 2 12 3 4 2" xfId="38221"/>
    <cellStyle name="Normal 4 2 13 3 4 2" xfId="38222"/>
    <cellStyle name="Normal 4 2 14 3 4 2" xfId="38223"/>
    <cellStyle name="Normal 4 2 15 3 4 2" xfId="38224"/>
    <cellStyle name="Normal 4 2 16 3 4 2" xfId="38225"/>
    <cellStyle name="Normal 4 2 17 3 4 2" xfId="38226"/>
    <cellStyle name="Normal 4 2 18 3 4 2" xfId="38227"/>
    <cellStyle name="Normal 4 2 19 3 4 2" xfId="38228"/>
    <cellStyle name="Normal 4 2 2 7 4 2" xfId="38229"/>
    <cellStyle name="Normal 4 2 2 2 3 4 2" xfId="38230"/>
    <cellStyle name="Normal 4 2 2 3 3 4 2" xfId="38231"/>
    <cellStyle name="Normal 4 2 2 4 3 4 2" xfId="38232"/>
    <cellStyle name="Normal 4 2 2 5 3 4 2" xfId="38233"/>
    <cellStyle name="Normal 4 2 20 3 4 2" xfId="38234"/>
    <cellStyle name="Normal 4 2 21 3 4 2" xfId="38235"/>
    <cellStyle name="Normal 4 2 22 3 4 2" xfId="38236"/>
    <cellStyle name="Normal 4 2 23 3 4 2" xfId="38237"/>
    <cellStyle name="Normal 4 2 24 3 4 2" xfId="38238"/>
    <cellStyle name="Normal 4 2 3 4 4 2" xfId="38239"/>
    <cellStyle name="Normal 4 2 3 2 3 4 2" xfId="38240"/>
    <cellStyle name="Normal 4 2 4 4 4 2" xfId="38241"/>
    <cellStyle name="Normal 4 2 4 2 3 4 2" xfId="38242"/>
    <cellStyle name="Normal 4 2 5 4 4 2" xfId="38243"/>
    <cellStyle name="Normal 4 2 5 2 3 4 2" xfId="38244"/>
    <cellStyle name="Normal 4 2 6 3 4 2" xfId="38245"/>
    <cellStyle name="Normal 4 2 7 3 4 2" xfId="38246"/>
    <cellStyle name="Normal 4 2 8 3 4 2" xfId="38247"/>
    <cellStyle name="Normal 4 2 9 3 4 2" xfId="38248"/>
    <cellStyle name="Normal 4 3 8 4 2" xfId="38249"/>
    <cellStyle name="Normal 4 3 2 7 4 2" xfId="38250"/>
    <cellStyle name="Normal 4 3 2 2 6 4 2" xfId="38251"/>
    <cellStyle name="Normal 4 3 2 2 2 4 4 2" xfId="38252"/>
    <cellStyle name="Normal 4 3 2 2 2 2 3 4 2" xfId="38253"/>
    <cellStyle name="Normal 4 3 2 2 3 4 4 2" xfId="38254"/>
    <cellStyle name="Normal 4 3 2 2 3 2 3 4 2" xfId="38255"/>
    <cellStyle name="Normal 4 3 2 2 4 3 4 2" xfId="38256"/>
    <cellStyle name="Normal 4 3 2 3 4 4 2" xfId="38257"/>
    <cellStyle name="Normal 4 3 2 3 2 3 4 2" xfId="38258"/>
    <cellStyle name="Normal 4 3 2 4 4 4 2" xfId="38259"/>
    <cellStyle name="Normal 4 3 2 4 2 3 4 2" xfId="38260"/>
    <cellStyle name="Normal 4 3 2 5 3 4 2" xfId="38261"/>
    <cellStyle name="Normal 4 3 3 6 4 2" xfId="38262"/>
    <cellStyle name="Normal 4 3 3 2 4 4 2" xfId="38263"/>
    <cellStyle name="Normal 4 3 3 2 2 3 4 2" xfId="38264"/>
    <cellStyle name="Normal 4 3 3 3 4 4 2" xfId="38265"/>
    <cellStyle name="Normal 4 3 3 3 2 3 4 2" xfId="38266"/>
    <cellStyle name="Normal 4 3 3 4 3 4 2" xfId="38267"/>
    <cellStyle name="Normal 4 3 4 4 4 2" xfId="38268"/>
    <cellStyle name="Normal 4 3 4 2 3 4 2" xfId="38269"/>
    <cellStyle name="Normal 4 3 5 4 4 2" xfId="38270"/>
    <cellStyle name="Normal 4 3 5 2 3 4 2" xfId="38271"/>
    <cellStyle name="Normal 4 3 6 3 4 2" xfId="38272"/>
    <cellStyle name="Normal 4 4 5 4 2" xfId="38273"/>
    <cellStyle name="Normal 4 4 2 3 4 2" xfId="38274"/>
    <cellStyle name="Normal 4 5 3 4 2" xfId="38275"/>
    <cellStyle name="Normal 4 6 3 4 2" xfId="38276"/>
    <cellStyle name="Normal 4 7 3 4 2" xfId="38277"/>
    <cellStyle name="Normal 4 8 3 4 2" xfId="38278"/>
    <cellStyle name="Normal 41 2 3 4 2" xfId="38279"/>
    <cellStyle name="Normal 46 3 4 2" xfId="38280"/>
    <cellStyle name="Normal 5 28 3 4 2" xfId="38281"/>
    <cellStyle name="Normal 5 2 8 4 2" xfId="38282"/>
    <cellStyle name="Normal 5 2 2 2 2 3 4 2" xfId="38283"/>
    <cellStyle name="Normal 5 2 2 3 3 4 2" xfId="38284"/>
    <cellStyle name="Normal 5 2 3 2 2 3 4 2" xfId="38285"/>
    <cellStyle name="Normal 5 2 3 3 3 4 2" xfId="38286"/>
    <cellStyle name="Normal 5 2 4 2 3 4 2" xfId="38287"/>
    <cellStyle name="Normal 5 2 6 3 4 2" xfId="38288"/>
    <cellStyle name="Normal 5 24 3 4 2" xfId="38289"/>
    <cellStyle name="Normal 5 3 4 4 2" xfId="38290"/>
    <cellStyle name="Normal 5 4 4 4 2" xfId="38291"/>
    <cellStyle name="Normal 5 5 4 4 2" xfId="38292"/>
    <cellStyle name="Normal 5 6 4 4 2" xfId="38293"/>
    <cellStyle name="Normal 5 7 4 4 2" xfId="38294"/>
    <cellStyle name="Normal 7 25 3 4 2" xfId="38295"/>
    <cellStyle name="Normal 7 10 3 4 2" xfId="38296"/>
    <cellStyle name="Normal 7 11 3 4 2" xfId="38297"/>
    <cellStyle name="Normal 7 12 3 4 2" xfId="38298"/>
    <cellStyle name="Normal 7 13 3 4 2" xfId="38299"/>
    <cellStyle name="Normal 7 14 3 4 2" xfId="38300"/>
    <cellStyle name="Normal 7 15 3 4 2" xfId="38301"/>
    <cellStyle name="Normal 7 16 3 4 2" xfId="38302"/>
    <cellStyle name="Normal 7 17 3 4 2" xfId="38303"/>
    <cellStyle name="Normal 7 18 3 4 2" xfId="38304"/>
    <cellStyle name="Normal 7 19 3 4 2" xfId="38305"/>
    <cellStyle name="Normal 7 2 7 4 2" xfId="38306"/>
    <cellStyle name="Normal 7 2 2 3 4 2" xfId="38307"/>
    <cellStyle name="Normal 7 2 3 3 4 2" xfId="38308"/>
    <cellStyle name="Normal 7 2 4 3 4 2" xfId="38309"/>
    <cellStyle name="Normal 7 2 5 3 4 2" xfId="38310"/>
    <cellStyle name="Normal 7 20 3 4 2" xfId="38311"/>
    <cellStyle name="Normal 7 22 3 4 2" xfId="38312"/>
    <cellStyle name="Normal 7 3 7 4 2" xfId="38313"/>
    <cellStyle name="Normal 7 3 2 3 4 2" xfId="38314"/>
    <cellStyle name="Normal 7 3 3 3 4 2" xfId="38315"/>
    <cellStyle name="Normal 7 3 4 3 4 2" xfId="38316"/>
    <cellStyle name="Normal 7 3 5 3 4 2" xfId="38317"/>
    <cellStyle name="Normal 7 4 3 4 2" xfId="38318"/>
    <cellStyle name="Normal 7 5 3 4 2" xfId="38319"/>
    <cellStyle name="Normal 7 6 3 4 2" xfId="38320"/>
    <cellStyle name="Normal 7 7 3 4 2" xfId="38321"/>
    <cellStyle name="Normal 7 8 3 4 2" xfId="38322"/>
    <cellStyle name="Normal 7 9 3 4 2" xfId="38323"/>
    <cellStyle name="Normal 8 25 3 4 2" xfId="38324"/>
    <cellStyle name="Normal 8 10 3 4 2" xfId="38325"/>
    <cellStyle name="Normal 8 11 3 4 2" xfId="38326"/>
    <cellStyle name="Normal 8 12 3 4 2" xfId="38327"/>
    <cellStyle name="Normal 8 13 3 4 2" xfId="38328"/>
    <cellStyle name="Normal 8 14 3 4 2" xfId="38329"/>
    <cellStyle name="Normal 8 15 3 4 2" xfId="38330"/>
    <cellStyle name="Normal 8 16 3 4 2" xfId="38331"/>
    <cellStyle name="Normal 8 17 3 4 2" xfId="38332"/>
    <cellStyle name="Normal 8 18 3 4 2" xfId="38333"/>
    <cellStyle name="Normal 8 19 3 4 2" xfId="38334"/>
    <cellStyle name="Normal 8 2 6 3 4 2" xfId="38335"/>
    <cellStyle name="Normal 8 2 2 2 3 4 2" xfId="38336"/>
    <cellStyle name="Normal 8 2 3 3 4 2" xfId="38337"/>
    <cellStyle name="Normal 8 2 4 3 4 2" xfId="38338"/>
    <cellStyle name="Normal 8 2 5 3 4 2" xfId="38339"/>
    <cellStyle name="Normal 8 20 3 4 2" xfId="38340"/>
    <cellStyle name="Normal 8 22 3 4 2" xfId="38341"/>
    <cellStyle name="Normal 8 3 6 3 4 2" xfId="38342"/>
    <cellStyle name="Normal 8 3 2 3 4 2" xfId="38343"/>
    <cellStyle name="Normal 8 3 3 3 4 2" xfId="38344"/>
    <cellStyle name="Normal 8 3 4 3 4 2" xfId="38345"/>
    <cellStyle name="Normal 8 3 5 3 4 2" xfId="38346"/>
    <cellStyle name="Normal 8 4 3 4 2" xfId="38347"/>
    <cellStyle name="Normal 8 5 3 4 2" xfId="38348"/>
    <cellStyle name="Normal 8 6 3 4 2" xfId="38349"/>
    <cellStyle name="Normal 8 7 3 4 2" xfId="38350"/>
    <cellStyle name="Normal 8 8 3 4 2" xfId="38351"/>
    <cellStyle name="Normal 8 9 3 4 2" xfId="38352"/>
    <cellStyle name="Normal 9 25 3 4 2" xfId="38353"/>
    <cellStyle name="Normal 9 10 3 4 2" xfId="38354"/>
    <cellStyle name="Normal 9 11 3 4 2" xfId="38355"/>
    <cellStyle name="Normal 9 12 3 4 2" xfId="38356"/>
    <cellStyle name="Normal 9 13 3 4 2" xfId="38357"/>
    <cellStyle name="Normal 9 14 3 4 2" xfId="38358"/>
    <cellStyle name="Normal 9 15 3 4 2" xfId="38359"/>
    <cellStyle name="Normal 9 16 3 4 2" xfId="38360"/>
    <cellStyle name="Normal 9 17 3 4 2" xfId="38361"/>
    <cellStyle name="Normal 9 18 3 4 2" xfId="38362"/>
    <cellStyle name="Normal 9 19 3 4 2" xfId="38363"/>
    <cellStyle name="Normal 9 2 7 4 2" xfId="38364"/>
    <cellStyle name="Normal 9 2 2 3 4 2" xfId="38365"/>
    <cellStyle name="Normal 9 2 3 3 4 2" xfId="38366"/>
    <cellStyle name="Normal 9 2 4 3 4 2" xfId="38367"/>
    <cellStyle name="Normal 9 2 5 3 4 2" xfId="38368"/>
    <cellStyle name="Normal 9 20 3 4 2" xfId="38369"/>
    <cellStyle name="Normal 9 22 3 4 2" xfId="38370"/>
    <cellStyle name="Normal 9 3 7 4 2" xfId="38371"/>
    <cellStyle name="Normal 9 3 2 3 4 2" xfId="38372"/>
    <cellStyle name="Normal 9 3 3 3 4 2" xfId="38373"/>
    <cellStyle name="Normal 9 3 4 3 4 2" xfId="38374"/>
    <cellStyle name="Normal 9 3 5 3 4 2" xfId="38375"/>
    <cellStyle name="Normal 9 4 3 4 2" xfId="38376"/>
    <cellStyle name="Normal 9 5 3 4 2" xfId="38377"/>
    <cellStyle name="Normal 9 6 3 4 2" xfId="38378"/>
    <cellStyle name="Normal 9 7 3 4 2" xfId="38379"/>
    <cellStyle name="Normal 9 8 3 4 2" xfId="38380"/>
    <cellStyle name="Normal 9 9 3 4 2" xfId="38381"/>
    <cellStyle name="Note 2 3 4 2" xfId="38382"/>
    <cellStyle name="Note 3 3 4 2" xfId="38383"/>
    <cellStyle name="Note 4 3 4 2" xfId="38384"/>
    <cellStyle name="Note 7 3 4 2" xfId="38385"/>
    <cellStyle name="Percent 120 3 4 2" xfId="38386"/>
    <cellStyle name="Percent 121 3 4 2" xfId="38387"/>
    <cellStyle name="Percent 122 3 4 2" xfId="38388"/>
    <cellStyle name="Percent 123 3 4 2" xfId="38389"/>
    <cellStyle name="Percent 124 3 4 2" xfId="38390"/>
    <cellStyle name="Percent 125 3 4 2" xfId="38391"/>
    <cellStyle name="Percent 126 3 4 2" xfId="38392"/>
    <cellStyle name="Percent 127 3 4 2" xfId="38393"/>
    <cellStyle name="Percent 128 3 4 2" xfId="38394"/>
    <cellStyle name="Percent 129 3 4 2" xfId="38395"/>
    <cellStyle name="Percent 130 3 4 2" xfId="38396"/>
    <cellStyle name="Percent 159 3 4 2" xfId="38397"/>
    <cellStyle name="Percent 2 22 3 4 2" xfId="38398"/>
    <cellStyle name="Percent 25 2 4 4 2" xfId="38399"/>
    <cellStyle name="Percent 25 2 2 3 4 2" xfId="38400"/>
    <cellStyle name="Percent 25 3 4 4 2" xfId="38401"/>
    <cellStyle name="Percent 25 3 2 3 4 2" xfId="38402"/>
    <cellStyle name="Percent 25 4 2 3 4 2" xfId="38403"/>
    <cellStyle name="Percent 25 5 3 4 2" xfId="38404"/>
    <cellStyle name="Percent 26 2 4 4 2" xfId="38405"/>
    <cellStyle name="Percent 26 2 2 3 4 2" xfId="38406"/>
    <cellStyle name="Percent 26 3 4 4 2" xfId="38407"/>
    <cellStyle name="Percent 26 3 2 3 4 2" xfId="38408"/>
    <cellStyle name="Percent 26 4 2 3 4 2" xfId="38409"/>
    <cellStyle name="Percent 26 5 3 4 2" xfId="38410"/>
    <cellStyle name="Percent 27 2 4 4 2" xfId="38411"/>
    <cellStyle name="Percent 27 2 2 3 4 2" xfId="38412"/>
    <cellStyle name="Percent 27 3 4 4 2" xfId="38413"/>
    <cellStyle name="Percent 27 3 2 3 4 2" xfId="38414"/>
    <cellStyle name="Percent 27 4 2 3 4 2" xfId="38415"/>
    <cellStyle name="Percent 27 5 3 4 2" xfId="38416"/>
    <cellStyle name="Percent 28 2 4 4 2" xfId="38417"/>
    <cellStyle name="Percent 28 2 2 3 4 2" xfId="38418"/>
    <cellStyle name="Percent 28 3 4 4 2" xfId="38419"/>
    <cellStyle name="Percent 28 3 2 3 4 2" xfId="38420"/>
    <cellStyle name="Percent 28 4 2 3 4 2" xfId="38421"/>
    <cellStyle name="Percent 28 5 3 4 2" xfId="38422"/>
    <cellStyle name="Percent 29 2 4 4 2" xfId="38423"/>
    <cellStyle name="Percent 29 2 2 3 4 2" xfId="38424"/>
    <cellStyle name="Percent 29 3 4 4 2" xfId="38425"/>
    <cellStyle name="Percent 29 3 2 3 4 2" xfId="38426"/>
    <cellStyle name="Percent 29 4 2 3 4 2" xfId="38427"/>
    <cellStyle name="Percent 29 5 3 4 2" xfId="38428"/>
    <cellStyle name="Percent 3 10 3 4 2" xfId="38429"/>
    <cellStyle name="Percent 3 11 3 4 2" xfId="38430"/>
    <cellStyle name="Percent 3 12 3 4 2" xfId="38431"/>
    <cellStyle name="Percent 3 13 3 4 2" xfId="38432"/>
    <cellStyle name="Percent 3 14 3 4 2" xfId="38433"/>
    <cellStyle name="Percent 3 15 3 4 2" xfId="38434"/>
    <cellStyle name="Percent 3 16 3 4 2" xfId="38435"/>
    <cellStyle name="Percent 3 17 3 4 2" xfId="38436"/>
    <cellStyle name="Percent 3 18 3 4 2" xfId="38437"/>
    <cellStyle name="Percent 3 19 3 4 2" xfId="38438"/>
    <cellStyle name="Percent 3 2 24 4 2" xfId="38439"/>
    <cellStyle name="Percent 3 2 10 3 4 2" xfId="38440"/>
    <cellStyle name="Percent 3 2 11 3 4 2" xfId="38441"/>
    <cellStyle name="Percent 3 2 12 3 4 2" xfId="38442"/>
    <cellStyle name="Percent 3 2 13 3 4 2" xfId="38443"/>
    <cellStyle name="Percent 3 2 14 3 4 2" xfId="38444"/>
    <cellStyle name="Percent 3 2 15 3 4 2" xfId="38445"/>
    <cellStyle name="Percent 3 2 16 3 4 2" xfId="38446"/>
    <cellStyle name="Percent 3 2 17 3 4 2" xfId="38447"/>
    <cellStyle name="Percent 3 2 18 3 4 2" xfId="38448"/>
    <cellStyle name="Percent 3 2 19 3 4 2" xfId="38449"/>
    <cellStyle name="Percent 3 2 2 2 3 4 2" xfId="38450"/>
    <cellStyle name="Percent 3 2 2 3 3 4 2" xfId="38451"/>
    <cellStyle name="Percent 3 2 2 4 3 4 2" xfId="38452"/>
    <cellStyle name="Percent 3 2 2 5 3 4 2" xfId="38453"/>
    <cellStyle name="Percent 3 2 20 3 4 2" xfId="38454"/>
    <cellStyle name="Percent 3 2 21 2 3 4 2" xfId="38455"/>
    <cellStyle name="Percent 3 2 3 7 4 2" xfId="38456"/>
    <cellStyle name="Percent 3 2 3 2 3 4 2" xfId="38457"/>
    <cellStyle name="Percent 3 2 3 3 3 4 2" xfId="38458"/>
    <cellStyle name="Percent 3 2 3 4 3 4 2" xfId="38459"/>
    <cellStyle name="Percent 3 2 3 5 3 4 2" xfId="38460"/>
    <cellStyle name="Percent 3 2 4 4 4 2" xfId="38461"/>
    <cellStyle name="Percent 3 2 4 2 3 4 2" xfId="38462"/>
    <cellStyle name="Percent 3 2 5 4 4 2" xfId="38463"/>
    <cellStyle name="Percent 3 2 5 2 3 4 2" xfId="38464"/>
    <cellStyle name="Percent 3 2 6 4 4 2" xfId="38465"/>
    <cellStyle name="Percent 3 2 6 2 3 4 2" xfId="38466"/>
    <cellStyle name="Percent 3 2 7 3 4 2" xfId="38467"/>
    <cellStyle name="Percent 3 2 8 3 4 2" xfId="38468"/>
    <cellStyle name="Percent 3 2 9 3 4 2" xfId="38469"/>
    <cellStyle name="Percent 3 20 3 4 2" xfId="38470"/>
    <cellStyle name="Percent 3 21 3 4 2" xfId="38471"/>
    <cellStyle name="Percent 3 3 2 3 4 2" xfId="38472"/>
    <cellStyle name="Percent 3 3 3 3 4 2" xfId="38473"/>
    <cellStyle name="Percent 3 3 4 3 4 2" xfId="38474"/>
    <cellStyle name="Percent 3 3 5 3 4 2" xfId="38475"/>
    <cellStyle name="Percent 3 4 7 4 2" xfId="38476"/>
    <cellStyle name="Percent 3 4 2 3 4 2" xfId="38477"/>
    <cellStyle name="Percent 3 4 3 3 4 2" xfId="38478"/>
    <cellStyle name="Percent 3 4 4 3 4 2" xfId="38479"/>
    <cellStyle name="Percent 3 4 5 3 4 2" xfId="38480"/>
    <cellStyle name="Percent 3 5 4 4 2" xfId="38481"/>
    <cellStyle name="Percent 3 5 2 3 4 2" xfId="38482"/>
    <cellStyle name="Percent 3 6 4 4 2" xfId="38483"/>
    <cellStyle name="Percent 3 6 2 3 4 2" xfId="38484"/>
    <cellStyle name="Percent 3 7 4 4 2" xfId="38485"/>
    <cellStyle name="Percent 3 7 2 3 4 2" xfId="38486"/>
    <cellStyle name="Percent 3 8 3 4 2" xfId="38487"/>
    <cellStyle name="Percent 3 9 3 4 2" xfId="38488"/>
    <cellStyle name="Percent 30 2 4 4 2" xfId="38489"/>
    <cellStyle name="Percent 30 2 2 3 4 2" xfId="38490"/>
    <cellStyle name="Percent 30 3 4 4 2" xfId="38491"/>
    <cellStyle name="Percent 30 3 2 3 4 2" xfId="38492"/>
    <cellStyle name="Percent 30 4 2 3 4 2" xfId="38493"/>
    <cellStyle name="Percent 30 5 3 4 2" xfId="38494"/>
    <cellStyle name="Percent 31 2 4 4 2" xfId="38495"/>
    <cellStyle name="Percent 31 2 2 3 4 2" xfId="38496"/>
    <cellStyle name="Percent 31 3 4 4 2" xfId="38497"/>
    <cellStyle name="Percent 31 3 2 3 4 2" xfId="38498"/>
    <cellStyle name="Percent 31 4 2 3 4 2" xfId="38499"/>
    <cellStyle name="Percent 31 5 3 4 2" xfId="38500"/>
    <cellStyle name="Percent 32 2 4 4 2" xfId="38501"/>
    <cellStyle name="Percent 32 2 2 3 4 2" xfId="38502"/>
    <cellStyle name="Percent 32 3 4 4 2" xfId="38503"/>
    <cellStyle name="Percent 32 3 2 3 4 2" xfId="38504"/>
    <cellStyle name="Percent 32 4 2 3 4 2" xfId="38505"/>
    <cellStyle name="Percent 32 5 3 4 2" xfId="38506"/>
    <cellStyle name="Percent 33 2 4 4 2" xfId="38507"/>
    <cellStyle name="Percent 33 2 2 3 4 2" xfId="38508"/>
    <cellStyle name="Percent 33 3 4 4 2" xfId="38509"/>
    <cellStyle name="Percent 33 3 2 3 4 2" xfId="38510"/>
    <cellStyle name="Percent 33 4 2 3 4 2" xfId="38511"/>
    <cellStyle name="Percent 33 5 3 4 2" xfId="38512"/>
    <cellStyle name="Percent 34 2 4 4 2" xfId="38513"/>
    <cellStyle name="Percent 34 2 2 3 4 2" xfId="38514"/>
    <cellStyle name="Percent 34 3 4 4 2" xfId="38515"/>
    <cellStyle name="Percent 34 3 2 3 4 2" xfId="38516"/>
    <cellStyle name="Percent 34 4 2 3 4 2" xfId="38517"/>
    <cellStyle name="Percent 34 5 3 4 2" xfId="38518"/>
    <cellStyle name="Percent 35 2 4 4 2" xfId="38519"/>
    <cellStyle name="Percent 35 2 2 3 4 2" xfId="38520"/>
    <cellStyle name="Percent 35 3 4 4 2" xfId="38521"/>
    <cellStyle name="Percent 35 3 2 3 4 2" xfId="38522"/>
    <cellStyle name="Percent 35 4 2 3 4 2" xfId="38523"/>
    <cellStyle name="Percent 35 5 3 4 2" xfId="38524"/>
    <cellStyle name="Currency 5 4 3 4 2" xfId="38525"/>
    <cellStyle name="Comma 5 7 3 4 2" xfId="38526"/>
    <cellStyle name="Percent 5 4 3 4 2" xfId="38527"/>
    <cellStyle name="Comma 6 5 3 4 2" xfId="38528"/>
    <cellStyle name="Currency 5 2 4 3 4 2" xfId="38529"/>
    <cellStyle name="Comma 5 2 4 3 4 2" xfId="38530"/>
    <cellStyle name="Percent 5 2 4 3 4 2" xfId="38531"/>
    <cellStyle name="Comma 6 2 3 3 4 2" xfId="38532"/>
    <cellStyle name="Currency 5 3 2 3 4 2" xfId="38533"/>
    <cellStyle name="Comma 5 3 2 3 4 2" xfId="38534"/>
    <cellStyle name="Percent 5 3 2 3 4 2" xfId="38535"/>
    <cellStyle name="Comma 6 3 4 3 4 2" xfId="38536"/>
    <cellStyle name="Normal 11 2 2 3 4 2" xfId="38537"/>
    <cellStyle name="Currency 5 2 2 2 3 4 2" xfId="38538"/>
    <cellStyle name="Comma 5 2 2 2 3 4 2" xfId="38539"/>
    <cellStyle name="Percent 5 2 2 2 3 4 2" xfId="38540"/>
    <cellStyle name="Comma 6 2 2 2 3 4 2" xfId="38541"/>
    <cellStyle name="Normal 51 3 4 2" xfId="38542"/>
    <cellStyle name="Comma 187 3 4 2" xfId="38543"/>
    <cellStyle name="Percent 163 3 4 2" xfId="38544"/>
    <cellStyle name="Currency 162 3 4 2" xfId="38545"/>
    <cellStyle name="Currency 5 6 2 4 2" xfId="38546"/>
    <cellStyle name="Currency 179 2 4 2" xfId="38547"/>
    <cellStyle name="Percent 180 2 4 2" xfId="38548"/>
    <cellStyle name="Comma 204 2 4 2" xfId="38549"/>
    <cellStyle name="Normal 8 26 2 4 2" xfId="38550"/>
    <cellStyle name="Comma 5 9 2 4 2" xfId="38551"/>
    <cellStyle name="Percent 5 6 2 4 2" xfId="38552"/>
    <cellStyle name="Comma 6 7 2 4 2" xfId="38553"/>
    <cellStyle name="Normal 11 5 2 4 2" xfId="38554"/>
    <cellStyle name="Currency 5 2 6 2 4 2" xfId="38555"/>
    <cellStyle name="Normal 8 2 7 2 4 2" xfId="38556"/>
    <cellStyle name="Comma 5 2 6 2 4 2" xfId="38557"/>
    <cellStyle name="Percent 5 2 6 2 4 2" xfId="38558"/>
    <cellStyle name="Comma 6 2 5 2 4 2" xfId="38559"/>
    <cellStyle name="Currency 5 3 4 2 4 2" xfId="38560"/>
    <cellStyle name="Normal 8 3 7 2 4 2" xfId="38561"/>
    <cellStyle name="Comma 5 3 4 2 4 2" xfId="38562"/>
    <cellStyle name="Percent 5 3 4 2 4 2" xfId="38563"/>
    <cellStyle name="Comma 6 3 6 2 4 2" xfId="38564"/>
    <cellStyle name="Normal 11 2 4 2 4 2" xfId="38565"/>
    <cellStyle name="Currency 5 2 2 4 2 4 2" xfId="38566"/>
    <cellStyle name="Normal 8 2 2 3 2 4 2" xfId="38567"/>
    <cellStyle name="Comma 5 2 2 4 2 4 2" xfId="38568"/>
    <cellStyle name="Percent 5 2 2 4 2 4 2" xfId="38569"/>
    <cellStyle name="Comma 6 2 2 3 2 4 2" xfId="38570"/>
    <cellStyle name="Normal 50 2 2 4 2" xfId="38571"/>
    <cellStyle name="Comma 186 2 2 4 2" xfId="38572"/>
    <cellStyle name="Percent 162 2 2 4 2" xfId="38573"/>
    <cellStyle name="Normal 2 24 2 2 4 2" xfId="38574"/>
    <cellStyle name="20% - Accent1 2 2 2 4 2" xfId="38575"/>
    <cellStyle name="20% - Accent1 3 2 2 4 2" xfId="38576"/>
    <cellStyle name="20% - Accent1 4 2 2 4 2" xfId="38577"/>
    <cellStyle name="20% - Accent1 5 2 2 4 2" xfId="38578"/>
    <cellStyle name="20% - Accent2 2 2 2 4 2" xfId="38579"/>
    <cellStyle name="20% - Accent2 3 2 2 4 2" xfId="38580"/>
    <cellStyle name="20% - Accent2 4 2 2 4 2" xfId="38581"/>
    <cellStyle name="20% - Accent2 5 2 2 4 2" xfId="38582"/>
    <cellStyle name="20% - Accent3 2 2 2 4 2" xfId="38583"/>
    <cellStyle name="20% - Accent3 3 2 2 4 2" xfId="38584"/>
    <cellStyle name="20% - Accent3 4 2 2 4 2" xfId="38585"/>
    <cellStyle name="20% - Accent3 5 2 2 4 2" xfId="38586"/>
    <cellStyle name="20% - Accent4 2 2 2 4 2" xfId="38587"/>
    <cellStyle name="20% - Accent4 3 2 2 4 2" xfId="38588"/>
    <cellStyle name="20% - Accent4 4 2 2 4 2" xfId="38589"/>
    <cellStyle name="20% - Accent4 5 2 2 4 2" xfId="38590"/>
    <cellStyle name="20% - Accent5 2 2 2 4 2" xfId="38591"/>
    <cellStyle name="20% - Accent5 3 2 2 4 2" xfId="38592"/>
    <cellStyle name="20% - Accent5 4 2 2 4 2" xfId="38593"/>
    <cellStyle name="20% - Accent6 2 2 2 4 2" xfId="38594"/>
    <cellStyle name="20% - Accent6 3 2 2 4 2" xfId="38595"/>
    <cellStyle name="20% - Accent6 4 2 2 4 2" xfId="38596"/>
    <cellStyle name="40% - Accent1 2 2 2 4 2" xfId="38597"/>
    <cellStyle name="40% - Accent1 3 2 2 4 2" xfId="38598"/>
    <cellStyle name="40% - Accent1 4 2 2 4 2" xfId="38599"/>
    <cellStyle name="40% - Accent1 5 2 2 4 2" xfId="38600"/>
    <cellStyle name="40% - Accent2 2 2 2 4 2" xfId="38601"/>
    <cellStyle name="40% - Accent2 3 2 2 4 2" xfId="38602"/>
    <cellStyle name="40% - Accent2 4 2 2 4 2" xfId="38603"/>
    <cellStyle name="40% - Accent3 2 2 2 4 2" xfId="38604"/>
    <cellStyle name="40% - Accent3 3 2 2 4 2" xfId="38605"/>
    <cellStyle name="40% - Accent3 4 2 2 4 2" xfId="38606"/>
    <cellStyle name="40% - Accent3 5 2 2 4 2" xfId="38607"/>
    <cellStyle name="40% - Accent4 2 2 2 4 2" xfId="38608"/>
    <cellStyle name="40% - Accent4 3 2 2 4 2" xfId="38609"/>
    <cellStyle name="40% - Accent4 4 2 2 4 2" xfId="38610"/>
    <cellStyle name="40% - Accent4 5 2 2 4 2" xfId="38611"/>
    <cellStyle name="40% - Accent5 2 2 2 4 2" xfId="38612"/>
    <cellStyle name="40% - Accent5 3 2 2 4 2" xfId="38613"/>
    <cellStyle name="40% - Accent5 4 2 2 4 2" xfId="38614"/>
    <cellStyle name="40% - Accent6 2 2 2 4 2" xfId="38615"/>
    <cellStyle name="40% - Accent6 3 2 2 4 2" xfId="38616"/>
    <cellStyle name="40% - Accent6 4 2 2 4 2" xfId="38617"/>
    <cellStyle name="40% - Accent6 5 2 2 4 2" xfId="38618"/>
    <cellStyle name="Comma 143 2 2 4 2" xfId="38619"/>
    <cellStyle name="Comma 144 2 2 4 2" xfId="38620"/>
    <cellStyle name="Comma 145 2 2 4 2" xfId="38621"/>
    <cellStyle name="Comma 146 2 2 4 2" xfId="38622"/>
    <cellStyle name="Comma 147 2 2 4 2" xfId="38623"/>
    <cellStyle name="Comma 148 2 2 4 2" xfId="38624"/>
    <cellStyle name="Comma 149 2 2 4 2" xfId="38625"/>
    <cellStyle name="Comma 150 2 2 4 2" xfId="38626"/>
    <cellStyle name="Comma 151 2 2 4 2" xfId="38627"/>
    <cellStyle name="Comma 152 2 2 4 2" xfId="38628"/>
    <cellStyle name="Comma 153 2 2 4 2" xfId="38629"/>
    <cellStyle name="Comma 182 2 2 4 2" xfId="38630"/>
    <cellStyle name="Comma 2 23 2 2 4 2" xfId="38631"/>
    <cellStyle name="Comma 2 2 10 2 2 4 2" xfId="38632"/>
    <cellStyle name="Comma 2 2 11 2 2 4 2" xfId="38633"/>
    <cellStyle name="Comma 2 2 12 2 2 4 2" xfId="38634"/>
    <cellStyle name="Comma 2 2 13 2 2 4 2" xfId="38635"/>
    <cellStyle name="Comma 2 2 14 2 2 4 2" xfId="38636"/>
    <cellStyle name="Comma 2 2 15 2 2 4 2" xfId="38637"/>
    <cellStyle name="Comma 2 2 16 2 2 4 2" xfId="38638"/>
    <cellStyle name="Comma 2 2 17 2 2 4 2" xfId="38639"/>
    <cellStyle name="Comma 2 2 2 2 6 2 4 2" xfId="38640"/>
    <cellStyle name="Comma 2 2 2 2 2 2 2 4 2" xfId="38641"/>
    <cellStyle name="Comma 2 2 2 2 3 2 2 4 2" xfId="38642"/>
    <cellStyle name="Comma 2 2 2 2 4 2 2 4 2" xfId="38643"/>
    <cellStyle name="Comma 2 2 2 2 5 2 2 4 2" xfId="38644"/>
    <cellStyle name="Comma 2 2 2 3 2 2 4 2" xfId="38645"/>
    <cellStyle name="Comma 2 2 2 4 2 2 4 2" xfId="38646"/>
    <cellStyle name="Comma 2 2 2 5 2 2 4 2" xfId="38647"/>
    <cellStyle name="Comma 2 2 2 6 2 2 4 2" xfId="38648"/>
    <cellStyle name="Comma 2 2 3 6 2 4 2" xfId="38649"/>
    <cellStyle name="Comma 2 2 3 2 2 2 2 4 2" xfId="38650"/>
    <cellStyle name="Comma 2 2 3 2 3 2 2 4 2" xfId="38651"/>
    <cellStyle name="Comma 2 2 3 2 4 2 2 4 2" xfId="38652"/>
    <cellStyle name="Comma 2 2 3 2 5 2 2 4 2" xfId="38653"/>
    <cellStyle name="Comma 2 2 3 3 2 2 4 2" xfId="38654"/>
    <cellStyle name="Comma 2 2 4 2 2 2 4 2" xfId="38655"/>
    <cellStyle name="Comma 2 2 5 2 2 4 2" xfId="38656"/>
    <cellStyle name="Comma 2 2 6 2 2 4 2" xfId="38657"/>
    <cellStyle name="Comma 2 2 7 2 2 4 2" xfId="38658"/>
    <cellStyle name="Comma 2 2 8 2 2 4 2" xfId="38659"/>
    <cellStyle name="Comma 2 2 9 2 2 4 2" xfId="38660"/>
    <cellStyle name="Comma 3 10 2 2 4 2" xfId="38661"/>
    <cellStyle name="Comma 3 11 2 2 4 2" xfId="38662"/>
    <cellStyle name="Comma 3 12 2 2 4 2" xfId="38663"/>
    <cellStyle name="Comma 3 13 2 2 4 2" xfId="38664"/>
    <cellStyle name="Comma 3 14 2 2 4 2" xfId="38665"/>
    <cellStyle name="Comma 3 15 2 2 4 2" xfId="38666"/>
    <cellStyle name="Comma 3 16 2 2 4 2" xfId="38667"/>
    <cellStyle name="Comma 3 17 2 2 4 2" xfId="38668"/>
    <cellStyle name="Comma 3 18 2 2 4 2" xfId="38669"/>
    <cellStyle name="Comma 3 19 2 2 4 2" xfId="38670"/>
    <cellStyle name="Comma 3 2 2 2 2 4 2" xfId="38671"/>
    <cellStyle name="Comma 3 2 3 2 2 4 2" xfId="38672"/>
    <cellStyle name="Comma 3 2 4 2 2 4 2" xfId="38673"/>
    <cellStyle name="Comma 3 2 5 2 2 4 2" xfId="38674"/>
    <cellStyle name="Comma 3 20 2 2 4 2" xfId="38675"/>
    <cellStyle name="Comma 3 21 2 2 4 2" xfId="38676"/>
    <cellStyle name="Comma 3 3 6 2 4 2" xfId="38677"/>
    <cellStyle name="Comma 3 3 2 2 2 4 2" xfId="38678"/>
    <cellStyle name="Comma 3 3 3 2 2 4 2" xfId="38679"/>
    <cellStyle name="Comma 3 3 4 2 2 4 2" xfId="38680"/>
    <cellStyle name="Comma 3 3 5 2 2 4 2" xfId="38681"/>
    <cellStyle name="Comma 3 4 3 2 4 2" xfId="38682"/>
    <cellStyle name="Comma 3 4 2 2 2 4 2" xfId="38683"/>
    <cellStyle name="Comma 3 5 3 2 4 2" xfId="38684"/>
    <cellStyle name="Comma 3 5 2 2 2 4 2" xfId="38685"/>
    <cellStyle name="Comma 3 6 3 2 4 2" xfId="38686"/>
    <cellStyle name="Comma 3 6 2 2 2 4 2" xfId="38687"/>
    <cellStyle name="Comma 3 7 2 2 4 2" xfId="38688"/>
    <cellStyle name="Comma 3 8 2 2 4 2" xfId="38689"/>
    <cellStyle name="Comma 3 9 2 2 4 2" xfId="38690"/>
    <cellStyle name="Currency 120 2 2 4 2" xfId="38691"/>
    <cellStyle name="Currency 121 2 2 4 2" xfId="38692"/>
    <cellStyle name="Currency 122 2 2 4 2" xfId="38693"/>
    <cellStyle name="Currency 123 2 2 4 2" xfId="38694"/>
    <cellStyle name="Currency 124 2 2 4 2" xfId="38695"/>
    <cellStyle name="Currency 125 2 2 4 2" xfId="38696"/>
    <cellStyle name="Currency 126 2 2 4 2" xfId="38697"/>
    <cellStyle name="Currency 127 2 2 4 2" xfId="38698"/>
    <cellStyle name="Currency 128 2 2 4 2" xfId="38699"/>
    <cellStyle name="Currency 129 2 2 4 2" xfId="38700"/>
    <cellStyle name="Currency 130 2 2 4 2" xfId="38701"/>
    <cellStyle name="Currency 159 2 2 4 2" xfId="38702"/>
    <cellStyle name="Currency 2 27 2 2 4 2" xfId="38703"/>
    <cellStyle name="Currency 2 2 20 2 2 4 2" xfId="38704"/>
    <cellStyle name="Currency 2 2 10 2 2 4 2" xfId="38705"/>
    <cellStyle name="Currency 2 2 11 2 2 4 2" xfId="38706"/>
    <cellStyle name="Currency 2 2 12 2 2 4 2" xfId="38707"/>
    <cellStyle name="Currency 2 2 13 2 2 4 2" xfId="38708"/>
    <cellStyle name="Currency 2 2 14 2 2 4 2" xfId="38709"/>
    <cellStyle name="Currency 2 2 15 2 2 4 2" xfId="38710"/>
    <cellStyle name="Currency 2 2 16 2 2 4 2" xfId="38711"/>
    <cellStyle name="Currency 2 2 17 2 2 4 2" xfId="38712"/>
    <cellStyle name="Currency 2 2 18 2 2 4 2" xfId="38713"/>
    <cellStyle name="Currency 2 2 2 2 2 2 4 2" xfId="38714"/>
    <cellStyle name="Currency 2 2 2 3 2 2 4 2" xfId="38715"/>
    <cellStyle name="Currency 2 2 2 4 2 2 4 2" xfId="38716"/>
    <cellStyle name="Currency 2 2 2 5 2 2 4 2" xfId="38717"/>
    <cellStyle name="Currency 2 2 3 6 2 4 2" xfId="38718"/>
    <cellStyle name="Currency 2 2 3 2 2 2 4 2" xfId="38719"/>
    <cellStyle name="Currency 2 2 3 3 2 2 4 2" xfId="38720"/>
    <cellStyle name="Currency 2 2 3 4 2 2 4 2" xfId="38721"/>
    <cellStyle name="Currency 2 2 3 5 2 2 4 2" xfId="38722"/>
    <cellStyle name="Currency 2 2 4 2 2 4 2" xfId="38723"/>
    <cellStyle name="Currency 2 2 5 2 2 4 2" xfId="38724"/>
    <cellStyle name="Currency 2 2 6 2 2 4 2" xfId="38725"/>
    <cellStyle name="Currency 2 2 7 2 2 4 2" xfId="38726"/>
    <cellStyle name="Currency 2 2 8 2 2 4 2" xfId="38727"/>
    <cellStyle name="Currency 2 2 9 2 2 4 2" xfId="38728"/>
    <cellStyle name="Currency 3 10 2 2 4 2" xfId="38729"/>
    <cellStyle name="Currency 3 11 2 2 4 2" xfId="38730"/>
    <cellStyle name="Currency 3 12 2 2 4 2" xfId="38731"/>
    <cellStyle name="Currency 3 13 2 2 4 2" xfId="38732"/>
    <cellStyle name="Currency 3 14 2 2 4 2" xfId="38733"/>
    <cellStyle name="Currency 3 15 2 2 4 2" xfId="38734"/>
    <cellStyle name="Currency 3 16 2 2 4 2" xfId="38735"/>
    <cellStyle name="Currency 3 17 2 2 4 2" xfId="38736"/>
    <cellStyle name="Currency 3 18 2 2 4 2" xfId="38737"/>
    <cellStyle name="Currency 3 19 2 2 4 2" xfId="38738"/>
    <cellStyle name="Currency 3 2 2 2 2 4 2" xfId="38739"/>
    <cellStyle name="Currency 3 2 3 2 2 4 2" xfId="38740"/>
    <cellStyle name="Currency 3 2 4 2 2 4 2" xfId="38741"/>
    <cellStyle name="Currency 3 2 5 2 2 4 2" xfId="38742"/>
    <cellStyle name="Currency 3 20 2 2 4 2" xfId="38743"/>
    <cellStyle name="Currency 3 21 2 2 4 2" xfId="38744"/>
    <cellStyle name="Currency 3 3 8 2 4 2" xfId="38745"/>
    <cellStyle name="Currency 3 3 2 2 2 4 2" xfId="38746"/>
    <cellStyle name="Currency 3 3 3 2 2 4 2" xfId="38747"/>
    <cellStyle name="Currency 3 3 4 2 2 4 2" xfId="38748"/>
    <cellStyle name="Currency 3 3 5 2 2 4 2" xfId="38749"/>
    <cellStyle name="Currency 3 3 6 2 2 4 2" xfId="38750"/>
    <cellStyle name="Currency 3 4 3 2 4 2" xfId="38751"/>
    <cellStyle name="Currency 3 4 2 2 2 4 2" xfId="38752"/>
    <cellStyle name="Currency 3 5 3 2 4 2" xfId="38753"/>
    <cellStyle name="Currency 3 5 2 2 2 4 2" xfId="38754"/>
    <cellStyle name="Currency 3 6 3 2 4 2" xfId="38755"/>
    <cellStyle name="Currency 3 6 2 2 2 4 2" xfId="38756"/>
    <cellStyle name="Currency 3 7 2 2 4 2" xfId="38757"/>
    <cellStyle name="Currency 3 8 2 2 4 2" xfId="38758"/>
    <cellStyle name="Currency 3 9 2 2 4 2" xfId="38759"/>
    <cellStyle name="Normal 10 3 6 2 4 2" xfId="38760"/>
    <cellStyle name="Normal 10 3 2 5 2 4 2" xfId="38761"/>
    <cellStyle name="Normal 10 3 2 2 3 2 4 2" xfId="38762"/>
    <cellStyle name="Normal 10 3 2 2 2 2 2 4 2" xfId="38763"/>
    <cellStyle name="Normal 10 3 2 3 3 2 4 2" xfId="38764"/>
    <cellStyle name="Normal 10 3 2 3 2 2 2 4 2" xfId="38765"/>
    <cellStyle name="Normal 10 3 2 4 2 2 4 2" xfId="38766"/>
    <cellStyle name="Normal 10 3 3 3 2 4 2" xfId="38767"/>
    <cellStyle name="Normal 10 3 3 2 2 2 4 2" xfId="38768"/>
    <cellStyle name="Normal 10 3 4 3 2 4 2" xfId="38769"/>
    <cellStyle name="Normal 10 3 4 2 2 2 4 2" xfId="38770"/>
    <cellStyle name="Normal 10 3 5 2 2 4 2" xfId="38771"/>
    <cellStyle name="Normal 10 4 5 2 4 2" xfId="38772"/>
    <cellStyle name="Normal 10 4 2 3 2 4 2" xfId="38773"/>
    <cellStyle name="Normal 10 4 2 2 2 2 4 2" xfId="38774"/>
    <cellStyle name="Normal 10 4 3 3 2 4 2" xfId="38775"/>
    <cellStyle name="Normal 10 4 3 2 2 2 4 2" xfId="38776"/>
    <cellStyle name="Normal 10 4 4 2 2 4 2" xfId="38777"/>
    <cellStyle name="Normal 10 5 5 2 4 2" xfId="38778"/>
    <cellStyle name="Normal 10 5 2 3 2 4 2" xfId="38779"/>
    <cellStyle name="Normal 10 5 2 2 2 2 4 2" xfId="38780"/>
    <cellStyle name="Normal 10 5 3 3 2 4 2" xfId="38781"/>
    <cellStyle name="Normal 10 5 3 2 2 2 4 2" xfId="38782"/>
    <cellStyle name="Normal 10 5 4 2 2 4 2" xfId="38783"/>
    <cellStyle name="Normal 10 6 3 2 4 2" xfId="38784"/>
    <cellStyle name="Normal 10 6 2 2 2 4 2" xfId="38785"/>
    <cellStyle name="Normal 10 7 3 2 4 2" xfId="38786"/>
    <cellStyle name="Normal 10 7 2 2 2 4 2" xfId="38787"/>
    <cellStyle name="Normal 10 8 2 2 2 4 2" xfId="38788"/>
    <cellStyle name="Normal 10 9 2 2 4 2" xfId="38789"/>
    <cellStyle name="Normal 11 4 2 2 4 2" xfId="38790"/>
    <cellStyle name="Normal 11 3 2 2 4 2" xfId="38791"/>
    <cellStyle name="Normal 12 8 2 4 2" xfId="38792"/>
    <cellStyle name="Normal 12 2 2 5 2 4 2" xfId="38793"/>
    <cellStyle name="Normal 12 2 2 2 3 2 4 2" xfId="38794"/>
    <cellStyle name="Normal 12 2 2 2 2 2 2 4 2" xfId="38795"/>
    <cellStyle name="Normal 12 2 2 3 3 2 4 2" xfId="38796"/>
    <cellStyle name="Normal 12 2 2 3 2 2 2 4 2" xfId="38797"/>
    <cellStyle name="Normal 12 2 2 4 2 2 4 2" xfId="38798"/>
    <cellStyle name="Normal 12 2 3 3 2 4 2" xfId="38799"/>
    <cellStyle name="Normal 12 2 3 2 2 2 4 2" xfId="38800"/>
    <cellStyle name="Normal 12 2 4 3 2 4 2" xfId="38801"/>
    <cellStyle name="Normal 12 2 4 2 2 2 4 2" xfId="38802"/>
    <cellStyle name="Normal 12 2 5 2 2 2 4 2" xfId="38803"/>
    <cellStyle name="Normal 12 2 6 2 2 4 2" xfId="38804"/>
    <cellStyle name="Normal 12 3 5 2 4 2" xfId="38805"/>
    <cellStyle name="Normal 12 3 2 3 2 4 2" xfId="38806"/>
    <cellStyle name="Normal 12 3 2 2 2 2 4 2" xfId="38807"/>
    <cellStyle name="Normal 12 3 3 3 2 4 2" xfId="38808"/>
    <cellStyle name="Normal 12 3 3 2 2 2 4 2" xfId="38809"/>
    <cellStyle name="Normal 12 3 4 2 2 4 2" xfId="38810"/>
    <cellStyle name="Normal 12 4 5 2 4 2" xfId="38811"/>
    <cellStyle name="Normal 12 4 2 3 2 4 2" xfId="38812"/>
    <cellStyle name="Normal 12 4 2 2 2 2 4 2" xfId="38813"/>
    <cellStyle name="Normal 12 4 3 3 2 4 2" xfId="38814"/>
    <cellStyle name="Normal 12 4 3 2 2 2 4 2" xfId="38815"/>
    <cellStyle name="Normal 12 4 4 2 2 4 2" xfId="38816"/>
    <cellStyle name="Normal 12 5 3 2 4 2" xfId="38817"/>
    <cellStyle name="Normal 12 5 2 2 2 4 2" xfId="38818"/>
    <cellStyle name="Normal 12 6 3 2 4 2" xfId="38819"/>
    <cellStyle name="Normal 12 6 2 2 2 4 2" xfId="38820"/>
    <cellStyle name="Normal 12 7 2 2 4 2" xfId="38821"/>
    <cellStyle name="Normal 15 6 2 4 2" xfId="38822"/>
    <cellStyle name="Normal 15 3 2 2 4 2" xfId="38823"/>
    <cellStyle name="Normal 16 2 5 2 4 2" xfId="38824"/>
    <cellStyle name="Normal 16 2 2 3 2 4 2" xfId="38825"/>
    <cellStyle name="Normal 16 2 2 2 2 2 4 2" xfId="38826"/>
    <cellStyle name="Normal 16 2 3 3 2 4 2" xfId="38827"/>
    <cellStyle name="Normal 16 2 3 2 2 2 4 2" xfId="38828"/>
    <cellStyle name="Normal 16 2 4 2 2 4 2" xfId="38829"/>
    <cellStyle name="Normal 16 3 3 2 4 2" xfId="38830"/>
    <cellStyle name="Normal 16 3 2 2 2 4 2" xfId="38831"/>
    <cellStyle name="Normal 16 4 3 2 4 2" xfId="38832"/>
    <cellStyle name="Normal 16 4 2 2 2 4 2" xfId="38833"/>
    <cellStyle name="Normal 16 5 2 2 2 4 2" xfId="38834"/>
    <cellStyle name="Normal 16 6 2 2 4 2" xfId="38835"/>
    <cellStyle name="Normal 17 2 5 2 4 2" xfId="38836"/>
    <cellStyle name="Normal 17 2 2 3 2 4 2" xfId="38837"/>
    <cellStyle name="Normal 17 2 2 2 2 2 4 2" xfId="38838"/>
    <cellStyle name="Normal 17 2 3 3 2 4 2" xfId="38839"/>
    <cellStyle name="Normal 17 2 3 2 2 2 4 2" xfId="38840"/>
    <cellStyle name="Normal 17 2 4 2 2 4 2" xfId="38841"/>
    <cellStyle name="Normal 17 3 3 2 4 2" xfId="38842"/>
    <cellStyle name="Normal 17 3 2 2 2 4 2" xfId="38843"/>
    <cellStyle name="Normal 17 4 3 2 4 2" xfId="38844"/>
    <cellStyle name="Normal 17 4 2 2 2 4 2" xfId="38845"/>
    <cellStyle name="Normal 17 5 2 2 2 4 2" xfId="38846"/>
    <cellStyle name="Normal 17 6 2 2 4 2" xfId="38847"/>
    <cellStyle name="Normal 2 10 3 2 2 4 2" xfId="38848"/>
    <cellStyle name="Normal 2 11 3 2 2 4 2" xfId="38849"/>
    <cellStyle name="Normal 2 12 3 2 2 4 2" xfId="38850"/>
    <cellStyle name="Normal 2 13 3 2 2 4 2" xfId="38851"/>
    <cellStyle name="Normal 2 14 3 2 2 4 2" xfId="38852"/>
    <cellStyle name="Normal 2 15 3 2 2 4 2" xfId="38853"/>
    <cellStyle name="Normal 2 16 3 2 2 4 2" xfId="38854"/>
    <cellStyle name="Normal 2 17 3 2 2 4 2" xfId="38855"/>
    <cellStyle name="Normal 2 18 3 2 2 4 2" xfId="38856"/>
    <cellStyle name="Normal 2 19 3 2 2 4 2" xfId="38857"/>
    <cellStyle name="Normal 2 2 10 2 2 4 2" xfId="38858"/>
    <cellStyle name="Normal 2 2 11 2 2 4 2" xfId="38859"/>
    <cellStyle name="Normal 2 2 12 2 2 4 2" xfId="38860"/>
    <cellStyle name="Normal 2 2 13 2 2 4 2" xfId="38861"/>
    <cellStyle name="Normal 2 2 14 2 2 4 2" xfId="38862"/>
    <cellStyle name="Normal 2 2 15 2 2 4 2" xfId="38863"/>
    <cellStyle name="Normal 2 2 16 2 2 4 2" xfId="38864"/>
    <cellStyle name="Normal 2 2 17 2 2 4 2" xfId="38865"/>
    <cellStyle name="Normal 2 2 18 2 2 4 2" xfId="38866"/>
    <cellStyle name="Normal 2 2 19 2 2 4 2" xfId="38867"/>
    <cellStyle name="Normal 2 2 2 2 6 2 4 2" xfId="38868"/>
    <cellStyle name="Normal 2 2 2 2 2 3 2 4 2" xfId="38869"/>
    <cellStyle name="Normal 2 2 2 2 2 2 2 2 4 2" xfId="38870"/>
    <cellStyle name="Normal 2 2 2 2 3 2 2 4 2" xfId="38871"/>
    <cellStyle name="Normal 2 2 2 2 4 2 2 4 2" xfId="38872"/>
    <cellStyle name="Normal 2 2 2 2 5 2 2 4 2" xfId="38873"/>
    <cellStyle name="Normal 2 2 20 2 2 4 2" xfId="38874"/>
    <cellStyle name="Normal 2 2 21 2 2 4 2" xfId="38875"/>
    <cellStyle name="Normal 2 2 22 2 2 4 2" xfId="38876"/>
    <cellStyle name="Normal 2 2 3 9 2 4 2" xfId="38877"/>
    <cellStyle name="Normal 2 2 3 2 2 2 4 2" xfId="38878"/>
    <cellStyle name="Normal 2 2 3 3 2 2 4 2" xfId="38879"/>
    <cellStyle name="Normal 2 2 3 4 2 2 4 2" xfId="38880"/>
    <cellStyle name="Normal 2 2 3 5 2 2 4 2" xfId="38881"/>
    <cellStyle name="Normal 2 2 3 6 2 2 4 2" xfId="38882"/>
    <cellStyle name="Normal 2 2 4 5 2 4 2" xfId="38883"/>
    <cellStyle name="Normal 2 2 4 2 2 2 4 2" xfId="38884"/>
    <cellStyle name="Normal 2 2 5 4 2 4 2" xfId="38885"/>
    <cellStyle name="Normal 2 2 5 2 2 2 4 2" xfId="38886"/>
    <cellStyle name="Normal 2 2 6 2 2 4 2" xfId="38887"/>
    <cellStyle name="Normal 2 2 7 2 2 4 2" xfId="38888"/>
    <cellStyle name="Normal 2 2 8 2 2 4 2" xfId="38889"/>
    <cellStyle name="Normal 2 2 9 2 2 4 2" xfId="38890"/>
    <cellStyle name="Normal 2 20 2 2 4 2" xfId="38891"/>
    <cellStyle name="Normal 2 3 2 3 2 4 2" xfId="38892"/>
    <cellStyle name="Normal 2 3 3 2 2 4 2" xfId="38893"/>
    <cellStyle name="Normal 2 3 4 2 2 4 2" xfId="38894"/>
    <cellStyle name="Normal 2 3 5 2 2 4 2" xfId="38895"/>
    <cellStyle name="Normal 2 3 6 2 2 4 2" xfId="38896"/>
    <cellStyle name="Normal 2 4 5 2 2 4 2" xfId="38897"/>
    <cellStyle name="Normal 2 4 2 2 2 4 2" xfId="38898"/>
    <cellStyle name="Normal 2 5 3 2 2 4 2" xfId="38899"/>
    <cellStyle name="Normal 2 6 3 2 2 4 2" xfId="38900"/>
    <cellStyle name="Normal 2 7 3 2 2 4 2" xfId="38901"/>
    <cellStyle name="Normal 2 8 3 2 2 4 2" xfId="38902"/>
    <cellStyle name="Normal 2 9 3 2 2 4 2" xfId="38903"/>
    <cellStyle name="Normal 21 9 2 4 2" xfId="38904"/>
    <cellStyle name="Normal 21 2 7 2 4 2" xfId="38905"/>
    <cellStyle name="Normal 21 2 2 2 2 4 2" xfId="38906"/>
    <cellStyle name="Normal 21 2 3 2 2 4 2" xfId="38907"/>
    <cellStyle name="Normal 21 2 4 2 2 4 2" xfId="38908"/>
    <cellStyle name="Normal 21 2 5 2 2 4 2" xfId="38909"/>
    <cellStyle name="Normal 21 2 6 2 2 4 2" xfId="38910"/>
    <cellStyle name="Normal 21 3 3 2 4 2" xfId="38911"/>
    <cellStyle name="Normal 21 3 2 2 2 4 2" xfId="38912"/>
    <cellStyle name="Normal 21 4 2 2 4 2" xfId="38913"/>
    <cellStyle name="Normal 21 5 2 2 4 2" xfId="38914"/>
    <cellStyle name="Normal 21 6 2 2 4 2" xfId="38915"/>
    <cellStyle name="Normal 21 8 2 2 4 2" xfId="38916"/>
    <cellStyle name="Normal 22 8 2 4 2" xfId="38917"/>
    <cellStyle name="Normal 22 2 7 2 4 2" xfId="38918"/>
    <cellStyle name="Normal 22 2 2 2 2 4 2" xfId="38919"/>
    <cellStyle name="Normal 22 2 3 2 2 4 2" xfId="38920"/>
    <cellStyle name="Normal 22 2 4 2 2 4 2" xfId="38921"/>
    <cellStyle name="Normal 22 2 5 2 2 4 2" xfId="38922"/>
    <cellStyle name="Normal 22 3 2 2 4 2" xfId="38923"/>
    <cellStyle name="Normal 22 4 2 2 4 2" xfId="38924"/>
    <cellStyle name="Normal 22 5 2 2 4 2" xfId="38925"/>
    <cellStyle name="Normal 22 6 2 2 4 2" xfId="38926"/>
    <cellStyle name="Normal 23 8 2 4 2" xfId="38927"/>
    <cellStyle name="Normal 23 2 6 2 4 2" xfId="38928"/>
    <cellStyle name="Normal 23 2 2 2 2 4 2" xfId="38929"/>
    <cellStyle name="Normal 23 2 3 2 2 4 2" xfId="38930"/>
    <cellStyle name="Normal 23 2 4 2 2 4 2" xfId="38931"/>
    <cellStyle name="Normal 23 2 5 2 2 4 2" xfId="38932"/>
    <cellStyle name="Normal 23 3 2 2 4 2" xfId="38933"/>
    <cellStyle name="Normal 23 4 2 2 4 2" xfId="38934"/>
    <cellStyle name="Normal 23 5 2 2 4 2" xfId="38935"/>
    <cellStyle name="Normal 23 6 2 2 4 2" xfId="38936"/>
    <cellStyle name="Normal 24 8 2 4 2" xfId="38937"/>
    <cellStyle name="Normal 24 2 6 2 4 2" xfId="38938"/>
    <cellStyle name="Normal 24 2 2 2 2 4 2" xfId="38939"/>
    <cellStyle name="Normal 24 2 3 2 2 4 2" xfId="38940"/>
    <cellStyle name="Normal 24 2 4 2 2 4 2" xfId="38941"/>
    <cellStyle name="Normal 24 2 5 2 2 4 2" xfId="38942"/>
    <cellStyle name="Normal 24 3 2 2 4 2" xfId="38943"/>
    <cellStyle name="Normal 24 4 2 2 4 2" xfId="38944"/>
    <cellStyle name="Normal 24 5 2 2 4 2" xfId="38945"/>
    <cellStyle name="Normal 24 6 2 2 4 2" xfId="38946"/>
    <cellStyle name="Normal 26 8 2 4 2" xfId="38947"/>
    <cellStyle name="Normal 26 2 6 2 4 2" xfId="38948"/>
    <cellStyle name="Normal 26 2 2 2 2 4 2" xfId="38949"/>
    <cellStyle name="Normal 26 2 3 2 2 4 2" xfId="38950"/>
    <cellStyle name="Normal 26 2 4 2 2 4 2" xfId="38951"/>
    <cellStyle name="Normal 26 2 5 2 2 4 2" xfId="38952"/>
    <cellStyle name="Normal 26 3 2 2 4 2" xfId="38953"/>
    <cellStyle name="Normal 26 4 2 2 4 2" xfId="38954"/>
    <cellStyle name="Normal 26 5 2 2 4 2" xfId="38955"/>
    <cellStyle name="Normal 26 6 2 2 4 2" xfId="38956"/>
    <cellStyle name="Normal 3 10 2 2 4 2" xfId="38957"/>
    <cellStyle name="Normal 3 11 2 2 4 2" xfId="38958"/>
    <cellStyle name="Normal 3 12 2 2 4 2" xfId="38959"/>
    <cellStyle name="Normal 3 13 2 2 4 2" xfId="38960"/>
    <cellStyle name="Normal 3 14 2 2 4 2" xfId="38961"/>
    <cellStyle name="Normal 3 15 2 2 4 2" xfId="38962"/>
    <cellStyle name="Normal 3 16 2 2 4 2" xfId="38963"/>
    <cellStyle name="Normal 3 17 2 2 4 2" xfId="38964"/>
    <cellStyle name="Normal 3 18 2 2 4 2" xfId="38965"/>
    <cellStyle name="Normal 3 19 2 2 4 2" xfId="38966"/>
    <cellStyle name="Normal 3 2 2 2 2 4 2" xfId="38967"/>
    <cellStyle name="Normal 3 2 3 2 2 4 2" xfId="38968"/>
    <cellStyle name="Normal 3 2 4 2 2 4 2" xfId="38969"/>
    <cellStyle name="Normal 3 2 5 2 2 4 2" xfId="38970"/>
    <cellStyle name="Normal 3 2 6 2 2 4 2" xfId="38971"/>
    <cellStyle name="Normal 3 20 2 2 4 2" xfId="38972"/>
    <cellStyle name="Normal 3 21 2 2 4 2" xfId="38973"/>
    <cellStyle name="Normal 3 22 2 2 4 2" xfId="38974"/>
    <cellStyle name="Normal 3 23 2 2 4 2" xfId="38975"/>
    <cellStyle name="Normal 3 24 2 2 4 2" xfId="38976"/>
    <cellStyle name="Normal 3 3 5 2 4 2" xfId="38977"/>
    <cellStyle name="Normal 3 3 2 2 2 4 2" xfId="38978"/>
    <cellStyle name="Normal 3 3 3 2 2 4 2" xfId="38979"/>
    <cellStyle name="Normal 3 4 3 2 4 2" xfId="38980"/>
    <cellStyle name="Normal 3 4 2 2 2 4 2" xfId="38981"/>
    <cellStyle name="Normal 3 5 3 2 4 2" xfId="38982"/>
    <cellStyle name="Normal 3 5 2 2 2 4 2" xfId="38983"/>
    <cellStyle name="Normal 3 6 2 2 4 2" xfId="38984"/>
    <cellStyle name="Normal 3 7 2 2 4 2" xfId="38985"/>
    <cellStyle name="Normal 3 8 2 2 4 2" xfId="38986"/>
    <cellStyle name="Normal 3 9 2 2 4 2" xfId="38987"/>
    <cellStyle name="Normal 4 2 10 2 2 4 2" xfId="38988"/>
    <cellStyle name="Normal 4 2 11 2 2 4 2" xfId="38989"/>
    <cellStyle name="Normal 4 2 12 2 2 4 2" xfId="38990"/>
    <cellStyle name="Normal 4 2 13 2 2 4 2" xfId="38991"/>
    <cellStyle name="Normal 4 2 14 2 2 4 2" xfId="38992"/>
    <cellStyle name="Normal 4 2 15 2 2 4 2" xfId="38993"/>
    <cellStyle name="Normal 4 2 16 2 2 4 2" xfId="38994"/>
    <cellStyle name="Normal 4 2 17 2 2 4 2" xfId="38995"/>
    <cellStyle name="Normal 4 2 18 2 2 4 2" xfId="38996"/>
    <cellStyle name="Normal 4 2 19 2 2 4 2" xfId="38997"/>
    <cellStyle name="Normal 4 2 2 6 2 4 2" xfId="38998"/>
    <cellStyle name="Normal 4 2 2 2 2 2 4 2" xfId="38999"/>
    <cellStyle name="Normal 4 2 2 3 2 2 4 2" xfId="39000"/>
    <cellStyle name="Normal 4 2 2 4 2 2 4 2" xfId="39001"/>
    <cellStyle name="Normal 4 2 2 5 2 2 4 2" xfId="39002"/>
    <cellStyle name="Normal 4 2 20 2 2 4 2" xfId="39003"/>
    <cellStyle name="Normal 4 2 21 2 2 4 2" xfId="39004"/>
    <cellStyle name="Normal 4 2 22 2 2 4 2" xfId="39005"/>
    <cellStyle name="Normal 4 2 23 2 2 4 2" xfId="39006"/>
    <cellStyle name="Normal 4 2 24 2 2 4 2" xfId="39007"/>
    <cellStyle name="Normal 4 2 3 3 2 4 2" xfId="39008"/>
    <cellStyle name="Normal 4 2 3 2 2 2 4 2" xfId="39009"/>
    <cellStyle name="Normal 4 2 4 3 2 4 2" xfId="39010"/>
    <cellStyle name="Normal 4 2 4 2 2 2 4 2" xfId="39011"/>
    <cellStyle name="Normal 4 2 5 3 2 4 2" xfId="39012"/>
    <cellStyle name="Normal 4 2 5 2 2 2 4 2" xfId="39013"/>
    <cellStyle name="Normal 4 2 6 2 2 4 2" xfId="39014"/>
    <cellStyle name="Normal 4 2 7 2 2 4 2" xfId="39015"/>
    <cellStyle name="Normal 4 2 8 2 2 4 2" xfId="39016"/>
    <cellStyle name="Normal 4 2 9 2 2 4 2" xfId="39017"/>
    <cellStyle name="Normal 4 3 7 2 4 2" xfId="39018"/>
    <cellStyle name="Normal 4 3 2 6 2 4 2" xfId="39019"/>
    <cellStyle name="Normal 4 3 2 2 5 2 4 2" xfId="39020"/>
    <cellStyle name="Normal 4 3 2 2 2 3 2 4 2" xfId="39021"/>
    <cellStyle name="Normal 4 3 2 2 2 2 2 2 4 2" xfId="39022"/>
    <cellStyle name="Normal 4 3 2 2 3 3 2 4 2" xfId="39023"/>
    <cellStyle name="Normal 4 3 2 2 3 2 2 2 4 2" xfId="39024"/>
    <cellStyle name="Normal 4 3 2 2 4 2 2 4 2" xfId="39025"/>
    <cellStyle name="Normal 4 3 2 3 3 2 4 2" xfId="39026"/>
    <cellStyle name="Normal 4 3 2 3 2 2 2 4 2" xfId="39027"/>
    <cellStyle name="Normal 4 3 2 4 3 2 4 2" xfId="39028"/>
    <cellStyle name="Normal 4 3 2 4 2 2 2 4 2" xfId="39029"/>
    <cellStyle name="Normal 4 3 2 5 2 2 4 2" xfId="39030"/>
    <cellStyle name="Normal 4 3 3 5 2 4 2" xfId="39031"/>
    <cellStyle name="Normal 4 3 3 2 3 2 4 2" xfId="39032"/>
    <cellStyle name="Normal 4 3 3 2 2 2 2 4 2" xfId="39033"/>
    <cellStyle name="Normal 4 3 3 3 3 2 4 2" xfId="39034"/>
    <cellStyle name="Normal 4 3 3 3 2 2 2 4 2" xfId="39035"/>
    <cellStyle name="Normal 4 3 3 4 2 2 4 2" xfId="39036"/>
    <cellStyle name="Normal 4 3 4 3 2 4 2" xfId="39037"/>
    <cellStyle name="Normal 4 3 4 2 2 2 4 2" xfId="39038"/>
    <cellStyle name="Normal 4 3 5 3 2 4 2" xfId="39039"/>
    <cellStyle name="Normal 4 3 5 2 2 2 4 2" xfId="39040"/>
    <cellStyle name="Normal 4 3 6 2 2 4 2" xfId="39041"/>
    <cellStyle name="Normal 4 4 4 2 4 2" xfId="39042"/>
    <cellStyle name="Normal 4 4 2 2 2 4 2" xfId="39043"/>
    <cellStyle name="Normal 4 5 2 2 4 2" xfId="39044"/>
    <cellStyle name="Normal 4 6 2 2 4 2" xfId="39045"/>
    <cellStyle name="Normal 4 7 2 2 4 2" xfId="39046"/>
    <cellStyle name="Normal 4 8 2 2 4 2" xfId="39047"/>
    <cellStyle name="Normal 41 2 2 2 4 2" xfId="39048"/>
    <cellStyle name="Normal 46 2 2 4 2" xfId="39049"/>
    <cellStyle name="Normal 5 28 2 2 4 2" xfId="39050"/>
    <cellStyle name="Normal 5 2 7 2 4 2" xfId="39051"/>
    <cellStyle name="Normal 5 2 2 2 2 2 2 4 2" xfId="39052"/>
    <cellStyle name="Normal 5 2 2 3 2 2 4 2" xfId="39053"/>
    <cellStyle name="Normal 5 2 3 2 2 2 2 4 2" xfId="39054"/>
    <cellStyle name="Normal 5 2 3 3 2 2 4 2" xfId="39055"/>
    <cellStyle name="Normal 5 2 4 2 2 2 4 2" xfId="39056"/>
    <cellStyle name="Normal 5 2 6 2 2 4 2" xfId="39057"/>
    <cellStyle name="Normal 5 24 2 2 4 2" xfId="39058"/>
    <cellStyle name="Normal 5 3 3 2 4 2" xfId="39059"/>
    <cellStyle name="Normal 5 4 3 2 4 2" xfId="39060"/>
    <cellStyle name="Normal 5 5 3 2 4 2" xfId="39061"/>
    <cellStyle name="Normal 5 6 3 2 4 2" xfId="39062"/>
    <cellStyle name="Normal 5 7 3 2 4 2" xfId="39063"/>
    <cellStyle name="Normal 7 25 2 2 4 2" xfId="39064"/>
    <cellStyle name="Normal 7 10 2 2 4 2" xfId="39065"/>
    <cellStyle name="Normal 7 11 2 2 4 2" xfId="39066"/>
    <cellStyle name="Normal 7 12 2 2 4 2" xfId="39067"/>
    <cellStyle name="Normal 7 13 2 2 4 2" xfId="39068"/>
    <cellStyle name="Normal 7 14 2 2 4 2" xfId="39069"/>
    <cellStyle name="Normal 7 15 2 2 4 2" xfId="39070"/>
    <cellStyle name="Normal 7 16 2 2 4 2" xfId="39071"/>
    <cellStyle name="Normal 7 17 2 2 4 2" xfId="39072"/>
    <cellStyle name="Normal 7 18 2 2 4 2" xfId="39073"/>
    <cellStyle name="Normal 7 19 2 2 4 2" xfId="39074"/>
    <cellStyle name="Normal 7 2 6 2 4 2" xfId="39075"/>
    <cellStyle name="Normal 7 2 2 2 2 4 2" xfId="39076"/>
    <cellStyle name="Normal 7 2 3 2 2 4 2" xfId="39077"/>
    <cellStyle name="Normal 7 2 4 2 2 4 2" xfId="39078"/>
    <cellStyle name="Normal 7 2 5 2 2 4 2" xfId="39079"/>
    <cellStyle name="Normal 7 20 2 2 4 2" xfId="39080"/>
    <cellStyle name="Normal 7 22 2 2 4 2" xfId="39081"/>
    <cellStyle name="Normal 7 3 6 2 4 2" xfId="39082"/>
    <cellStyle name="Normal 7 3 2 2 2 4 2" xfId="39083"/>
    <cellStyle name="Normal 7 3 3 2 2 4 2" xfId="39084"/>
    <cellStyle name="Normal 7 3 4 2 2 4 2" xfId="39085"/>
    <cellStyle name="Normal 7 3 5 2 2 4 2" xfId="39086"/>
    <cellStyle name="Normal 7 4 2 2 4 2" xfId="39087"/>
    <cellStyle name="Normal 7 5 2 2 4 2" xfId="39088"/>
    <cellStyle name="Normal 7 6 2 2 4 2" xfId="39089"/>
    <cellStyle name="Normal 7 7 2 2 4 2" xfId="39090"/>
    <cellStyle name="Normal 7 8 2 2 4 2" xfId="39091"/>
    <cellStyle name="Normal 7 9 2 2 4 2" xfId="39092"/>
    <cellStyle name="Normal 8 25 2 2 4 2" xfId="39093"/>
    <cellStyle name="Normal 8 10 2 2 4 2" xfId="39094"/>
    <cellStyle name="Normal 8 11 2 2 4 2" xfId="39095"/>
    <cellStyle name="Normal 8 12 2 2 4 2" xfId="39096"/>
    <cellStyle name="Normal 8 13 2 2 4 2" xfId="39097"/>
    <cellStyle name="Normal 8 14 2 2 4 2" xfId="39098"/>
    <cellStyle name="Normal 8 15 2 2 4 2" xfId="39099"/>
    <cellStyle name="Normal 8 16 2 2 4 2" xfId="39100"/>
    <cellStyle name="Normal 8 17 2 2 4 2" xfId="39101"/>
    <cellStyle name="Normal 8 18 2 2 4 2" xfId="39102"/>
    <cellStyle name="Normal 8 19 2 2 4 2" xfId="39103"/>
    <cellStyle name="Normal 8 2 6 2 2 4 2" xfId="39104"/>
    <cellStyle name="Normal 8 2 2 2 2 2 4 2" xfId="39105"/>
    <cellStyle name="Normal 8 2 3 2 2 4 2" xfId="39106"/>
    <cellStyle name="Normal 8 2 4 2 2 4 2" xfId="39107"/>
    <cellStyle name="Normal 8 2 5 2 2 4 2" xfId="39108"/>
    <cellStyle name="Normal 8 20 2 2 4 2" xfId="39109"/>
    <cellStyle name="Normal 8 22 2 2 4 2" xfId="39110"/>
    <cellStyle name="Normal 8 3 6 2 2 4 2" xfId="39111"/>
    <cellStyle name="Normal 8 3 2 2 2 4 2" xfId="39112"/>
    <cellStyle name="Normal 8 3 3 2 2 4 2" xfId="39113"/>
    <cellStyle name="Normal 8 3 4 2 2 4 2" xfId="39114"/>
    <cellStyle name="Normal 8 3 5 2 2 4 2" xfId="39115"/>
    <cellStyle name="Normal 8 4 2 2 4 2" xfId="39116"/>
    <cellStyle name="Normal 8 5 2 2 4 2" xfId="39117"/>
    <cellStyle name="Normal 8 6 2 2 4 2" xfId="39118"/>
    <cellStyle name="Normal 8 7 2 2 4 2" xfId="39119"/>
    <cellStyle name="Normal 8 8 2 2 4 2" xfId="39120"/>
    <cellStyle name="Normal 8 9 2 2 4 2" xfId="39121"/>
    <cellStyle name="Normal 9 25 2 2 4 2" xfId="39122"/>
    <cellStyle name="Normal 9 10 2 2 4 2" xfId="39123"/>
    <cellStyle name="Normal 9 11 2 2 4 2" xfId="39124"/>
    <cellStyle name="Normal 9 12 2 2 4 2" xfId="39125"/>
    <cellStyle name="Normal 9 13 2 2 4 2" xfId="39126"/>
    <cellStyle name="Normal 9 14 2 2 4 2" xfId="39127"/>
    <cellStyle name="Normal 9 15 2 2 4 2" xfId="39128"/>
    <cellStyle name="Normal 9 16 2 2 4 2" xfId="39129"/>
    <cellStyle name="Normal 9 17 2 2 4 2" xfId="39130"/>
    <cellStyle name="Normal 9 18 2 2 4 2" xfId="39131"/>
    <cellStyle name="Normal 9 19 2 2 4 2" xfId="39132"/>
    <cellStyle name="Normal 9 2 6 2 4 2" xfId="39133"/>
    <cellStyle name="Normal 9 2 2 2 2 4 2" xfId="39134"/>
    <cellStyle name="Normal 9 2 3 2 2 4 2" xfId="39135"/>
    <cellStyle name="Normal 9 2 4 2 2 4 2" xfId="39136"/>
    <cellStyle name="Normal 9 2 5 2 2 4 2" xfId="39137"/>
    <cellStyle name="Normal 9 20 2 2 4 2" xfId="39138"/>
    <cellStyle name="Normal 9 22 2 2 4 2" xfId="39139"/>
    <cellStyle name="Normal 9 3 6 2 4 2" xfId="39140"/>
    <cellStyle name="Normal 9 3 2 2 2 4 2" xfId="39141"/>
    <cellStyle name="Normal 9 3 3 2 2 4 2" xfId="39142"/>
    <cellStyle name="Normal 9 3 4 2 2 4 2" xfId="39143"/>
    <cellStyle name="Normal 9 3 5 2 2 4 2" xfId="39144"/>
    <cellStyle name="Normal 9 4 2 2 4 2" xfId="39145"/>
    <cellStyle name="Normal 9 5 2 2 4 2" xfId="39146"/>
    <cellStyle name="Normal 9 6 2 2 4 2" xfId="39147"/>
    <cellStyle name="Normal 9 7 2 2 4 2" xfId="39148"/>
    <cellStyle name="Normal 9 8 2 2 4 2" xfId="39149"/>
    <cellStyle name="Normal 9 9 2 2 4 2" xfId="39150"/>
    <cellStyle name="Note 2 2 2 4 2" xfId="39151"/>
    <cellStyle name="Note 3 2 2 4 2" xfId="39152"/>
    <cellStyle name="Note 4 2 2 4 2" xfId="39153"/>
    <cellStyle name="Note 7 2 2 4 2" xfId="39154"/>
    <cellStyle name="Percent 120 2 2 4 2" xfId="39155"/>
    <cellStyle name="Percent 121 2 2 4 2" xfId="39156"/>
    <cellStyle name="Percent 122 2 2 4 2" xfId="39157"/>
    <cellStyle name="Percent 123 2 2 4 2" xfId="39158"/>
    <cellStyle name="Percent 124 2 2 4 2" xfId="39159"/>
    <cellStyle name="Percent 125 2 2 4 2" xfId="39160"/>
    <cellStyle name="Percent 126 2 2 4 2" xfId="39161"/>
    <cellStyle name="Percent 127 2 2 4 2" xfId="39162"/>
    <cellStyle name="Percent 128 2 2 4 2" xfId="39163"/>
    <cellStyle name="Percent 129 2 2 4 2" xfId="39164"/>
    <cellStyle name="Percent 130 2 2 4 2" xfId="39165"/>
    <cellStyle name="Percent 159 2 2 4 2" xfId="39166"/>
    <cellStyle name="Percent 2 22 2 2 4 2" xfId="39167"/>
    <cellStyle name="Percent 25 2 3 2 4 2" xfId="39168"/>
    <cellStyle name="Percent 25 2 2 2 2 4 2" xfId="39169"/>
    <cellStyle name="Percent 25 3 3 2 4 2" xfId="39170"/>
    <cellStyle name="Percent 25 3 2 2 2 4 2" xfId="39171"/>
    <cellStyle name="Percent 25 4 2 2 2 4 2" xfId="39172"/>
    <cellStyle name="Percent 25 5 2 2 4 2" xfId="39173"/>
    <cellStyle name="Percent 26 2 3 2 4 2" xfId="39174"/>
    <cellStyle name="Percent 26 2 2 2 2 4 2" xfId="39175"/>
    <cellStyle name="Percent 26 3 3 2 4 2" xfId="39176"/>
    <cellStyle name="Percent 26 3 2 2 2 4 2" xfId="39177"/>
    <cellStyle name="Percent 26 4 2 2 2 4 2" xfId="39178"/>
    <cellStyle name="Percent 26 5 2 2 4 2" xfId="39179"/>
    <cellStyle name="Percent 27 2 3 2 4 2" xfId="39180"/>
    <cellStyle name="Percent 27 2 2 2 2 4 2" xfId="39181"/>
    <cellStyle name="Percent 27 3 3 2 4 2" xfId="39182"/>
    <cellStyle name="Percent 27 3 2 2 2 4 2" xfId="39183"/>
    <cellStyle name="Percent 27 4 2 2 2 4 2" xfId="39184"/>
    <cellStyle name="Percent 27 5 2 2 4 2" xfId="39185"/>
    <cellStyle name="Percent 28 2 3 2 4 2" xfId="39186"/>
    <cellStyle name="Percent 28 2 2 2 2 4 2" xfId="39187"/>
    <cellStyle name="Percent 28 3 3 2 4 2" xfId="39188"/>
    <cellStyle name="Percent 28 3 2 2 2 4 2" xfId="39189"/>
    <cellStyle name="Percent 28 4 2 2 2 4 2" xfId="39190"/>
    <cellStyle name="Percent 28 5 2 2 4 2" xfId="39191"/>
    <cellStyle name="Percent 29 2 3 2 4 2" xfId="39192"/>
    <cellStyle name="Percent 29 2 2 2 2 4 2" xfId="39193"/>
    <cellStyle name="Percent 29 3 3 2 4 2" xfId="39194"/>
    <cellStyle name="Percent 29 3 2 2 2 4 2" xfId="39195"/>
    <cellStyle name="Percent 29 4 2 2 2 4 2" xfId="39196"/>
    <cellStyle name="Percent 29 5 2 2 4 2" xfId="39197"/>
    <cellStyle name="Percent 3 10 2 2 4 2" xfId="39198"/>
    <cellStyle name="Percent 3 11 2 2 4 2" xfId="39199"/>
    <cellStyle name="Percent 3 12 2 2 4 2" xfId="39200"/>
    <cellStyle name="Percent 3 13 2 2 4 2" xfId="39201"/>
    <cellStyle name="Percent 3 14 2 2 4 2" xfId="39202"/>
    <cellStyle name="Percent 3 15 2 2 4 2" xfId="39203"/>
    <cellStyle name="Percent 3 16 2 2 4 2" xfId="39204"/>
    <cellStyle name="Percent 3 17 2 2 4 2" xfId="39205"/>
    <cellStyle name="Percent 3 18 2 2 4 2" xfId="39206"/>
    <cellStyle name="Percent 3 19 2 2 4 2" xfId="39207"/>
    <cellStyle name="Percent 3 2 23 2 4 2" xfId="39208"/>
    <cellStyle name="Percent 3 2 10 2 2 4 2" xfId="39209"/>
    <cellStyle name="Percent 3 2 11 2 2 4 2" xfId="39210"/>
    <cellStyle name="Percent 3 2 12 2 2 4 2" xfId="39211"/>
    <cellStyle name="Percent 3 2 13 2 2 4 2" xfId="39212"/>
    <cellStyle name="Percent 3 2 14 2 2 4 2" xfId="39213"/>
    <cellStyle name="Percent 3 2 15 2 2 4 2" xfId="39214"/>
    <cellStyle name="Percent 3 2 16 2 2 4 2" xfId="39215"/>
    <cellStyle name="Percent 3 2 17 2 2 4 2" xfId="39216"/>
    <cellStyle name="Percent 3 2 18 2 2 4 2" xfId="39217"/>
    <cellStyle name="Percent 3 2 19 2 2 4 2" xfId="39218"/>
    <cellStyle name="Percent 3 2 2 2 2 2 4 2" xfId="39219"/>
    <cellStyle name="Percent 3 2 2 3 2 2 4 2" xfId="39220"/>
    <cellStyle name="Percent 3 2 2 4 2 2 4 2" xfId="39221"/>
    <cellStyle name="Percent 3 2 2 5 2 2 4 2" xfId="39222"/>
    <cellStyle name="Percent 3 2 20 2 2 4 2" xfId="39223"/>
    <cellStyle name="Percent 3 2 21 2 2 2 4 2" xfId="39224"/>
    <cellStyle name="Percent 3 2 3 6 2 4 2" xfId="39225"/>
    <cellStyle name="Percent 3 2 3 2 2 2 4 2" xfId="39226"/>
    <cellStyle name="Percent 3 2 3 3 2 2 4 2" xfId="39227"/>
    <cellStyle name="Percent 3 2 3 4 2 2 4 2" xfId="39228"/>
    <cellStyle name="Percent 3 2 3 5 2 2 4 2" xfId="39229"/>
    <cellStyle name="Percent 3 2 4 3 2 4 2" xfId="39230"/>
    <cellStyle name="Percent 3 2 4 2 2 2 4 2" xfId="39231"/>
    <cellStyle name="Percent 3 2 5 3 2 4 2" xfId="39232"/>
    <cellStyle name="Percent 3 2 5 2 2 2 4 2" xfId="39233"/>
    <cellStyle name="Percent 3 2 6 3 2 4 2" xfId="39234"/>
    <cellStyle name="Percent 3 2 6 2 2 2 4 2" xfId="39235"/>
    <cellStyle name="Percent 3 2 7 2 2 4 2" xfId="39236"/>
    <cellStyle name="Percent 3 2 8 2 2 4 2" xfId="39237"/>
    <cellStyle name="Percent 3 2 9 2 2 4 2" xfId="39238"/>
    <cellStyle name="Percent 3 20 2 2 4 2" xfId="39239"/>
    <cellStyle name="Percent 3 21 2 2 4 2" xfId="39240"/>
    <cellStyle name="Percent 3 3 2 2 2 4 2" xfId="39241"/>
    <cellStyle name="Percent 3 3 3 2 2 4 2" xfId="39242"/>
    <cellStyle name="Percent 3 3 4 2 2 4 2" xfId="39243"/>
    <cellStyle name="Percent 3 3 5 2 2 4 2" xfId="39244"/>
    <cellStyle name="Percent 3 4 6 2 4 2" xfId="39245"/>
    <cellStyle name="Percent 3 4 2 2 2 4 2" xfId="39246"/>
    <cellStyle name="Percent 3 4 3 2 2 4 2" xfId="39247"/>
    <cellStyle name="Percent 3 4 4 2 2 4 2" xfId="39248"/>
    <cellStyle name="Percent 3 4 5 2 2 4 2" xfId="39249"/>
    <cellStyle name="Percent 3 5 3 2 4 2" xfId="39250"/>
    <cellStyle name="Percent 3 5 2 2 2 4 2" xfId="39251"/>
    <cellStyle name="Percent 3 6 3 2 4 2" xfId="39252"/>
    <cellStyle name="Percent 3 6 2 2 2 4 2" xfId="39253"/>
    <cellStyle name="Percent 3 7 3 2 4 2" xfId="39254"/>
    <cellStyle name="Percent 3 7 2 2 2 4 2" xfId="39255"/>
    <cellStyle name="Percent 3 8 2 2 4 2" xfId="39256"/>
    <cellStyle name="Percent 3 9 2 2 4 2" xfId="39257"/>
    <cellStyle name="Percent 30 2 3 2 4 2" xfId="39258"/>
    <cellStyle name="Percent 30 2 2 2 2 4 2" xfId="39259"/>
    <cellStyle name="Percent 30 3 3 2 4 2" xfId="39260"/>
    <cellStyle name="Percent 30 3 2 2 2 4 2" xfId="39261"/>
    <cellStyle name="Percent 30 4 2 2 2 4 2" xfId="39262"/>
    <cellStyle name="Percent 30 5 2 2 4 2" xfId="39263"/>
    <cellStyle name="Percent 31 2 3 2 4 2" xfId="39264"/>
    <cellStyle name="Percent 31 2 2 2 2 4 2" xfId="39265"/>
    <cellStyle name="Percent 31 3 3 2 4 2" xfId="39266"/>
    <cellStyle name="Percent 31 3 2 2 2 4 2" xfId="39267"/>
    <cellStyle name="Percent 31 4 2 2 2 4 2" xfId="39268"/>
    <cellStyle name="Percent 31 5 2 2 4 2" xfId="39269"/>
    <cellStyle name="Percent 32 2 3 2 4 2" xfId="39270"/>
    <cellStyle name="Percent 32 2 2 2 2 4 2" xfId="39271"/>
    <cellStyle name="Percent 32 3 3 2 4 2" xfId="39272"/>
    <cellStyle name="Percent 32 3 2 2 2 4 2" xfId="39273"/>
    <cellStyle name="Percent 32 4 2 2 2 4 2" xfId="39274"/>
    <cellStyle name="Percent 32 5 2 2 4 2" xfId="39275"/>
    <cellStyle name="Percent 33 2 3 2 4 2" xfId="39276"/>
    <cellStyle name="Percent 33 2 2 2 2 4 2" xfId="39277"/>
    <cellStyle name="Percent 33 3 3 2 4 2" xfId="39278"/>
    <cellStyle name="Percent 33 3 2 2 2 4 2" xfId="39279"/>
    <cellStyle name="Percent 33 4 2 2 2 4 2" xfId="39280"/>
    <cellStyle name="Percent 33 5 2 2 4 2" xfId="39281"/>
    <cellStyle name="Percent 34 2 3 2 4 2" xfId="39282"/>
    <cellStyle name="Percent 34 2 2 2 2 4 2" xfId="39283"/>
    <cellStyle name="Percent 34 3 3 2 4 2" xfId="39284"/>
    <cellStyle name="Percent 34 3 2 2 2 4 2" xfId="39285"/>
    <cellStyle name="Percent 34 4 2 2 2 4 2" xfId="39286"/>
    <cellStyle name="Percent 34 5 2 2 4 2" xfId="39287"/>
    <cellStyle name="Percent 35 2 3 2 4 2" xfId="39288"/>
    <cellStyle name="Percent 35 2 2 2 2 4 2" xfId="39289"/>
    <cellStyle name="Percent 35 3 3 2 4 2" xfId="39290"/>
    <cellStyle name="Percent 35 3 2 2 2 4 2" xfId="39291"/>
    <cellStyle name="Percent 35 4 2 2 2 4 2" xfId="39292"/>
    <cellStyle name="Percent 35 5 2 2 4 2" xfId="39293"/>
    <cellStyle name="Currency 5 4 2 2 4 2" xfId="39294"/>
    <cellStyle name="Comma 5 7 2 2 4 2" xfId="39295"/>
    <cellStyle name="Percent 5 4 2 2 4 2" xfId="39296"/>
    <cellStyle name="Comma 6 5 2 2 4 2" xfId="39297"/>
    <cellStyle name="Currency 5 2 4 2 2 4 2" xfId="39298"/>
    <cellStyle name="Comma 5 2 4 2 2 4 2" xfId="39299"/>
    <cellStyle name="Percent 5 2 4 2 2 4 2" xfId="39300"/>
    <cellStyle name="Comma 6 2 3 2 2 4 2" xfId="39301"/>
    <cellStyle name="Currency 5 3 2 2 2 4 2" xfId="39302"/>
    <cellStyle name="Comma 5 3 2 2 2 4 2" xfId="39303"/>
    <cellStyle name="Percent 5 3 2 2 2 4 2" xfId="39304"/>
    <cellStyle name="Comma 6 3 4 2 2 4 2" xfId="39305"/>
    <cellStyle name="Normal 11 2 2 2 2 4 2" xfId="39306"/>
    <cellStyle name="Currency 5 2 2 2 2 2 4 2" xfId="39307"/>
    <cellStyle name="Comma 5 2 2 2 2 2 4 2" xfId="39308"/>
    <cellStyle name="Percent 5 2 2 2 2 2 4 2" xfId="39309"/>
    <cellStyle name="Comma 6 2 2 2 2 2 4 2" xfId="39310"/>
    <cellStyle name="Normal 54 3 2" xfId="39311"/>
    <cellStyle name="Currency 5 8 3 2" xfId="39312"/>
    <cellStyle name="Normal 8 28 3 2" xfId="39313"/>
    <cellStyle name="Comma 5 11 3 2" xfId="39314"/>
    <cellStyle name="Percent 5 8 3 2" xfId="39315"/>
    <cellStyle name="Comma 6 9 3 2" xfId="39316"/>
    <cellStyle name="Normal 11 7 3 2" xfId="39317"/>
    <cellStyle name="Currency 5 2 8 3 2" xfId="39318"/>
    <cellStyle name="Normal 8 2 9 3 2" xfId="39319"/>
    <cellStyle name="Comma 5 2 8 3 2" xfId="39320"/>
    <cellStyle name="Percent 5 2 8 3 2" xfId="39321"/>
    <cellStyle name="Comma 6 2 7 3 2" xfId="39322"/>
    <cellStyle name="Currency 5 3 6 3 2" xfId="39323"/>
    <cellStyle name="Normal 8 3 9 3 2" xfId="39324"/>
    <cellStyle name="Comma 5 3 6 3 2" xfId="39325"/>
    <cellStyle name="Percent 5 3 6 3 2" xfId="39326"/>
    <cellStyle name="Comma 6 3 8 3 2" xfId="39327"/>
    <cellStyle name="Normal 11 2 6 3 2" xfId="39328"/>
    <cellStyle name="Currency 5 2 2 6 3 2" xfId="39329"/>
    <cellStyle name="Normal 8 2 2 5 3 2" xfId="39330"/>
    <cellStyle name="Comma 5 2 2 6 3 2" xfId="39331"/>
    <cellStyle name="Percent 5 2 2 6 3 2" xfId="39332"/>
    <cellStyle name="Comma 6 2 2 5 3 2" xfId="39333"/>
    <cellStyle name="Normal 50 4 3 2" xfId="39334"/>
    <cellStyle name="Comma 186 4 3 2" xfId="39335"/>
    <cellStyle name="Percent 162 4 3 2" xfId="39336"/>
    <cellStyle name="Normal 2 24 4 3 2" xfId="39337"/>
    <cellStyle name="20% - Accent1 2 4 3 2" xfId="39338"/>
    <cellStyle name="20% - Accent1 3 4 3 2" xfId="39339"/>
    <cellStyle name="20% - Accent1 4 4 3 2" xfId="39340"/>
    <cellStyle name="20% - Accent1 5 4 3 2" xfId="39341"/>
    <cellStyle name="20% - Accent2 2 4 3 2" xfId="39342"/>
    <cellStyle name="20% - Accent2 3 4 3 2" xfId="39343"/>
    <cellStyle name="20% - Accent2 4 4 3 2" xfId="39344"/>
    <cellStyle name="20% - Accent2 5 4 3 2" xfId="39345"/>
    <cellStyle name="20% - Accent3 2 4 3 2" xfId="39346"/>
    <cellStyle name="20% - Accent3 3 4 3 2" xfId="39347"/>
    <cellStyle name="20% - Accent3 4 4 3 2" xfId="39348"/>
    <cellStyle name="20% - Accent3 5 4 3 2" xfId="39349"/>
    <cellStyle name="20% - Accent4 2 4 3 2" xfId="39350"/>
    <cellStyle name="20% - Accent4 3 4 3 2" xfId="39351"/>
    <cellStyle name="20% - Accent4 4 4 3 2" xfId="39352"/>
    <cellStyle name="20% - Accent4 5 4 3 2" xfId="39353"/>
    <cellStyle name="20% - Accent5 2 4 3 2" xfId="39354"/>
    <cellStyle name="20% - Accent5 3 4 3 2" xfId="39355"/>
    <cellStyle name="20% - Accent5 4 4 3 2" xfId="39356"/>
    <cellStyle name="20% - Accent6 2 4 3 2" xfId="39357"/>
    <cellStyle name="20% - Accent6 3 4 3 2" xfId="39358"/>
    <cellStyle name="20% - Accent6 4 4 3 2" xfId="39359"/>
    <cellStyle name="40% - Accent1 2 4 3 2" xfId="39360"/>
    <cellStyle name="40% - Accent1 3 4 3 2" xfId="39361"/>
    <cellStyle name="40% - Accent1 4 4 3 2" xfId="39362"/>
    <cellStyle name="40% - Accent1 5 4 3 2" xfId="39363"/>
    <cellStyle name="40% - Accent2 2 4 3 2" xfId="39364"/>
    <cellStyle name="40% - Accent2 3 4 3 2" xfId="39365"/>
    <cellStyle name="40% - Accent2 4 4 3 2" xfId="39366"/>
    <cellStyle name="40% - Accent3 2 4 3 2" xfId="39367"/>
    <cellStyle name="40% - Accent3 3 4 3 2" xfId="39368"/>
    <cellStyle name="40% - Accent3 4 4 3 2" xfId="39369"/>
    <cellStyle name="40% - Accent3 5 4 3 2" xfId="39370"/>
    <cellStyle name="40% - Accent4 2 4 3 2" xfId="39371"/>
    <cellStyle name="40% - Accent4 3 4 3 2" xfId="39372"/>
    <cellStyle name="40% - Accent4 4 4 3 2" xfId="39373"/>
    <cellStyle name="40% - Accent4 5 4 3 2" xfId="39374"/>
    <cellStyle name="40% - Accent5 2 4 3 2" xfId="39375"/>
    <cellStyle name="40% - Accent5 3 4 3 2" xfId="39376"/>
    <cellStyle name="40% - Accent5 4 4 3 2" xfId="39377"/>
    <cellStyle name="40% - Accent6 2 4 3 2" xfId="39378"/>
    <cellStyle name="40% - Accent6 3 4 3 2" xfId="39379"/>
    <cellStyle name="40% - Accent6 4 4 3 2" xfId="39380"/>
    <cellStyle name="40% - Accent6 5 4 3 2" xfId="39381"/>
    <cellStyle name="Comma 143 4 3 2" xfId="39382"/>
    <cellStyle name="Comma 144 4 3 2" xfId="39383"/>
    <cellStyle name="Comma 145 4 3 2" xfId="39384"/>
    <cellStyle name="Comma 146 4 3 2" xfId="39385"/>
    <cellStyle name="Comma 147 4 3 2" xfId="39386"/>
    <cellStyle name="Comma 148 4 3 2" xfId="39387"/>
    <cellStyle name="Comma 149 4 3 2" xfId="39388"/>
    <cellStyle name="Comma 150 4 3 2" xfId="39389"/>
    <cellStyle name="Comma 151 4 3 2" xfId="39390"/>
    <cellStyle name="Comma 152 4 3 2" xfId="39391"/>
    <cellStyle name="Comma 153 4 3 2" xfId="39392"/>
    <cellStyle name="Comma 182 4 3 2" xfId="39393"/>
    <cellStyle name="Comma 2 23 4 3 2" xfId="39394"/>
    <cellStyle name="Comma 2 2 10 4 3 2" xfId="39395"/>
    <cellStyle name="Comma 2 2 11 4 3 2" xfId="39396"/>
    <cellStyle name="Comma 2 2 12 4 3 2" xfId="39397"/>
    <cellStyle name="Comma 2 2 13 4 3 2" xfId="39398"/>
    <cellStyle name="Comma 2 2 14 4 3 2" xfId="39399"/>
    <cellStyle name="Comma 2 2 15 4 3 2" xfId="39400"/>
    <cellStyle name="Comma 2 2 16 4 3 2" xfId="39401"/>
    <cellStyle name="Comma 2 2 17 4 3 2" xfId="39402"/>
    <cellStyle name="Comma 2 2 2 2 8 3 2" xfId="39403"/>
    <cellStyle name="Comma 2 2 2 2 2 4 3 2" xfId="39404"/>
    <cellStyle name="Comma 2 2 2 2 3 4 3 2" xfId="39405"/>
    <cellStyle name="Comma 2 2 2 2 4 4 3 2" xfId="39406"/>
    <cellStyle name="Comma 2 2 2 2 5 4 3 2" xfId="39407"/>
    <cellStyle name="Comma 2 2 2 3 4 3 2" xfId="39408"/>
    <cellStyle name="Comma 2 2 2 4 4 3 2" xfId="39409"/>
    <cellStyle name="Comma 2 2 2 5 4 3 2" xfId="39410"/>
    <cellStyle name="Comma 2 2 2 6 4 3 2" xfId="39411"/>
    <cellStyle name="Comma 2 2 3 8 3 2" xfId="39412"/>
    <cellStyle name="Comma 2 2 3 2 2 4 3 2" xfId="39413"/>
    <cellStyle name="Comma 2 2 3 2 3 4 3 2" xfId="39414"/>
    <cellStyle name="Comma 2 2 3 2 4 4 3 2" xfId="39415"/>
    <cellStyle name="Comma 2 2 3 2 5 4 3 2" xfId="39416"/>
    <cellStyle name="Comma 2 2 3 3 4 3 2" xfId="39417"/>
    <cellStyle name="Comma 2 2 4 2 4 3 2" xfId="39418"/>
    <cellStyle name="Comma 2 2 5 4 3 2" xfId="39419"/>
    <cellStyle name="Comma 2 2 6 4 3 2" xfId="39420"/>
    <cellStyle name="Comma 2 2 7 4 3 2" xfId="39421"/>
    <cellStyle name="Comma 2 2 8 4 3 2" xfId="39422"/>
    <cellStyle name="Comma 2 2 9 4 3 2" xfId="39423"/>
    <cellStyle name="Comma 3 10 4 3 2" xfId="39424"/>
    <cellStyle name="Comma 3 11 4 3 2" xfId="39425"/>
    <cellStyle name="Comma 3 12 4 3 2" xfId="39426"/>
    <cellStyle name="Comma 3 13 4 3 2" xfId="39427"/>
    <cellStyle name="Comma 3 14 4 3 2" xfId="39428"/>
    <cellStyle name="Comma 3 15 4 3 2" xfId="39429"/>
    <cellStyle name="Comma 3 16 4 3 2" xfId="39430"/>
    <cellStyle name="Comma 3 17 4 3 2" xfId="39431"/>
    <cellStyle name="Comma 3 18 4 3 2" xfId="39432"/>
    <cellStyle name="Comma 3 19 4 3 2" xfId="39433"/>
    <cellStyle name="Comma 3 2 2 4 3 2" xfId="39434"/>
    <cellStyle name="Comma 3 2 3 4 3 2" xfId="39435"/>
    <cellStyle name="Comma 3 2 4 4 3 2" xfId="39436"/>
    <cellStyle name="Comma 3 2 5 4 3 2" xfId="39437"/>
    <cellStyle name="Comma 3 20 4 3 2" xfId="39438"/>
    <cellStyle name="Comma 3 21 4 3 2" xfId="39439"/>
    <cellStyle name="Comma 3 3 8 3 2" xfId="39440"/>
    <cellStyle name="Comma 3 3 2 4 3 2" xfId="39441"/>
    <cellStyle name="Comma 3 3 3 4 3 2" xfId="39442"/>
    <cellStyle name="Comma 3 3 4 4 3 2" xfId="39443"/>
    <cellStyle name="Comma 3 3 5 4 3 2" xfId="39444"/>
    <cellStyle name="Comma 3 4 5 3 2" xfId="39445"/>
    <cellStyle name="Comma 3 4 2 4 3 2" xfId="39446"/>
    <cellStyle name="Comma 3 5 5 3 2" xfId="39447"/>
    <cellStyle name="Comma 3 5 2 4 3 2" xfId="39448"/>
    <cellStyle name="Comma 3 6 5 3 2" xfId="39449"/>
    <cellStyle name="Comma 3 6 2 4 3 2" xfId="39450"/>
    <cellStyle name="Comma 3 7 4 3 2" xfId="39451"/>
    <cellStyle name="Comma 3 8 4 3 2" xfId="39452"/>
    <cellStyle name="Comma 3 9 4 3 2" xfId="39453"/>
    <cellStyle name="Currency 120 4 3 2" xfId="39454"/>
    <cellStyle name="Currency 121 4 3 2" xfId="39455"/>
    <cellStyle name="Currency 122 4 3 2" xfId="39456"/>
    <cellStyle name="Currency 123 4 3 2" xfId="39457"/>
    <cellStyle name="Currency 124 4 3 2" xfId="39458"/>
    <cellStyle name="Currency 125 4 3 2" xfId="39459"/>
    <cellStyle name="Currency 126 4 3 2" xfId="39460"/>
    <cellStyle name="Currency 127 4 3 2" xfId="39461"/>
    <cellStyle name="Currency 128 4 3 2" xfId="39462"/>
    <cellStyle name="Currency 129 4 3 2" xfId="39463"/>
    <cellStyle name="Currency 130 4 3 2" xfId="39464"/>
    <cellStyle name="Currency 159 4 3 2" xfId="39465"/>
    <cellStyle name="Currency 2 27 4 3 2" xfId="39466"/>
    <cellStyle name="Currency 2 2 20 4 3 2" xfId="39467"/>
    <cellStyle name="Currency 2 2 10 4 3 2" xfId="39468"/>
    <cellStyle name="Currency 2 2 11 4 3 2" xfId="39469"/>
    <cellStyle name="Currency 2 2 12 4 3 2" xfId="39470"/>
    <cellStyle name="Currency 2 2 13 4 3 2" xfId="39471"/>
    <cellStyle name="Currency 2 2 14 4 3 2" xfId="39472"/>
    <cellStyle name="Currency 2 2 15 4 3 2" xfId="39473"/>
    <cellStyle name="Currency 2 2 16 4 3 2" xfId="39474"/>
    <cellStyle name="Currency 2 2 17 4 3 2" xfId="39475"/>
    <cellStyle name="Currency 2 2 18 4 3 2" xfId="39476"/>
    <cellStyle name="Currency 2 2 2 2 4 3 2" xfId="39477"/>
    <cellStyle name="Currency 2 2 2 3 4 3 2" xfId="39478"/>
    <cellStyle name="Currency 2 2 2 4 4 3 2" xfId="39479"/>
    <cellStyle name="Currency 2 2 2 5 4 3 2" xfId="39480"/>
    <cellStyle name="Currency 2 2 3 8 3 2" xfId="39481"/>
    <cellStyle name="Currency 2 2 3 2 4 3 2" xfId="39482"/>
    <cellStyle name="Currency 2 2 3 3 4 3 2" xfId="39483"/>
    <cellStyle name="Currency 2 2 3 4 4 3 2" xfId="39484"/>
    <cellStyle name="Currency 2 2 3 5 4 3 2" xfId="39485"/>
    <cellStyle name="Currency 2 2 4 4 3 2" xfId="39486"/>
    <cellStyle name="Currency 2 2 5 4 3 2" xfId="39487"/>
    <cellStyle name="Currency 2 2 6 4 3 2" xfId="39488"/>
    <cellStyle name="Currency 2 2 7 4 3 2" xfId="39489"/>
    <cellStyle name="Currency 2 2 8 4 3 2" xfId="39490"/>
    <cellStyle name="Currency 2 2 9 4 3 2" xfId="39491"/>
    <cellStyle name="Currency 3 10 4 3 2" xfId="39492"/>
    <cellStyle name="Currency 3 11 4 3 2" xfId="39493"/>
    <cellStyle name="Currency 3 12 4 3 2" xfId="39494"/>
    <cellStyle name="Currency 3 13 4 3 2" xfId="39495"/>
    <cellStyle name="Currency 3 14 4 3 2" xfId="39496"/>
    <cellStyle name="Currency 3 15 4 3 2" xfId="39497"/>
    <cellStyle name="Currency 3 16 4 3 2" xfId="39498"/>
    <cellStyle name="Currency 3 17 4 3 2" xfId="39499"/>
    <cellStyle name="Currency 3 18 4 3 2" xfId="39500"/>
    <cellStyle name="Currency 3 19 4 3 2" xfId="39501"/>
    <cellStyle name="Currency 3 2 2 4 3 2" xfId="39502"/>
    <cellStyle name="Currency 3 2 3 4 3 2" xfId="39503"/>
    <cellStyle name="Currency 3 2 4 4 3 2" xfId="39504"/>
    <cellStyle name="Currency 3 2 5 4 3 2" xfId="39505"/>
    <cellStyle name="Currency 3 20 4 3 2" xfId="39506"/>
    <cellStyle name="Currency 3 21 4 3 2" xfId="39507"/>
    <cellStyle name="Currency 3 3 10 3 2" xfId="39508"/>
    <cellStyle name="Currency 3 3 2 4 3 2" xfId="39509"/>
    <cellStyle name="Currency 3 3 3 4 3 2" xfId="39510"/>
    <cellStyle name="Currency 3 3 4 4 3 2" xfId="39511"/>
    <cellStyle name="Currency 3 3 5 4 3 2" xfId="39512"/>
    <cellStyle name="Currency 3 3 6 4 3 2" xfId="39513"/>
    <cellStyle name="Currency 3 4 5 3 2" xfId="39514"/>
    <cellStyle name="Currency 3 4 2 4 3 2" xfId="39515"/>
    <cellStyle name="Currency 3 5 5 3 2" xfId="39516"/>
    <cellStyle name="Currency 3 5 2 4 3 2" xfId="39517"/>
    <cellStyle name="Currency 3 6 5 3 2" xfId="39518"/>
    <cellStyle name="Currency 3 6 2 4 3 2" xfId="39519"/>
    <cellStyle name="Currency 3 7 4 3 2" xfId="39520"/>
    <cellStyle name="Currency 3 8 4 3 2" xfId="39521"/>
    <cellStyle name="Currency 3 9 4 3 2" xfId="39522"/>
    <cellStyle name="Normal 10 3 8 3 2" xfId="39523"/>
    <cellStyle name="Normal 10 3 2 7 3 2" xfId="39524"/>
    <cellStyle name="Normal 10 3 2 2 5 3 2" xfId="39525"/>
    <cellStyle name="Normal 10 3 2 2 2 4 3 2" xfId="39526"/>
    <cellStyle name="Normal 10 3 2 3 5 3 2" xfId="39527"/>
    <cellStyle name="Normal 10 3 2 3 2 4 3 2" xfId="39528"/>
    <cellStyle name="Normal 10 3 2 4 4 3 2" xfId="39529"/>
    <cellStyle name="Normal 10 3 3 5 3 2" xfId="39530"/>
    <cellStyle name="Normal 10 3 3 2 4 3 2" xfId="39531"/>
    <cellStyle name="Normal 10 3 4 5 3 2" xfId="39532"/>
    <cellStyle name="Normal 10 3 4 2 4 3 2" xfId="39533"/>
    <cellStyle name="Normal 10 3 5 4 3 2" xfId="39534"/>
    <cellStyle name="Normal 10 4 7 3 2" xfId="39535"/>
    <cellStyle name="Normal 10 4 2 5 3 2" xfId="39536"/>
    <cellStyle name="Normal 10 4 2 2 4 3 2" xfId="39537"/>
    <cellStyle name="Normal 10 4 3 5 3 2" xfId="39538"/>
    <cellStyle name="Normal 10 4 3 2 4 3 2" xfId="39539"/>
    <cellStyle name="Normal 10 4 4 4 3 2" xfId="39540"/>
    <cellStyle name="Normal 10 5 7 3 2" xfId="39541"/>
    <cellStyle name="Normal 10 5 2 5 3 2" xfId="39542"/>
    <cellStyle name="Normal 10 5 2 2 4 3 2" xfId="39543"/>
    <cellStyle name="Normal 10 5 3 5 3 2" xfId="39544"/>
    <cellStyle name="Normal 10 5 3 2 4 3 2" xfId="39545"/>
    <cellStyle name="Normal 10 5 4 4 3 2" xfId="39546"/>
    <cellStyle name="Normal 10 6 5 3 2" xfId="39547"/>
    <cellStyle name="Normal 10 6 2 4 3 2" xfId="39548"/>
    <cellStyle name="Normal 10 7 5 3 2" xfId="39549"/>
    <cellStyle name="Normal 10 7 2 4 3 2" xfId="39550"/>
    <cellStyle name="Normal 10 8 2 4 3 2" xfId="39551"/>
    <cellStyle name="Normal 10 9 4 3 2" xfId="39552"/>
    <cellStyle name="Normal 11 4 4 3 2" xfId="39553"/>
    <cellStyle name="Normal 11 3 4 3 2" xfId="39554"/>
    <cellStyle name="Normal 12 10 3 2" xfId="39555"/>
    <cellStyle name="Normal 12 2 2 7 3 2" xfId="39556"/>
    <cellStyle name="Normal 12 2 2 2 5 3 2" xfId="39557"/>
    <cellStyle name="Normal 12 2 2 2 2 4 3 2" xfId="39558"/>
    <cellStyle name="Normal 12 2 2 3 5 3 2" xfId="39559"/>
    <cellStyle name="Normal 12 2 2 3 2 4 3 2" xfId="39560"/>
    <cellStyle name="Normal 12 2 2 4 4 3 2" xfId="39561"/>
    <cellStyle name="Normal 12 2 3 5 3 2" xfId="39562"/>
    <cellStyle name="Normal 12 2 3 2 4 3 2" xfId="39563"/>
    <cellStyle name="Normal 12 2 4 5 3 2" xfId="39564"/>
    <cellStyle name="Normal 12 2 4 2 4 3 2" xfId="39565"/>
    <cellStyle name="Normal 12 2 5 2 4 3 2" xfId="39566"/>
    <cellStyle name="Normal 12 2 6 4 3 2" xfId="39567"/>
    <cellStyle name="Normal 12 3 7 3 2" xfId="39568"/>
    <cellStyle name="Normal 12 3 2 5 3 2" xfId="39569"/>
    <cellStyle name="Normal 12 3 2 2 4 3 2" xfId="39570"/>
    <cellStyle name="Normal 12 3 3 5 3 2" xfId="39571"/>
    <cellStyle name="Normal 12 3 3 2 4 3 2" xfId="39572"/>
    <cellStyle name="Normal 12 3 4 4 3 2" xfId="39573"/>
    <cellStyle name="Normal 12 4 7 3 2" xfId="39574"/>
    <cellStyle name="Normal 12 4 2 5 3 2" xfId="39575"/>
    <cellStyle name="Normal 12 4 2 2 4 3 2" xfId="39576"/>
    <cellStyle name="Normal 12 4 3 5 3 2" xfId="39577"/>
    <cellStyle name="Normal 12 4 3 2 4 3 2" xfId="39578"/>
    <cellStyle name="Normal 12 4 4 4 3 2" xfId="39579"/>
    <cellStyle name="Normal 12 5 5 3 2" xfId="39580"/>
    <cellStyle name="Normal 12 5 2 4 3 2" xfId="39581"/>
    <cellStyle name="Normal 12 6 5 3 2" xfId="39582"/>
    <cellStyle name="Normal 12 6 2 4 3 2" xfId="39583"/>
    <cellStyle name="Normal 12 7 4 3 2" xfId="39584"/>
    <cellStyle name="Normal 15 8 3 2" xfId="39585"/>
    <cellStyle name="Normal 15 3 4 3 2" xfId="39586"/>
    <cellStyle name="Normal 16 2 7 3 2" xfId="39587"/>
    <cellStyle name="Normal 16 2 2 5 3 2" xfId="39588"/>
    <cellStyle name="Normal 16 2 2 2 4 3 2" xfId="39589"/>
    <cellStyle name="Normal 16 2 3 5 3 2" xfId="39590"/>
    <cellStyle name="Normal 16 2 3 2 4 3 2" xfId="39591"/>
    <cellStyle name="Normal 16 2 4 4 3 2" xfId="39592"/>
    <cellStyle name="Normal 16 3 5 3 2" xfId="39593"/>
    <cellStyle name="Normal 16 3 2 4 3 2" xfId="39594"/>
    <cellStyle name="Normal 16 4 5 3 2" xfId="39595"/>
    <cellStyle name="Normal 16 4 2 4 3 2" xfId="39596"/>
    <cellStyle name="Normal 16 5 2 4 3 2" xfId="39597"/>
    <cellStyle name="Normal 16 6 4 3 2" xfId="39598"/>
    <cellStyle name="Normal 17 2 7 3 2" xfId="39599"/>
    <cellStyle name="Normal 17 2 2 5 3 2" xfId="39600"/>
    <cellStyle name="Normal 17 2 2 2 4 3 2" xfId="39601"/>
    <cellStyle name="Normal 17 2 3 5 3 2" xfId="39602"/>
    <cellStyle name="Normal 17 2 3 2 4 3 2" xfId="39603"/>
    <cellStyle name="Normal 17 2 4 4 3 2" xfId="39604"/>
    <cellStyle name="Normal 17 3 5 3 2" xfId="39605"/>
    <cellStyle name="Normal 17 3 2 4 3 2" xfId="39606"/>
    <cellStyle name="Normal 17 4 5 3 2" xfId="39607"/>
    <cellStyle name="Normal 17 4 2 4 3 2" xfId="39608"/>
    <cellStyle name="Normal 17 5 2 4 3 2" xfId="39609"/>
    <cellStyle name="Normal 17 6 4 3 2" xfId="39610"/>
    <cellStyle name="Normal 2 10 3 4 3 2" xfId="39611"/>
    <cellStyle name="Normal 2 11 3 4 3 2" xfId="39612"/>
    <cellStyle name="Normal 2 12 3 4 3 2" xfId="39613"/>
    <cellStyle name="Normal 2 13 3 4 3 2" xfId="39614"/>
    <cellStyle name="Normal 2 14 3 4 3 2" xfId="39615"/>
    <cellStyle name="Normal 2 15 3 4 3 2" xfId="39616"/>
    <cellStyle name="Normal 2 16 3 4 3 2" xfId="39617"/>
    <cellStyle name="Normal 2 17 3 4 3 2" xfId="39618"/>
    <cellStyle name="Normal 2 18 3 4 3 2" xfId="39619"/>
    <cellStyle name="Normal 2 19 3 4 3 2" xfId="39620"/>
    <cellStyle name="Normal 2 2 10 4 3 2" xfId="39621"/>
    <cellStyle name="Normal 2 2 11 4 3 2" xfId="39622"/>
    <cellStyle name="Normal 2 2 12 4 3 2" xfId="39623"/>
    <cellStyle name="Normal 2 2 13 4 3 2" xfId="39624"/>
    <cellStyle name="Normal 2 2 14 4 3 2" xfId="39625"/>
    <cellStyle name="Normal 2 2 15 4 3 2" xfId="39626"/>
    <cellStyle name="Normal 2 2 16 4 3 2" xfId="39627"/>
    <cellStyle name="Normal 2 2 17 4 3 2" xfId="39628"/>
    <cellStyle name="Normal 2 2 18 4 3 2" xfId="39629"/>
    <cellStyle name="Normal 2 2 19 4 3 2" xfId="39630"/>
    <cellStyle name="Normal 2 2 2 2 8 3 2" xfId="39631"/>
    <cellStyle name="Normal 2 2 2 2 2 5 3 2" xfId="39632"/>
    <cellStyle name="Normal 2 2 2 2 2 2 4 3 2" xfId="39633"/>
    <cellStyle name="Normal 2 2 2 2 3 4 3 2" xfId="39634"/>
    <cellStyle name="Normal 2 2 2 2 4 4 3 2" xfId="39635"/>
    <cellStyle name="Normal 2 2 2 2 5 4 3 2" xfId="39636"/>
    <cellStyle name="Normal 2 2 20 4 3 2" xfId="39637"/>
    <cellStyle name="Normal 2 2 21 4 3 2" xfId="39638"/>
    <cellStyle name="Normal 2 2 22 4 3 2" xfId="39639"/>
    <cellStyle name="Normal 2 2 3 11 3 2" xfId="39640"/>
    <cellStyle name="Normal 2 2 3 2 4 3 2" xfId="39641"/>
    <cellStyle name="Normal 2 2 3 3 4 3 2" xfId="39642"/>
    <cellStyle name="Normal 2 2 3 4 4 3 2" xfId="39643"/>
    <cellStyle name="Normal 2 2 3 5 4 3 2" xfId="39644"/>
    <cellStyle name="Normal 2 2 3 6 4 3 2" xfId="39645"/>
    <cellStyle name="Normal 2 2 4 7 3 2" xfId="39646"/>
    <cellStyle name="Normal 2 2 4 2 4 3 2" xfId="39647"/>
    <cellStyle name="Normal 2 2 5 6 3 2" xfId="39648"/>
    <cellStyle name="Normal 2 2 5 2 4 3 2" xfId="39649"/>
    <cellStyle name="Normal 2 2 6 4 3 2" xfId="39650"/>
    <cellStyle name="Normal 2 2 7 4 3 2" xfId="39651"/>
    <cellStyle name="Normal 2 2 8 4 3 2" xfId="39652"/>
    <cellStyle name="Normal 2 2 9 4 3 2" xfId="39653"/>
    <cellStyle name="Normal 2 20 4 3 2" xfId="39654"/>
    <cellStyle name="Normal 2 3 2 5 3 2" xfId="39655"/>
    <cellStyle name="Normal 2 3 3 4 3 2" xfId="39656"/>
    <cellStyle name="Normal 2 3 4 4 3 2" xfId="39657"/>
    <cellStyle name="Normal 2 3 5 4 3 2" xfId="39658"/>
    <cellStyle name="Normal 2 3 6 4 3 2" xfId="39659"/>
    <cellStyle name="Normal 2 4 5 4 3 2" xfId="39660"/>
    <cellStyle name="Normal 2 4 2 4 3 2" xfId="39661"/>
    <cellStyle name="Normal 2 5 3 4 3 2" xfId="39662"/>
    <cellStyle name="Normal 2 6 3 4 3 2" xfId="39663"/>
    <cellStyle name="Normal 2 7 3 4 3 2" xfId="39664"/>
    <cellStyle name="Normal 2 8 3 4 3 2" xfId="39665"/>
    <cellStyle name="Normal 2 9 3 4 3 2" xfId="39666"/>
    <cellStyle name="Normal 21 11 3 2" xfId="39667"/>
    <cellStyle name="Normal 21 2 9 3 2" xfId="39668"/>
    <cellStyle name="Normal 21 2 2 4 3 2" xfId="39669"/>
    <cellStyle name="Normal 21 2 3 4 3 2" xfId="39670"/>
    <cellStyle name="Normal 21 2 4 4 3 2" xfId="39671"/>
    <cellStyle name="Normal 21 2 5 4 3 2" xfId="39672"/>
    <cellStyle name="Normal 21 2 6 4 3 2" xfId="39673"/>
    <cellStyle name="Normal 21 3 5 3 2" xfId="39674"/>
    <cellStyle name="Normal 21 3 2 4 3 2" xfId="39675"/>
    <cellStyle name="Normal 21 4 4 3 2" xfId="39676"/>
    <cellStyle name="Normal 21 5 4 3 2" xfId="39677"/>
    <cellStyle name="Normal 21 6 4 3 2" xfId="39678"/>
    <cellStyle name="Normal 21 8 4 3 2" xfId="39679"/>
    <cellStyle name="Normal 22 10 3 2" xfId="39680"/>
    <cellStyle name="Normal 22 2 9 3 2" xfId="39681"/>
    <cellStyle name="Normal 22 2 2 4 3 2" xfId="39682"/>
    <cellStyle name="Normal 22 2 3 4 3 2" xfId="39683"/>
    <cellStyle name="Normal 22 2 4 4 3 2" xfId="39684"/>
    <cellStyle name="Normal 22 2 5 4 3 2" xfId="39685"/>
    <cellStyle name="Normal 22 3 4 3 2" xfId="39686"/>
    <cellStyle name="Normal 22 4 4 3 2" xfId="39687"/>
    <cellStyle name="Normal 22 5 4 3 2" xfId="39688"/>
    <cellStyle name="Normal 22 6 4 3 2" xfId="39689"/>
    <cellStyle name="Normal 23 10 3 2" xfId="39690"/>
    <cellStyle name="Normal 23 2 8 3 2" xfId="39691"/>
    <cellStyle name="Normal 23 2 2 4 3 2" xfId="39692"/>
    <cellStyle name="Normal 23 2 3 4 3 2" xfId="39693"/>
    <cellStyle name="Normal 23 2 4 4 3 2" xfId="39694"/>
    <cellStyle name="Normal 23 2 5 4 3 2" xfId="39695"/>
    <cellStyle name="Normal 23 3 4 3 2" xfId="39696"/>
    <cellStyle name="Normal 23 4 4 3 2" xfId="39697"/>
    <cellStyle name="Normal 23 5 4 3 2" xfId="39698"/>
    <cellStyle name="Normal 23 6 4 3 2" xfId="39699"/>
    <cellStyle name="Normal 24 10 3 2" xfId="39700"/>
    <cellStyle name="Normal 24 2 8 3 2" xfId="39701"/>
    <cellStyle name="Normal 24 2 2 4 3 2" xfId="39702"/>
    <cellStyle name="Normal 24 2 3 4 3 2" xfId="39703"/>
    <cellStyle name="Normal 24 2 4 4 3 2" xfId="39704"/>
    <cellStyle name="Normal 24 2 5 4 3 2" xfId="39705"/>
    <cellStyle name="Normal 24 3 4 3 2" xfId="39706"/>
    <cellStyle name="Normal 24 4 4 3 2" xfId="39707"/>
    <cellStyle name="Normal 24 5 4 3 2" xfId="39708"/>
    <cellStyle name="Normal 24 6 4 3 2" xfId="39709"/>
    <cellStyle name="Normal 26 10 3 2" xfId="39710"/>
    <cellStyle name="Normal 26 2 8 3 2" xfId="39711"/>
    <cellStyle name="Normal 26 2 2 4 3 2" xfId="39712"/>
    <cellStyle name="Normal 26 2 3 4 3 2" xfId="39713"/>
    <cellStyle name="Normal 26 2 4 4 3 2" xfId="39714"/>
    <cellStyle name="Normal 26 2 5 4 3 2" xfId="39715"/>
    <cellStyle name="Normal 26 3 4 3 2" xfId="39716"/>
    <cellStyle name="Normal 26 4 4 3 2" xfId="39717"/>
    <cellStyle name="Normal 26 5 4 3 2" xfId="39718"/>
    <cellStyle name="Normal 26 6 4 3 2" xfId="39719"/>
    <cellStyle name="Normal 3 10 4 3 2" xfId="39720"/>
    <cellStyle name="Normal 3 11 4 3 2" xfId="39721"/>
    <cellStyle name="Normal 3 12 4 3 2" xfId="39722"/>
    <cellStyle name="Normal 3 13 4 3 2" xfId="39723"/>
    <cellStyle name="Normal 3 14 4 3 2" xfId="39724"/>
    <cellStyle name="Normal 3 15 4 3 2" xfId="39725"/>
    <cellStyle name="Normal 3 16 4 3 2" xfId="39726"/>
    <cellStyle name="Normal 3 17 4 3 2" xfId="39727"/>
    <cellStyle name="Normal 3 18 4 3 2" xfId="39728"/>
    <cellStyle name="Normal 3 19 4 3 2" xfId="39729"/>
    <cellStyle name="Normal 3 2 2 4 3 2" xfId="39730"/>
    <cellStyle name="Normal 3 2 3 4 3 2" xfId="39731"/>
    <cellStyle name="Normal 3 2 4 4 3 2" xfId="39732"/>
    <cellStyle name="Normal 3 2 5 4 3 2" xfId="39733"/>
    <cellStyle name="Normal 3 2 6 4 3 2" xfId="39734"/>
    <cellStyle name="Normal 3 20 4 3 2" xfId="39735"/>
    <cellStyle name="Normal 3 21 4 3 2" xfId="39736"/>
    <cellStyle name="Normal 3 22 4 3 2" xfId="39737"/>
    <cellStyle name="Normal 3 23 4 3 2" xfId="39738"/>
    <cellStyle name="Normal 3 24 4 3 2" xfId="39739"/>
    <cellStyle name="Normal 3 3 7 3 2" xfId="39740"/>
    <cellStyle name="Normal 3 3 2 4 3 2" xfId="39741"/>
    <cellStyle name="Normal 3 3 3 4 3 2" xfId="39742"/>
    <cellStyle name="Normal 3 4 5 3 2" xfId="39743"/>
    <cellStyle name="Normal 3 4 2 4 3 2" xfId="39744"/>
    <cellStyle name="Normal 3 5 5 3 2" xfId="39745"/>
    <cellStyle name="Normal 3 5 2 4 3 2" xfId="39746"/>
    <cellStyle name="Normal 3 6 4 3 2" xfId="39747"/>
    <cellStyle name="Normal 3 7 4 3 2" xfId="39748"/>
    <cellStyle name="Normal 3 8 4 3 2" xfId="39749"/>
    <cellStyle name="Normal 3 9 4 3 2" xfId="39750"/>
    <cellStyle name="Normal 4 2 10 4 3 2" xfId="39751"/>
    <cellStyle name="Normal 4 2 11 4 3 2" xfId="39752"/>
    <cellStyle name="Normal 4 2 12 4 3 2" xfId="39753"/>
    <cellStyle name="Normal 4 2 13 4 3 2" xfId="39754"/>
    <cellStyle name="Normal 4 2 14 4 3 2" xfId="39755"/>
    <cellStyle name="Normal 4 2 15 4 3 2" xfId="39756"/>
    <cellStyle name="Normal 4 2 16 4 3 2" xfId="39757"/>
    <cellStyle name="Normal 4 2 17 4 3 2" xfId="39758"/>
    <cellStyle name="Normal 4 2 18 4 3 2" xfId="39759"/>
    <cellStyle name="Normal 4 2 19 4 3 2" xfId="39760"/>
    <cellStyle name="Normal 4 2 2 8 3 2" xfId="39761"/>
    <cellStyle name="Normal 4 2 2 2 4 3 2" xfId="39762"/>
    <cellStyle name="Normal 4 2 2 3 4 3 2" xfId="39763"/>
    <cellStyle name="Normal 4 2 2 4 4 3 2" xfId="39764"/>
    <cellStyle name="Normal 4 2 2 5 4 3 2" xfId="39765"/>
    <cellStyle name="Normal 4 2 20 4 3 2" xfId="39766"/>
    <cellStyle name="Normal 4 2 21 4 3 2" xfId="39767"/>
    <cellStyle name="Normal 4 2 22 4 3 2" xfId="39768"/>
    <cellStyle name="Normal 4 2 23 4 3 2" xfId="39769"/>
    <cellStyle name="Normal 4 2 24 4 3 2" xfId="39770"/>
    <cellStyle name="Normal 4 2 3 5 3 2" xfId="39771"/>
    <cellStyle name="Normal 4 2 3 2 4 3 2" xfId="39772"/>
    <cellStyle name="Normal 4 2 4 5 3 2" xfId="39773"/>
    <cellStyle name="Normal 4 2 4 2 4 3 2" xfId="39774"/>
    <cellStyle name="Normal 4 2 5 5 3 2" xfId="39775"/>
    <cellStyle name="Normal 4 2 5 2 4 3 2" xfId="39776"/>
    <cellStyle name="Normal 4 2 6 4 3 2" xfId="39777"/>
    <cellStyle name="Normal 4 2 7 4 3 2" xfId="39778"/>
    <cellStyle name="Normal 4 2 8 4 3 2" xfId="39779"/>
    <cellStyle name="Normal 4 2 9 4 3 2" xfId="39780"/>
    <cellStyle name="Normal 4 3 9 3 2" xfId="39781"/>
    <cellStyle name="Normal 4 3 2 8 3 2" xfId="39782"/>
    <cellStyle name="Normal 4 3 2 2 7 3 2" xfId="39783"/>
    <cellStyle name="Normal 4 3 2 2 2 5 3 2" xfId="39784"/>
    <cellStyle name="Normal 4 3 2 2 2 2 4 3 2" xfId="39785"/>
    <cellStyle name="Normal 4 3 2 2 3 5 3 2" xfId="39786"/>
    <cellStyle name="Normal 4 3 2 2 3 2 4 3 2" xfId="39787"/>
    <cellStyle name="Normal 4 3 2 2 4 4 3 2" xfId="39788"/>
    <cellStyle name="Normal 4 3 2 3 5 3 2" xfId="39789"/>
    <cellStyle name="Normal 4 3 2 3 2 4 3 2" xfId="39790"/>
    <cellStyle name="Normal 4 3 2 4 5 3 2" xfId="39791"/>
    <cellStyle name="Normal 4 3 2 4 2 4 3 2" xfId="39792"/>
    <cellStyle name="Normal 4 3 2 5 4 3 2" xfId="39793"/>
    <cellStyle name="Normal 4 3 3 7 3 2" xfId="39794"/>
    <cellStyle name="Normal 4 3 3 2 5 3 2" xfId="39795"/>
    <cellStyle name="Normal 4 3 3 2 2 4 3 2" xfId="39796"/>
    <cellStyle name="Normal 4 3 3 3 5 3 2" xfId="39797"/>
    <cellStyle name="Normal 4 3 3 3 2 4 3 2" xfId="39798"/>
    <cellStyle name="Normal 4 3 3 4 4 3 2" xfId="39799"/>
    <cellStyle name="Normal 4 3 4 5 3 2" xfId="39800"/>
    <cellStyle name="Normal 4 3 4 2 4 3 2" xfId="39801"/>
    <cellStyle name="Normal 4 3 5 5 3 2" xfId="39802"/>
    <cellStyle name="Normal 4 3 5 2 4 3 2" xfId="39803"/>
    <cellStyle name="Normal 4 3 6 4 3 2" xfId="39804"/>
    <cellStyle name="Normal 4 4 6 3 2" xfId="39805"/>
    <cellStyle name="Normal 4 4 2 4 3 2" xfId="39806"/>
    <cellStyle name="Normal 4 5 4 3 2" xfId="39807"/>
    <cellStyle name="Normal 4 6 4 3 2" xfId="39808"/>
    <cellStyle name="Normal 4 7 4 3 2" xfId="39809"/>
    <cellStyle name="Normal 4 8 4 3 2" xfId="39810"/>
    <cellStyle name="Normal 41 2 4 3 2" xfId="39811"/>
    <cellStyle name="Normal 46 4 3 2" xfId="39812"/>
    <cellStyle name="Normal 5 28 4 3 2" xfId="39813"/>
    <cellStyle name="Normal 5 2 9 3 2" xfId="39814"/>
    <cellStyle name="Normal 5 2 2 2 2 4 3 2" xfId="39815"/>
    <cellStyle name="Normal 5 2 2 3 4 3 2" xfId="39816"/>
    <cellStyle name="Normal 5 2 3 2 2 4 3 2" xfId="39817"/>
    <cellStyle name="Normal 5 2 3 3 4 3 2" xfId="39818"/>
    <cellStyle name="Normal 5 2 4 2 4 3 2" xfId="39819"/>
    <cellStyle name="Normal 5 2 6 4 3 2" xfId="39820"/>
    <cellStyle name="Normal 5 24 4 3 2" xfId="39821"/>
    <cellStyle name="Normal 5 3 5 3 2" xfId="39822"/>
    <cellStyle name="Normal 5 4 5 3 2" xfId="39823"/>
    <cellStyle name="Normal 5 5 5 3 2" xfId="39824"/>
    <cellStyle name="Normal 5 6 5 3 2" xfId="39825"/>
    <cellStyle name="Normal 5 7 5 3 2" xfId="39826"/>
    <cellStyle name="Normal 7 25 4 3 2" xfId="39827"/>
    <cellStyle name="Normal 7 10 4 3 2" xfId="39828"/>
    <cellStyle name="Normal 7 11 4 3 2" xfId="39829"/>
    <cellStyle name="Normal 7 12 4 3 2" xfId="39830"/>
    <cellStyle name="Normal 7 13 4 3 2" xfId="39831"/>
    <cellStyle name="Normal 7 14 4 3 2" xfId="39832"/>
    <cellStyle name="Normal 7 15 4 3 2" xfId="39833"/>
    <cellStyle name="Normal 7 16 4 3 2" xfId="39834"/>
    <cellStyle name="Normal 7 17 4 3 2" xfId="39835"/>
    <cellStyle name="Normal 7 18 4 3 2" xfId="39836"/>
    <cellStyle name="Normal 7 19 4 3 2" xfId="39837"/>
    <cellStyle name="Normal 7 2 8 3 2" xfId="39838"/>
    <cellStyle name="Normal 7 2 2 4 3 2" xfId="39839"/>
    <cellStyle name="Normal 7 2 3 4 3 2" xfId="39840"/>
    <cellStyle name="Normal 7 2 4 4 3 2" xfId="39841"/>
    <cellStyle name="Normal 7 2 5 4 3 2" xfId="39842"/>
    <cellStyle name="Normal 7 20 4 3 2" xfId="39843"/>
    <cellStyle name="Normal 7 22 4 3 2" xfId="39844"/>
    <cellStyle name="Normal 7 3 8 3 2" xfId="39845"/>
    <cellStyle name="Normal 7 3 2 4 3 2" xfId="39846"/>
    <cellStyle name="Normal 7 3 3 4 3 2" xfId="39847"/>
    <cellStyle name="Normal 7 3 4 4 3 2" xfId="39848"/>
    <cellStyle name="Normal 7 3 5 4 3 2" xfId="39849"/>
    <cellStyle name="Normal 7 4 4 3 2" xfId="39850"/>
    <cellStyle name="Normal 7 5 4 3 2" xfId="39851"/>
    <cellStyle name="Normal 7 6 4 3 2" xfId="39852"/>
    <cellStyle name="Normal 7 7 4 3 2" xfId="39853"/>
    <cellStyle name="Normal 7 8 4 3 2" xfId="39854"/>
    <cellStyle name="Normal 7 9 4 3 2" xfId="39855"/>
    <cellStyle name="Normal 8 25 4 3 2" xfId="39856"/>
    <cellStyle name="Normal 8 10 4 3 2" xfId="39857"/>
    <cellStyle name="Normal 8 11 4 3 2" xfId="39858"/>
    <cellStyle name="Normal 8 12 4 3 2" xfId="39859"/>
    <cellStyle name="Normal 8 13 4 3 2" xfId="39860"/>
    <cellStyle name="Normal 8 14 4 3 2" xfId="39861"/>
    <cellStyle name="Normal 8 15 4 3 2" xfId="39862"/>
    <cellStyle name="Normal 8 16 4 3 2" xfId="39863"/>
    <cellStyle name="Normal 8 17 4 3 2" xfId="39864"/>
    <cellStyle name="Normal 8 18 4 3 2" xfId="39865"/>
    <cellStyle name="Normal 8 19 4 3 2" xfId="39866"/>
    <cellStyle name="Normal 8 2 6 4 3 2" xfId="39867"/>
    <cellStyle name="Normal 8 2 2 2 4 3 2" xfId="39868"/>
    <cellStyle name="Normal 8 2 3 4 3 2" xfId="39869"/>
    <cellStyle name="Normal 8 2 4 4 3 2" xfId="39870"/>
    <cellStyle name="Normal 8 2 5 4 3 2" xfId="39871"/>
    <cellStyle name="Normal 8 20 4 3 2" xfId="39872"/>
    <cellStyle name="Normal 8 22 4 3 2" xfId="39873"/>
    <cellStyle name="Normal 8 3 6 4 3 2" xfId="39874"/>
    <cellStyle name="Normal 8 3 2 4 3 2" xfId="39875"/>
    <cellStyle name="Normal 8 3 3 4 3 2" xfId="39876"/>
    <cellStyle name="Normal 8 3 4 4 3 2" xfId="39877"/>
    <cellStyle name="Normal 8 3 5 4 3 2" xfId="39878"/>
    <cellStyle name="Normal 8 4 4 3 2" xfId="39879"/>
    <cellStyle name="Normal 8 5 4 3 2" xfId="39880"/>
    <cellStyle name="Normal 8 6 4 3 2" xfId="39881"/>
    <cellStyle name="Normal 8 7 4 3 2" xfId="39882"/>
    <cellStyle name="Normal 8 8 4 3 2" xfId="39883"/>
    <cellStyle name="Normal 8 9 4 3 2" xfId="39884"/>
    <cellStyle name="Normal 9 25 4 3 2" xfId="39885"/>
    <cellStyle name="Normal 9 10 4 3 2" xfId="39886"/>
    <cellStyle name="Normal 9 11 4 3 2" xfId="39887"/>
    <cellStyle name="Normal 9 12 4 3 2" xfId="39888"/>
    <cellStyle name="Normal 9 13 4 3 2" xfId="39889"/>
    <cellStyle name="Normal 9 14 4 3 2" xfId="39890"/>
    <cellStyle name="Normal 9 15 4 3 2" xfId="39891"/>
    <cellStyle name="Normal 9 16 4 3 2" xfId="39892"/>
    <cellStyle name="Normal 9 17 4 3 2" xfId="39893"/>
    <cellStyle name="Normal 9 18 4 3 2" xfId="39894"/>
    <cellStyle name="Normal 9 19 4 3 2" xfId="39895"/>
    <cellStyle name="Normal 9 2 8 3 2" xfId="39896"/>
    <cellStyle name="Normal 9 2 2 4 3 2" xfId="39897"/>
    <cellStyle name="Normal 9 2 3 4 3 2" xfId="39898"/>
    <cellStyle name="Normal 9 2 4 4 3 2" xfId="39899"/>
    <cellStyle name="Normal 9 2 5 4 3 2" xfId="39900"/>
    <cellStyle name="Normal 9 20 4 3 2" xfId="39901"/>
    <cellStyle name="Normal 9 22 4 3 2" xfId="39902"/>
    <cellStyle name="Normal 9 3 8 3 2" xfId="39903"/>
    <cellStyle name="Normal 9 3 2 4 3 2" xfId="39904"/>
    <cellStyle name="Normal 9 3 3 4 3 2" xfId="39905"/>
    <cellStyle name="Normal 9 3 4 4 3 2" xfId="39906"/>
    <cellStyle name="Normal 9 3 5 4 3 2" xfId="39907"/>
    <cellStyle name="Normal 9 4 4 3 2" xfId="39908"/>
    <cellStyle name="Normal 9 5 4 3 2" xfId="39909"/>
    <cellStyle name="Normal 9 6 4 3 2" xfId="39910"/>
    <cellStyle name="Normal 9 7 4 3 2" xfId="39911"/>
    <cellStyle name="Normal 9 8 4 3 2" xfId="39912"/>
    <cellStyle name="Normal 9 9 4 3 2" xfId="39913"/>
    <cellStyle name="Note 2 4 3 2" xfId="39914"/>
    <cellStyle name="Note 3 4 3 2" xfId="39915"/>
    <cellStyle name="Note 4 4 3 2" xfId="39916"/>
    <cellStyle name="Note 7 4 3 2" xfId="39917"/>
    <cellStyle name="Percent 120 4 3 2" xfId="39918"/>
    <cellStyle name="Percent 121 4 3 2" xfId="39919"/>
    <cellStyle name="Percent 122 4 3 2" xfId="39920"/>
    <cellStyle name="Percent 123 4 3 2" xfId="39921"/>
    <cellStyle name="Percent 124 4 3 2" xfId="39922"/>
    <cellStyle name="Percent 125 4 3 2" xfId="39923"/>
    <cellStyle name="Percent 126 4 3 2" xfId="39924"/>
    <cellStyle name="Percent 127 4 3 2" xfId="39925"/>
    <cellStyle name="Percent 128 4 3 2" xfId="39926"/>
    <cellStyle name="Percent 129 4 3 2" xfId="39927"/>
    <cellStyle name="Percent 130 4 3 2" xfId="39928"/>
    <cellStyle name="Percent 159 4 3 2" xfId="39929"/>
    <cellStyle name="Percent 2 22 4 3 2" xfId="39930"/>
    <cellStyle name="Percent 25 2 5 3 2" xfId="39931"/>
    <cellStyle name="Percent 25 2 2 4 3 2" xfId="39932"/>
    <cellStyle name="Percent 25 3 5 3 2" xfId="39933"/>
    <cellStyle name="Percent 25 3 2 4 3 2" xfId="39934"/>
    <cellStyle name="Percent 25 4 2 4 3 2" xfId="39935"/>
    <cellStyle name="Percent 25 5 4 3 2" xfId="39936"/>
    <cellStyle name="Percent 26 2 5 3 2" xfId="39937"/>
    <cellStyle name="Percent 26 2 2 4 3 2" xfId="39938"/>
    <cellStyle name="Percent 26 3 5 3 2" xfId="39939"/>
    <cellStyle name="Percent 26 3 2 4 3 2" xfId="39940"/>
    <cellStyle name="Percent 26 4 2 4 3 2" xfId="39941"/>
    <cellStyle name="Percent 26 5 4 3 2" xfId="39942"/>
    <cellStyle name="Percent 27 2 5 3 2" xfId="39943"/>
    <cellStyle name="Percent 27 2 2 4 3 2" xfId="39944"/>
    <cellStyle name="Percent 27 3 5 3 2" xfId="39945"/>
    <cellStyle name="Percent 27 3 2 4 3 2" xfId="39946"/>
    <cellStyle name="Percent 27 4 2 4 3 2" xfId="39947"/>
    <cellStyle name="Percent 27 5 4 3 2" xfId="39948"/>
    <cellStyle name="Percent 28 2 5 3 2" xfId="39949"/>
    <cellStyle name="Percent 28 2 2 4 3 2" xfId="39950"/>
    <cellStyle name="Percent 28 3 5 3 2" xfId="39951"/>
    <cellStyle name="Percent 28 3 2 4 3 2" xfId="39952"/>
    <cellStyle name="Percent 28 4 2 4 3 2" xfId="39953"/>
    <cellStyle name="Percent 28 5 4 3 2" xfId="39954"/>
    <cellStyle name="Percent 29 2 5 3 2" xfId="39955"/>
    <cellStyle name="Percent 29 2 2 4 3 2" xfId="39956"/>
    <cellStyle name="Percent 29 3 5 3 2" xfId="39957"/>
    <cellStyle name="Percent 29 3 2 4 3 2" xfId="39958"/>
    <cellStyle name="Percent 29 4 2 4 3 2" xfId="39959"/>
    <cellStyle name="Percent 29 5 4 3 2" xfId="39960"/>
    <cellStyle name="Percent 3 10 4 3 2" xfId="39961"/>
    <cellStyle name="Percent 3 11 4 3 2" xfId="39962"/>
    <cellStyle name="Percent 3 12 4 3 2" xfId="39963"/>
    <cellStyle name="Percent 3 13 4 3 2" xfId="39964"/>
    <cellStyle name="Percent 3 14 4 3 2" xfId="39965"/>
    <cellStyle name="Percent 3 15 4 3 2" xfId="39966"/>
    <cellStyle name="Percent 3 16 4 3 2" xfId="39967"/>
    <cellStyle name="Percent 3 17 4 3 2" xfId="39968"/>
    <cellStyle name="Percent 3 18 4 3 2" xfId="39969"/>
    <cellStyle name="Percent 3 19 4 3 2" xfId="39970"/>
    <cellStyle name="Percent 3 2 25 3 2" xfId="39971"/>
    <cellStyle name="Percent 3 2 10 4 3 2" xfId="39972"/>
    <cellStyle name="Percent 3 2 11 4 3 2" xfId="39973"/>
    <cellStyle name="Percent 3 2 12 4 3 2" xfId="39974"/>
    <cellStyle name="Percent 3 2 13 4 3 2" xfId="39975"/>
    <cellStyle name="Percent 3 2 14 4 3 2" xfId="39976"/>
    <cellStyle name="Percent 3 2 15 4 3 2" xfId="39977"/>
    <cellStyle name="Percent 3 2 16 4 3 2" xfId="39978"/>
    <cellStyle name="Percent 3 2 17 4 3 2" xfId="39979"/>
    <cellStyle name="Percent 3 2 18 4 3 2" xfId="39980"/>
    <cellStyle name="Percent 3 2 19 4 3 2" xfId="39981"/>
    <cellStyle name="Percent 3 2 2 2 4 3 2" xfId="39982"/>
    <cellStyle name="Percent 3 2 2 3 4 3 2" xfId="39983"/>
    <cellStyle name="Percent 3 2 2 4 4 3 2" xfId="39984"/>
    <cellStyle name="Percent 3 2 2 5 4 3 2" xfId="39985"/>
    <cellStyle name="Percent 3 2 20 4 3 2" xfId="39986"/>
    <cellStyle name="Percent 3 2 21 2 4 3 2" xfId="39987"/>
    <cellStyle name="Percent 3 2 3 8 3 2" xfId="39988"/>
    <cellStyle name="Percent 3 2 3 2 4 3 2" xfId="39989"/>
    <cellStyle name="Percent 3 2 3 3 4 3 2" xfId="39990"/>
    <cellStyle name="Percent 3 2 3 4 4 3 2" xfId="39991"/>
    <cellStyle name="Percent 3 2 3 5 4 3 2" xfId="39992"/>
    <cellStyle name="Percent 3 2 4 5 3 2" xfId="39993"/>
    <cellStyle name="Percent 3 2 4 2 4 3 2" xfId="39994"/>
    <cellStyle name="Percent 3 2 5 5 3 2" xfId="39995"/>
    <cellStyle name="Percent 3 2 5 2 4 3 2" xfId="39996"/>
    <cellStyle name="Percent 3 2 6 5 3 2" xfId="39997"/>
    <cellStyle name="Percent 3 2 6 2 4 3 2" xfId="39998"/>
    <cellStyle name="Percent 3 2 7 4 3 2" xfId="39999"/>
    <cellStyle name="Percent 3 2 8 4 3 2" xfId="40000"/>
    <cellStyle name="Percent 3 2 9 4 3 2" xfId="40001"/>
    <cellStyle name="Percent 3 20 4 3 2" xfId="40002"/>
    <cellStyle name="Percent 3 21 4 3 2" xfId="40003"/>
    <cellStyle name="Percent 3 3 2 4 3 2" xfId="40004"/>
    <cellStyle name="Percent 3 3 3 4 3 2" xfId="40005"/>
    <cellStyle name="Percent 3 3 4 4 3 2" xfId="40006"/>
    <cellStyle name="Percent 3 3 5 4 3 2" xfId="40007"/>
    <cellStyle name="Percent 3 4 8 3 2" xfId="40008"/>
    <cellStyle name="Percent 3 4 2 4 3 2" xfId="40009"/>
    <cellStyle name="Percent 3 4 3 4 3 2" xfId="40010"/>
    <cellStyle name="Percent 3 4 4 4 3 2" xfId="40011"/>
    <cellStyle name="Percent 3 4 5 4 3 2" xfId="40012"/>
    <cellStyle name="Percent 3 5 5 3 2" xfId="40013"/>
    <cellStyle name="Percent 3 5 2 4 3 2" xfId="40014"/>
    <cellStyle name="Percent 3 6 5 3 2" xfId="40015"/>
    <cellStyle name="Percent 3 6 2 4 3 2" xfId="40016"/>
    <cellStyle name="Percent 3 7 5 3 2" xfId="40017"/>
    <cellStyle name="Percent 3 7 2 4 3 2" xfId="40018"/>
    <cellStyle name="Percent 3 8 4 3 2" xfId="40019"/>
    <cellStyle name="Percent 3 9 4 3 2" xfId="40020"/>
    <cellStyle name="Percent 30 2 5 3 2" xfId="40021"/>
    <cellStyle name="Percent 30 2 2 4 3 2" xfId="40022"/>
    <cellStyle name="Percent 30 3 5 3 2" xfId="40023"/>
    <cellStyle name="Percent 30 3 2 4 3 2" xfId="40024"/>
    <cellStyle name="Percent 30 4 2 4 3 2" xfId="40025"/>
    <cellStyle name="Percent 30 5 4 3 2" xfId="40026"/>
    <cellStyle name="Percent 31 2 5 3 2" xfId="40027"/>
    <cellStyle name="Percent 31 2 2 4 3 2" xfId="40028"/>
    <cellStyle name="Percent 31 3 5 3 2" xfId="40029"/>
    <cellStyle name="Percent 31 3 2 4 3 2" xfId="40030"/>
    <cellStyle name="Percent 31 4 2 4 3 2" xfId="40031"/>
    <cellStyle name="Percent 31 5 4 3 2" xfId="40032"/>
    <cellStyle name="Percent 32 2 5 3 2" xfId="40033"/>
    <cellStyle name="Percent 32 2 2 4 3 2" xfId="40034"/>
    <cellStyle name="Percent 32 3 5 3 2" xfId="40035"/>
    <cellStyle name="Percent 32 3 2 4 3 2" xfId="40036"/>
    <cellStyle name="Percent 32 4 2 4 3 2" xfId="40037"/>
    <cellStyle name="Percent 32 5 4 3 2" xfId="40038"/>
    <cellStyle name="Percent 33 2 5 3 2" xfId="40039"/>
    <cellStyle name="Percent 33 2 2 4 3 2" xfId="40040"/>
    <cellStyle name="Percent 33 3 5 3 2" xfId="40041"/>
    <cellStyle name="Percent 33 3 2 4 3 2" xfId="40042"/>
    <cellStyle name="Percent 33 4 2 4 3 2" xfId="40043"/>
    <cellStyle name="Percent 33 5 4 3 2" xfId="40044"/>
    <cellStyle name="Percent 34 2 5 3 2" xfId="40045"/>
    <cellStyle name="Percent 34 2 2 4 3 2" xfId="40046"/>
    <cellStyle name="Percent 34 3 5 3 2" xfId="40047"/>
    <cellStyle name="Percent 34 3 2 4 3 2" xfId="40048"/>
    <cellStyle name="Percent 34 4 2 4 3 2" xfId="40049"/>
    <cellStyle name="Percent 34 5 4 3 2" xfId="40050"/>
    <cellStyle name="Percent 35 2 5 3 2" xfId="40051"/>
    <cellStyle name="Percent 35 2 2 4 3 2" xfId="40052"/>
    <cellStyle name="Percent 35 3 5 3 2" xfId="40053"/>
    <cellStyle name="Percent 35 3 2 4 3 2" xfId="40054"/>
    <cellStyle name="Percent 35 4 2 4 3 2" xfId="40055"/>
    <cellStyle name="Percent 35 5 4 3 2" xfId="40056"/>
    <cellStyle name="Currency 5 4 4 3 2" xfId="40057"/>
    <cellStyle name="Comma 5 7 4 3 2" xfId="40058"/>
    <cellStyle name="Percent 5 4 4 3 2" xfId="40059"/>
    <cellStyle name="Comma 6 5 4 3 2" xfId="40060"/>
    <cellStyle name="Currency 5 2 4 4 3 2" xfId="40061"/>
    <cellStyle name="Comma 5 2 4 4 3 2" xfId="40062"/>
    <cellStyle name="Percent 5 2 4 4 3 2" xfId="40063"/>
    <cellStyle name="Comma 6 2 3 4 3 2" xfId="40064"/>
    <cellStyle name="Currency 5 3 2 4 3 2" xfId="40065"/>
    <cellStyle name="Comma 5 3 2 4 3 2" xfId="40066"/>
    <cellStyle name="Percent 5 3 2 4 3 2" xfId="40067"/>
    <cellStyle name="Comma 6 3 4 4 3 2" xfId="40068"/>
    <cellStyle name="Normal 11 2 2 4 3 2" xfId="40069"/>
    <cellStyle name="Currency 5 2 2 2 4 3 2" xfId="40070"/>
    <cellStyle name="Comma 5 2 2 2 4 3 2" xfId="40071"/>
    <cellStyle name="Percent 5 2 2 2 4 3 2" xfId="40072"/>
    <cellStyle name="Comma 6 2 2 2 4 3 2" xfId="40073"/>
    <cellStyle name="Normal 51 4 3 2" xfId="40074"/>
    <cellStyle name="Comma 187 4 3 2" xfId="40075"/>
    <cellStyle name="Percent 163 4 3 2" xfId="40076"/>
    <cellStyle name="Currency 162 4 3 2" xfId="40077"/>
    <cellStyle name="Currency 5 6 3 3 2" xfId="40078"/>
    <cellStyle name="Currency 179 3 3 2" xfId="40079"/>
    <cellStyle name="Percent 180 3 3 2" xfId="40080"/>
    <cellStyle name="Comma 204 3 3 2" xfId="40081"/>
    <cellStyle name="Normal 8 26 3 3 2" xfId="40082"/>
    <cellStyle name="Comma 5 9 3 3 2" xfId="40083"/>
    <cellStyle name="Percent 5 6 3 3 2" xfId="40084"/>
    <cellStyle name="Comma 6 7 3 3 2" xfId="40085"/>
    <cellStyle name="Normal 11 5 3 3 2" xfId="40086"/>
    <cellStyle name="Currency 5 2 6 3 3 2" xfId="40087"/>
    <cellStyle name="Normal 8 2 7 3 3 2" xfId="40088"/>
    <cellStyle name="Comma 5 2 6 3 3 2" xfId="40089"/>
    <cellStyle name="Percent 5 2 6 3 3 2" xfId="40090"/>
    <cellStyle name="Comma 6 2 5 3 3 2" xfId="40091"/>
    <cellStyle name="Currency 5 3 4 3 3 2" xfId="40092"/>
    <cellStyle name="Normal 8 3 7 3 3 2" xfId="40093"/>
    <cellStyle name="Comma 5 3 4 3 3 2" xfId="40094"/>
    <cellStyle name="Percent 5 3 4 3 3 2" xfId="40095"/>
    <cellStyle name="Comma 6 3 6 3 3 2" xfId="40096"/>
    <cellStyle name="Normal 11 2 4 3 3 2" xfId="40097"/>
    <cellStyle name="Currency 5 2 2 4 3 3 2" xfId="40098"/>
    <cellStyle name="Normal 8 2 2 3 3 3 2" xfId="40099"/>
    <cellStyle name="Comma 5 2 2 4 3 3 2" xfId="40100"/>
    <cellStyle name="Percent 5 2 2 4 3 3 2" xfId="40101"/>
    <cellStyle name="Comma 6 2 2 3 3 3 2" xfId="40102"/>
    <cellStyle name="Normal 50 2 3 3 2" xfId="40103"/>
    <cellStyle name="Comma 186 2 3 3 2" xfId="40104"/>
    <cellStyle name="Percent 162 2 3 3 2" xfId="40105"/>
    <cellStyle name="Normal 2 24 2 3 3 2" xfId="40106"/>
    <cellStyle name="20% - Accent1 2 2 3 3 2" xfId="40107"/>
    <cellStyle name="20% - Accent1 3 2 3 3 2" xfId="40108"/>
    <cellStyle name="20% - Accent1 4 2 3 3 2" xfId="40109"/>
    <cellStyle name="20% - Accent1 5 2 3 3 2" xfId="40110"/>
    <cellStyle name="20% - Accent2 2 2 3 3 2" xfId="40111"/>
    <cellStyle name="20% - Accent2 3 2 3 3 2" xfId="40112"/>
    <cellStyle name="20% - Accent2 4 2 3 3 2" xfId="40113"/>
    <cellStyle name="20% - Accent2 5 2 3 3 2" xfId="40114"/>
    <cellStyle name="20% - Accent3 2 2 3 3 2" xfId="40115"/>
    <cellStyle name="20% - Accent3 3 2 3 3 2" xfId="40116"/>
    <cellStyle name="20% - Accent3 4 2 3 3 2" xfId="40117"/>
    <cellStyle name="20% - Accent3 5 2 3 3 2" xfId="40118"/>
    <cellStyle name="20% - Accent4 2 2 3 3 2" xfId="40119"/>
    <cellStyle name="20% - Accent4 3 2 3 3 2" xfId="40120"/>
    <cellStyle name="20% - Accent4 4 2 3 3 2" xfId="40121"/>
    <cellStyle name="20% - Accent4 5 2 3 3 2" xfId="40122"/>
    <cellStyle name="20% - Accent5 2 2 3 3 2" xfId="40123"/>
    <cellStyle name="20% - Accent5 3 2 3 3 2" xfId="40124"/>
    <cellStyle name="20% - Accent5 4 2 3 3 2" xfId="40125"/>
    <cellStyle name="20% - Accent6 2 2 3 3 2" xfId="40126"/>
    <cellStyle name="20% - Accent6 3 2 3 3 2" xfId="40127"/>
    <cellStyle name="20% - Accent6 4 2 3 3 2" xfId="40128"/>
    <cellStyle name="40% - Accent1 2 2 3 3 2" xfId="40129"/>
    <cellStyle name="40% - Accent1 3 2 3 3 2" xfId="40130"/>
    <cellStyle name="40% - Accent1 4 2 3 3 2" xfId="40131"/>
    <cellStyle name="40% - Accent1 5 2 3 3 2" xfId="40132"/>
    <cellStyle name="40% - Accent2 2 2 3 3 2" xfId="40133"/>
    <cellStyle name="40% - Accent2 3 2 3 3 2" xfId="40134"/>
    <cellStyle name="40% - Accent2 4 2 3 3 2" xfId="40135"/>
    <cellStyle name="40% - Accent3 2 2 3 3 2" xfId="40136"/>
    <cellStyle name="40% - Accent3 3 2 3 3 2" xfId="40137"/>
    <cellStyle name="40% - Accent3 4 2 3 3 2" xfId="40138"/>
    <cellStyle name="40% - Accent3 5 2 3 3 2" xfId="40139"/>
    <cellStyle name="40% - Accent4 2 2 3 3 2" xfId="40140"/>
    <cellStyle name="40% - Accent4 3 2 3 3 2" xfId="40141"/>
    <cellStyle name="40% - Accent4 4 2 3 3 2" xfId="40142"/>
    <cellStyle name="40% - Accent4 5 2 3 3 2" xfId="40143"/>
    <cellStyle name="40% - Accent5 2 2 3 3 2" xfId="40144"/>
    <cellStyle name="40% - Accent5 3 2 3 3 2" xfId="40145"/>
    <cellStyle name="40% - Accent5 4 2 3 3 2" xfId="40146"/>
    <cellStyle name="40% - Accent6 2 2 3 3 2" xfId="40147"/>
    <cellStyle name="40% - Accent6 3 2 3 3 2" xfId="40148"/>
    <cellStyle name="40% - Accent6 4 2 3 3 2" xfId="40149"/>
    <cellStyle name="40% - Accent6 5 2 3 3 2" xfId="40150"/>
    <cellStyle name="Comma 143 2 3 3 2" xfId="40151"/>
    <cellStyle name="Comma 144 2 3 3 2" xfId="40152"/>
    <cellStyle name="Comma 145 2 3 3 2" xfId="40153"/>
    <cellStyle name="Comma 146 2 3 3 2" xfId="40154"/>
    <cellStyle name="Comma 147 2 3 3 2" xfId="40155"/>
    <cellStyle name="Comma 148 2 3 3 2" xfId="40156"/>
    <cellStyle name="Comma 149 2 3 3 2" xfId="40157"/>
    <cellStyle name="Comma 150 2 3 3 2" xfId="40158"/>
    <cellStyle name="Comma 151 2 3 3 2" xfId="40159"/>
    <cellStyle name="Comma 152 2 3 3 2" xfId="40160"/>
    <cellStyle name="Comma 153 2 3 3 2" xfId="40161"/>
    <cellStyle name="Comma 182 2 3 3 2" xfId="40162"/>
    <cellStyle name="Comma 2 23 2 3 3 2" xfId="40163"/>
    <cellStyle name="Comma 2 2 10 2 3 3 2" xfId="40164"/>
    <cellStyle name="Comma 2 2 11 2 3 3 2" xfId="40165"/>
    <cellStyle name="Comma 2 2 12 2 3 3 2" xfId="40166"/>
    <cellStyle name="Comma 2 2 13 2 3 3 2" xfId="40167"/>
    <cellStyle name="Comma 2 2 14 2 3 3 2" xfId="40168"/>
    <cellStyle name="Comma 2 2 15 2 3 3 2" xfId="40169"/>
    <cellStyle name="Comma 2 2 16 2 3 3 2" xfId="40170"/>
    <cellStyle name="Comma 2 2 17 2 3 3 2" xfId="40171"/>
    <cellStyle name="Comma 2 2 2 2 6 3 3 2" xfId="40172"/>
    <cellStyle name="Comma 2 2 2 2 2 2 3 3 2" xfId="40173"/>
    <cellStyle name="Comma 2 2 2 2 3 2 3 3 2" xfId="40174"/>
    <cellStyle name="Comma 2 2 2 2 4 2 3 3 2" xfId="40175"/>
    <cellStyle name="Comma 2 2 2 2 5 2 3 3 2" xfId="40176"/>
    <cellStyle name="Comma 2 2 2 3 2 3 3 2" xfId="40177"/>
    <cellStyle name="Comma 2 2 2 4 2 3 3 2" xfId="40178"/>
    <cellStyle name="Comma 2 2 2 5 2 3 3 2" xfId="40179"/>
    <cellStyle name="Comma 2 2 2 6 2 3 3 2" xfId="40180"/>
    <cellStyle name="Comma 2 2 3 6 3 3 2" xfId="40181"/>
    <cellStyle name="Comma 2 2 3 2 2 2 3 3 2" xfId="40182"/>
    <cellStyle name="Comma 2 2 3 2 3 2 3 3 2" xfId="40183"/>
    <cellStyle name="Comma 2 2 3 2 4 2 3 3 2" xfId="40184"/>
    <cellStyle name="Comma 2 2 3 2 5 2 3 3 2" xfId="40185"/>
    <cellStyle name="Comma 2 2 3 3 2 3 3 2" xfId="40186"/>
    <cellStyle name="Comma 2 2 4 2 2 3 3 2" xfId="40187"/>
    <cellStyle name="Comma 2 2 5 2 3 3 2" xfId="40188"/>
    <cellStyle name="Comma 2 2 6 2 3 3 2" xfId="40189"/>
    <cellStyle name="Comma 2 2 7 2 3 3 2" xfId="40190"/>
    <cellStyle name="Comma 2 2 8 2 3 3 2" xfId="40191"/>
    <cellStyle name="Comma 2 2 9 2 3 3 2" xfId="40192"/>
    <cellStyle name="Comma 3 10 2 3 3 2" xfId="40193"/>
    <cellStyle name="Comma 3 11 2 3 3 2" xfId="40194"/>
    <cellStyle name="Comma 3 12 2 3 3 2" xfId="40195"/>
    <cellStyle name="Comma 3 13 2 3 3 2" xfId="40196"/>
    <cellStyle name="Comma 3 14 2 3 3 2" xfId="40197"/>
    <cellStyle name="Comma 3 15 2 3 3 2" xfId="40198"/>
    <cellStyle name="Comma 3 16 2 3 3 2" xfId="40199"/>
    <cellStyle name="Comma 3 17 2 3 3 2" xfId="40200"/>
    <cellStyle name="Comma 3 18 2 3 3 2" xfId="40201"/>
    <cellStyle name="Comma 3 19 2 3 3 2" xfId="40202"/>
    <cellStyle name="Comma 3 2 2 2 3 3 2" xfId="40203"/>
    <cellStyle name="Comma 3 2 3 2 3 3 2" xfId="40204"/>
    <cellStyle name="Comma 3 2 4 2 3 3 2" xfId="40205"/>
    <cellStyle name="Comma 3 2 5 2 3 3 2" xfId="40206"/>
    <cellStyle name="Comma 3 20 2 3 3 2" xfId="40207"/>
    <cellStyle name="Comma 3 21 2 3 3 2" xfId="40208"/>
    <cellStyle name="Comma 3 3 6 3 3 2" xfId="40209"/>
    <cellStyle name="Comma 3 3 2 2 3 3 2" xfId="40210"/>
    <cellStyle name="Comma 3 3 3 2 3 3 2" xfId="40211"/>
    <cellStyle name="Comma 3 3 4 2 3 3 2" xfId="40212"/>
    <cellStyle name="Comma 3 3 5 2 3 3 2" xfId="40213"/>
    <cellStyle name="Comma 3 4 3 3 3 2" xfId="40214"/>
    <cellStyle name="Comma 3 4 2 2 3 3 2" xfId="40215"/>
    <cellStyle name="Comma 3 5 3 3 3 2" xfId="40216"/>
    <cellStyle name="Comma 3 5 2 2 3 3 2" xfId="40217"/>
    <cellStyle name="Comma 3 6 3 3 3 2" xfId="40218"/>
    <cellStyle name="Comma 3 6 2 2 3 3 2" xfId="40219"/>
    <cellStyle name="Comma 3 7 2 3 3 2" xfId="40220"/>
    <cellStyle name="Comma 3 8 2 3 3 2" xfId="40221"/>
    <cellStyle name="Comma 3 9 2 3 3 2" xfId="40222"/>
    <cellStyle name="Currency 120 2 3 3 2" xfId="40223"/>
    <cellStyle name="Currency 121 2 3 3 2" xfId="40224"/>
    <cellStyle name="Currency 122 2 3 3 2" xfId="40225"/>
    <cellStyle name="Currency 123 2 3 3 2" xfId="40226"/>
    <cellStyle name="Currency 124 2 3 3 2" xfId="40227"/>
    <cellStyle name="Currency 125 2 3 3 2" xfId="40228"/>
    <cellStyle name="Currency 126 2 3 3 2" xfId="40229"/>
    <cellStyle name="Currency 127 2 3 3 2" xfId="40230"/>
    <cellStyle name="Currency 128 2 3 3 2" xfId="40231"/>
    <cellStyle name="Currency 129 2 3 3 2" xfId="40232"/>
    <cellStyle name="Currency 130 2 3 3 2" xfId="40233"/>
    <cellStyle name="Currency 159 2 3 3 2" xfId="40234"/>
    <cellStyle name="Currency 2 27 2 3 3 2" xfId="40235"/>
    <cellStyle name="Currency 2 2 20 2 3 3 2" xfId="40236"/>
    <cellStyle name="Currency 2 2 10 2 3 3 2" xfId="40237"/>
    <cellStyle name="Currency 2 2 11 2 3 3 2" xfId="40238"/>
    <cellStyle name="Currency 2 2 12 2 3 3 2" xfId="40239"/>
    <cellStyle name="Currency 2 2 13 2 3 3 2" xfId="40240"/>
    <cellStyle name="Currency 2 2 14 2 3 3 2" xfId="40241"/>
    <cellStyle name="Currency 2 2 15 2 3 3 2" xfId="40242"/>
    <cellStyle name="Currency 2 2 16 2 3 3 2" xfId="40243"/>
    <cellStyle name="Currency 2 2 17 2 3 3 2" xfId="40244"/>
    <cellStyle name="Currency 2 2 18 2 3 3 2" xfId="40245"/>
    <cellStyle name="Currency 2 2 2 2 2 3 3 2" xfId="40246"/>
    <cellStyle name="Currency 2 2 2 3 2 3 3 2" xfId="40247"/>
    <cellStyle name="Currency 2 2 2 4 2 3 3 2" xfId="40248"/>
    <cellStyle name="Currency 2 2 2 5 2 3 3 2" xfId="40249"/>
    <cellStyle name="Currency 2 2 3 6 3 3 2" xfId="40250"/>
    <cellStyle name="Currency 2 2 3 2 2 3 3 2" xfId="40251"/>
    <cellStyle name="Currency 2 2 3 3 2 3 3 2" xfId="40252"/>
    <cellStyle name="Currency 2 2 3 4 2 3 3 2" xfId="40253"/>
    <cellStyle name="Currency 2 2 3 5 2 3 3 2" xfId="40254"/>
    <cellStyle name="Currency 2 2 4 2 3 3 2" xfId="40255"/>
    <cellStyle name="Currency 2 2 5 2 3 3 2" xfId="40256"/>
    <cellStyle name="Currency 2 2 6 2 3 3 2" xfId="40257"/>
    <cellStyle name="Currency 2 2 7 2 3 3 2" xfId="40258"/>
    <cellStyle name="Currency 2 2 8 2 3 3 2" xfId="40259"/>
    <cellStyle name="Currency 2 2 9 2 3 3 2" xfId="40260"/>
    <cellStyle name="Currency 3 10 2 3 3 2" xfId="40261"/>
    <cellStyle name="Currency 3 11 2 3 3 2" xfId="40262"/>
    <cellStyle name="Currency 3 12 2 3 3 2" xfId="40263"/>
    <cellStyle name="Currency 3 13 2 3 3 2" xfId="40264"/>
    <cellStyle name="Currency 3 14 2 3 3 2" xfId="40265"/>
    <cellStyle name="Currency 3 15 2 3 3 2" xfId="40266"/>
    <cellStyle name="Currency 3 16 2 3 3 2" xfId="40267"/>
    <cellStyle name="Currency 3 17 2 3 3 2" xfId="40268"/>
    <cellStyle name="Currency 3 18 2 3 3 2" xfId="40269"/>
    <cellStyle name="Currency 3 19 2 3 3 2" xfId="40270"/>
    <cellStyle name="Currency 3 2 2 2 3 3 2" xfId="40271"/>
    <cellStyle name="Currency 3 2 3 2 3 3 2" xfId="40272"/>
    <cellStyle name="Currency 3 2 4 2 3 3 2" xfId="40273"/>
    <cellStyle name="Currency 3 2 5 2 3 3 2" xfId="40274"/>
    <cellStyle name="Currency 3 20 2 3 3 2" xfId="40275"/>
    <cellStyle name="Currency 3 21 2 3 3 2" xfId="40276"/>
    <cellStyle name="Currency 3 3 8 3 3 2" xfId="40277"/>
    <cellStyle name="Currency 3 3 2 2 3 3 2" xfId="40278"/>
    <cellStyle name="Currency 3 3 3 2 3 3 2" xfId="40279"/>
    <cellStyle name="Currency 3 3 4 2 3 3 2" xfId="40280"/>
    <cellStyle name="Currency 3 3 5 2 3 3 2" xfId="40281"/>
    <cellStyle name="Currency 3 3 6 2 3 3 2" xfId="40282"/>
    <cellStyle name="Currency 3 4 3 3 3 2" xfId="40283"/>
    <cellStyle name="Currency 3 4 2 2 3 3 2" xfId="40284"/>
    <cellStyle name="Currency 3 5 3 3 3 2" xfId="40285"/>
    <cellStyle name="Currency 3 5 2 2 3 3 2" xfId="40286"/>
    <cellStyle name="Currency 3 6 3 3 3 2" xfId="40287"/>
    <cellStyle name="Currency 3 6 2 2 3 3 2" xfId="40288"/>
    <cellStyle name="Currency 3 7 2 3 3 2" xfId="40289"/>
    <cellStyle name="Currency 3 8 2 3 3 2" xfId="40290"/>
    <cellStyle name="Currency 3 9 2 3 3 2" xfId="40291"/>
    <cellStyle name="Normal 10 3 6 3 3 2" xfId="40292"/>
    <cellStyle name="Normal 10 3 2 5 3 3 2" xfId="40293"/>
    <cellStyle name="Normal 10 3 2 2 3 3 3 2" xfId="40294"/>
    <cellStyle name="Normal 10 3 2 2 2 2 3 3 2" xfId="40295"/>
    <cellStyle name="Normal 10 3 2 3 3 3 3 2" xfId="40296"/>
    <cellStyle name="Normal 10 3 2 3 2 2 3 3 2" xfId="40297"/>
    <cellStyle name="Normal 10 3 2 4 2 3 3 2" xfId="40298"/>
    <cellStyle name="Normal 10 3 3 3 3 3 2" xfId="40299"/>
    <cellStyle name="Normal 10 3 3 2 2 3 3 2" xfId="40300"/>
    <cellStyle name="Normal 10 3 4 3 3 3 2" xfId="40301"/>
    <cellStyle name="Normal 10 3 4 2 2 3 3 2" xfId="40302"/>
    <cellStyle name="Normal 10 3 5 2 3 3 2" xfId="40303"/>
    <cellStyle name="Normal 10 4 5 3 3 2" xfId="40304"/>
    <cellStyle name="Normal 10 4 2 3 3 3 2" xfId="40305"/>
    <cellStyle name="Normal 10 4 2 2 2 3 3 2" xfId="40306"/>
    <cellStyle name="Normal 10 4 3 3 3 3 2" xfId="40307"/>
    <cellStyle name="Normal 10 4 3 2 2 3 3 2" xfId="40308"/>
    <cellStyle name="Normal 10 4 4 2 3 3 2" xfId="40309"/>
    <cellStyle name="Normal 10 5 5 3 3 2" xfId="40310"/>
    <cellStyle name="Normal 10 5 2 3 3 3 2" xfId="40311"/>
    <cellStyle name="Normal 10 5 2 2 2 3 3 2" xfId="40312"/>
    <cellStyle name="Normal 10 5 3 3 3 3 2" xfId="40313"/>
    <cellStyle name="Normal 10 5 3 2 2 3 3 2" xfId="40314"/>
    <cellStyle name="Normal 10 5 4 2 3 3 2" xfId="40315"/>
    <cellStyle name="Normal 10 6 3 3 3 2" xfId="40316"/>
    <cellStyle name="Normal 10 6 2 2 3 3 2" xfId="40317"/>
    <cellStyle name="Normal 10 7 3 3 3 2" xfId="40318"/>
    <cellStyle name="Normal 10 7 2 2 3 3 2" xfId="40319"/>
    <cellStyle name="Normal 10 8 2 2 3 3 2" xfId="40320"/>
    <cellStyle name="Normal 10 9 2 3 3 2" xfId="40321"/>
    <cellStyle name="Normal 11 4 2 3 3 2" xfId="40322"/>
    <cellStyle name="Normal 11 3 2 3 3 2" xfId="40323"/>
    <cellStyle name="Normal 12 8 3 3 2" xfId="40324"/>
    <cellStyle name="Normal 12 2 2 5 3 3 2" xfId="40325"/>
    <cellStyle name="Normal 12 2 2 2 3 3 3 2" xfId="40326"/>
    <cellStyle name="Normal 12 2 2 2 2 2 3 3 2" xfId="40327"/>
    <cellStyle name="Normal 12 2 2 3 3 3 3 2" xfId="40328"/>
    <cellStyle name="Normal 12 2 2 3 2 2 3 3 2" xfId="40329"/>
    <cellStyle name="Normal 12 2 2 4 2 3 3 2" xfId="40330"/>
    <cellStyle name="Normal 12 2 3 3 3 3 2" xfId="40331"/>
    <cellStyle name="Normal 12 2 3 2 2 3 3 2" xfId="40332"/>
    <cellStyle name="Normal 12 2 4 3 3 3 2" xfId="40333"/>
    <cellStyle name="Normal 12 2 4 2 2 3 3 2" xfId="40334"/>
    <cellStyle name="Normal 12 2 5 2 2 3 3 2" xfId="40335"/>
    <cellStyle name="Normal 12 2 6 2 3 3 2" xfId="40336"/>
    <cellStyle name="Normal 12 3 5 3 3 2" xfId="40337"/>
    <cellStyle name="Normal 12 3 2 3 3 3 2" xfId="40338"/>
    <cellStyle name="Normal 12 3 2 2 2 3 3 2" xfId="40339"/>
    <cellStyle name="Normal 12 3 3 3 3 3 2" xfId="40340"/>
    <cellStyle name="Normal 12 3 3 2 2 3 3 2" xfId="40341"/>
    <cellStyle name="Normal 12 3 4 2 3 3 2" xfId="40342"/>
    <cellStyle name="Normal 12 4 5 3 3 2" xfId="40343"/>
    <cellStyle name="Normal 12 4 2 3 3 3 2" xfId="40344"/>
    <cellStyle name="Normal 12 4 2 2 2 3 3 2" xfId="40345"/>
    <cellStyle name="Normal 12 4 3 3 3 3 2" xfId="40346"/>
    <cellStyle name="Normal 12 4 3 2 2 3 3 2" xfId="40347"/>
    <cellStyle name="Normal 12 4 4 2 3 3 2" xfId="40348"/>
    <cellStyle name="Normal 12 5 3 3 3 2" xfId="40349"/>
    <cellStyle name="Normal 12 5 2 2 3 3 2" xfId="40350"/>
    <cellStyle name="Normal 12 6 3 3 3 2" xfId="40351"/>
    <cellStyle name="Normal 12 6 2 2 3 3 2" xfId="40352"/>
    <cellStyle name="Normal 12 7 2 3 3 2" xfId="40353"/>
    <cellStyle name="Normal 15 6 3 3 2" xfId="40354"/>
    <cellStyle name="Normal 15 3 2 3 3 2" xfId="40355"/>
    <cellStyle name="Normal 16 2 5 3 3 2" xfId="40356"/>
    <cellStyle name="Normal 16 2 2 3 3 3 2" xfId="40357"/>
    <cellStyle name="Normal 16 2 2 2 2 3 3 2" xfId="40358"/>
    <cellStyle name="Normal 16 2 3 3 3 3 2" xfId="40359"/>
    <cellStyle name="Normal 16 2 3 2 2 3 3 2" xfId="40360"/>
    <cellStyle name="Normal 16 2 4 2 3 3 2" xfId="40361"/>
    <cellStyle name="Normal 16 3 3 3 3 2" xfId="40362"/>
    <cellStyle name="Normal 16 3 2 2 3 3 2" xfId="40363"/>
    <cellStyle name="Normal 16 4 3 3 3 2" xfId="40364"/>
    <cellStyle name="Normal 16 4 2 2 3 3 2" xfId="40365"/>
    <cellStyle name="Normal 16 5 2 2 3 3 2" xfId="40366"/>
    <cellStyle name="Normal 16 6 2 3 3 2" xfId="40367"/>
    <cellStyle name="Normal 17 2 5 3 3 2" xfId="40368"/>
    <cellStyle name="Normal 17 2 2 3 3 3 2" xfId="40369"/>
    <cellStyle name="Normal 17 2 2 2 2 3 3 2" xfId="40370"/>
    <cellStyle name="Normal 17 2 3 3 3 3 2" xfId="40371"/>
    <cellStyle name="Normal 17 2 3 2 2 3 3 2" xfId="40372"/>
    <cellStyle name="Normal 17 2 4 2 3 3 2" xfId="40373"/>
    <cellStyle name="Normal 17 3 3 3 3 2" xfId="40374"/>
    <cellStyle name="Normal 17 3 2 2 3 3 2" xfId="40375"/>
    <cellStyle name="Normal 17 4 3 3 3 2" xfId="40376"/>
    <cellStyle name="Normal 17 4 2 2 3 3 2" xfId="40377"/>
    <cellStyle name="Normal 17 5 2 2 3 3 2" xfId="40378"/>
    <cellStyle name="Normal 17 6 2 3 3 2" xfId="40379"/>
    <cellStyle name="Normal 2 10 3 2 3 3 2" xfId="40380"/>
    <cellStyle name="Normal 2 11 3 2 3 3 2" xfId="40381"/>
    <cellStyle name="Normal 2 12 3 2 3 3 2" xfId="40382"/>
    <cellStyle name="Normal 2 13 3 2 3 3 2" xfId="40383"/>
    <cellStyle name="Normal 2 14 3 2 3 3 2" xfId="40384"/>
    <cellStyle name="Normal 2 15 3 2 3 3 2" xfId="40385"/>
    <cellStyle name="Normal 2 16 3 2 3 3 2" xfId="40386"/>
    <cellStyle name="Normal 2 17 3 2 3 3 2" xfId="40387"/>
    <cellStyle name="Normal 2 18 3 2 3 3 2" xfId="40388"/>
    <cellStyle name="Normal 2 19 3 2 3 3 2" xfId="40389"/>
    <cellStyle name="Normal 2 2 10 2 3 3 2" xfId="40390"/>
    <cellStyle name="Normal 2 2 11 2 3 3 2" xfId="40391"/>
    <cellStyle name="Normal 2 2 12 2 3 3 2" xfId="40392"/>
    <cellStyle name="Normal 2 2 13 2 3 3 2" xfId="40393"/>
    <cellStyle name="Normal 2 2 14 2 3 3 2" xfId="40394"/>
    <cellStyle name="Normal 2 2 15 2 3 3 2" xfId="40395"/>
    <cellStyle name="Normal 2 2 16 2 3 3 2" xfId="40396"/>
    <cellStyle name="Normal 2 2 17 2 3 3 2" xfId="40397"/>
    <cellStyle name="Normal 2 2 18 2 3 3 2" xfId="40398"/>
    <cellStyle name="Normal 2 2 19 2 3 3 2" xfId="40399"/>
    <cellStyle name="Normal 2 2 2 2 6 3 3 2" xfId="40400"/>
    <cellStyle name="Normal 2 2 2 2 2 3 3 3 2" xfId="40401"/>
    <cellStyle name="Normal 2 2 2 2 2 2 2 3 3 2" xfId="40402"/>
    <cellStyle name="Normal 2 2 2 2 3 2 3 3 2" xfId="40403"/>
    <cellStyle name="Normal 2 2 2 2 4 2 3 3 2" xfId="40404"/>
    <cellStyle name="Normal 2 2 2 2 5 2 3 3 2" xfId="40405"/>
    <cellStyle name="Normal 2 2 20 2 3 3 2" xfId="40406"/>
    <cellStyle name="Normal 2 2 21 2 3 3 2" xfId="40407"/>
    <cellStyle name="Normal 2 2 22 2 3 3 2" xfId="40408"/>
    <cellStyle name="Normal 2 2 3 9 3 3 2" xfId="40409"/>
    <cellStyle name="Normal 2 2 3 2 2 3 3 2" xfId="40410"/>
    <cellStyle name="Normal 2 2 3 3 2 3 3 2" xfId="40411"/>
    <cellStyle name="Normal 2 2 3 4 2 3 3 2" xfId="40412"/>
    <cellStyle name="Normal 2 2 3 5 2 3 3 2" xfId="40413"/>
    <cellStyle name="Normal 2 2 3 6 2 3 3 2" xfId="40414"/>
    <cellStyle name="Normal 2 2 4 5 3 3 2" xfId="40415"/>
    <cellStyle name="Normal 2 2 4 2 2 3 3 2" xfId="40416"/>
    <cellStyle name="Normal 2 2 5 4 3 3 2" xfId="40417"/>
    <cellStyle name="Normal 2 2 5 2 2 3 3 2" xfId="40418"/>
    <cellStyle name="Normal 2 2 6 2 3 3 2" xfId="40419"/>
    <cellStyle name="Normal 2 2 7 2 3 3 2" xfId="40420"/>
    <cellStyle name="Normal 2 2 8 2 3 3 2" xfId="40421"/>
    <cellStyle name="Normal 2 2 9 2 3 3 2" xfId="40422"/>
    <cellStyle name="Normal 2 20 2 3 3 2" xfId="40423"/>
    <cellStyle name="Normal 2 3 2 3 3 3 2" xfId="40424"/>
    <cellStyle name="Normal 2 3 3 2 3 3 2" xfId="40425"/>
    <cellStyle name="Normal 2 3 4 2 3 3 2" xfId="40426"/>
    <cellStyle name="Normal 2 3 5 2 3 3 2" xfId="40427"/>
    <cellStyle name="Normal 2 3 6 2 3 3 2" xfId="40428"/>
    <cellStyle name="Normal 2 4 5 2 3 3 2" xfId="40429"/>
    <cellStyle name="Normal 2 4 2 2 3 3 2" xfId="40430"/>
    <cellStyle name="Normal 2 5 3 2 3 3 2" xfId="40431"/>
    <cellStyle name="Normal 2 6 3 2 3 3 2" xfId="40432"/>
    <cellStyle name="Normal 2 7 3 2 3 3 2" xfId="40433"/>
    <cellStyle name="Normal 2 8 3 2 3 3 2" xfId="40434"/>
    <cellStyle name="Normal 2 9 3 2 3 3 2" xfId="40435"/>
    <cellStyle name="Normal 21 9 3 3 2" xfId="40436"/>
    <cellStyle name="Normal 21 2 7 3 3 2" xfId="40437"/>
    <cellStyle name="Normal 21 2 2 2 3 3 2" xfId="40438"/>
    <cellStyle name="Normal 21 2 3 2 3 3 2" xfId="40439"/>
    <cellStyle name="Normal 21 2 4 2 3 3 2" xfId="40440"/>
    <cellStyle name="Normal 21 2 5 2 3 3 2" xfId="40441"/>
    <cellStyle name="Normal 21 2 6 2 3 3 2" xfId="40442"/>
    <cellStyle name="Normal 21 3 3 3 3 2" xfId="40443"/>
    <cellStyle name="Normal 21 3 2 2 3 3 2" xfId="40444"/>
    <cellStyle name="Normal 21 4 2 3 3 2" xfId="40445"/>
    <cellStyle name="Normal 21 5 2 3 3 2" xfId="40446"/>
    <cellStyle name="Normal 21 6 2 3 3 2" xfId="40447"/>
    <cellStyle name="Normal 21 8 2 3 3 2" xfId="40448"/>
    <cellStyle name="Normal 22 8 3 3 2" xfId="40449"/>
    <cellStyle name="Normal 22 2 7 3 3 2" xfId="40450"/>
    <cellStyle name="Normal 22 2 2 2 3 3 2" xfId="40451"/>
    <cellStyle name="Normal 22 2 3 2 3 3 2" xfId="40452"/>
    <cellStyle name="Normal 22 2 4 2 3 3 2" xfId="40453"/>
    <cellStyle name="Normal 22 2 5 2 3 3 2" xfId="40454"/>
    <cellStyle name="Normal 22 3 2 3 3 2" xfId="40455"/>
    <cellStyle name="Normal 22 4 2 3 3 2" xfId="40456"/>
    <cellStyle name="Normal 22 5 2 3 3 2" xfId="40457"/>
    <cellStyle name="Normal 22 6 2 3 3 2" xfId="40458"/>
    <cellStyle name="Normal 23 8 3 3 2" xfId="40459"/>
    <cellStyle name="Normal 23 2 6 3 3 2" xfId="40460"/>
    <cellStyle name="Normal 23 2 2 2 3 3 2" xfId="40461"/>
    <cellStyle name="Normal 23 2 3 2 3 3 2" xfId="40462"/>
    <cellStyle name="Normal 23 2 4 2 3 3 2" xfId="40463"/>
    <cellStyle name="Normal 23 2 5 2 3 3 2" xfId="40464"/>
    <cellStyle name="Normal 23 3 2 3 3 2" xfId="40465"/>
    <cellStyle name="Normal 23 4 2 3 3 2" xfId="40466"/>
    <cellStyle name="Normal 23 5 2 3 3 2" xfId="40467"/>
    <cellStyle name="Normal 23 6 2 3 3 2" xfId="40468"/>
    <cellStyle name="Normal 24 8 3 3 2" xfId="40469"/>
    <cellStyle name="Normal 24 2 6 3 3 2" xfId="40470"/>
    <cellStyle name="Normal 24 2 2 2 3 3 2" xfId="40471"/>
    <cellStyle name="Normal 24 2 3 2 3 3 2" xfId="40472"/>
    <cellStyle name="Normal 24 2 4 2 3 3 2" xfId="40473"/>
    <cellStyle name="Normal 24 2 5 2 3 3 2" xfId="40474"/>
    <cellStyle name="Normal 24 3 2 3 3 2" xfId="40475"/>
    <cellStyle name="Normal 24 4 2 3 3 2" xfId="40476"/>
    <cellStyle name="Normal 24 5 2 3 3 2" xfId="40477"/>
    <cellStyle name="Normal 24 6 2 3 3 2" xfId="40478"/>
    <cellStyle name="Normal 26 8 3 3 2" xfId="40479"/>
    <cellStyle name="Normal 26 2 6 3 3 2" xfId="40480"/>
    <cellStyle name="Normal 26 2 2 2 3 3 2" xfId="40481"/>
    <cellStyle name="Normal 26 2 3 2 3 3 2" xfId="40482"/>
    <cellStyle name="Normal 26 2 4 2 3 3 2" xfId="40483"/>
    <cellStyle name="Normal 26 2 5 2 3 3 2" xfId="40484"/>
    <cellStyle name="Normal 26 3 2 3 3 2" xfId="40485"/>
    <cellStyle name="Normal 26 4 2 3 3 2" xfId="40486"/>
    <cellStyle name="Normal 26 5 2 3 3 2" xfId="40487"/>
    <cellStyle name="Normal 26 6 2 3 3 2" xfId="40488"/>
    <cellStyle name="Normal 3 10 2 3 3 2" xfId="40489"/>
    <cellStyle name="Normal 3 11 2 3 3 2" xfId="40490"/>
    <cellStyle name="Normal 3 12 2 3 3 2" xfId="40491"/>
    <cellStyle name="Normal 3 13 2 3 3 2" xfId="40492"/>
    <cellStyle name="Normal 3 14 2 3 3 2" xfId="40493"/>
    <cellStyle name="Normal 3 15 2 3 3 2" xfId="40494"/>
    <cellStyle name="Normal 3 16 2 3 3 2" xfId="40495"/>
    <cellStyle name="Normal 3 17 2 3 3 2" xfId="40496"/>
    <cellStyle name="Normal 3 18 2 3 3 2" xfId="40497"/>
    <cellStyle name="Normal 3 19 2 3 3 2" xfId="40498"/>
    <cellStyle name="Normal 3 2 2 2 3 3 2" xfId="40499"/>
    <cellStyle name="Normal 3 2 3 2 3 3 2" xfId="40500"/>
    <cellStyle name="Normal 3 2 4 2 3 3 2" xfId="40501"/>
    <cellStyle name="Normal 3 2 5 2 3 3 2" xfId="40502"/>
    <cellStyle name="Normal 3 2 6 2 3 3 2" xfId="40503"/>
    <cellStyle name="Normal 3 20 2 3 3 2" xfId="40504"/>
    <cellStyle name="Normal 3 21 2 3 3 2" xfId="40505"/>
    <cellStyle name="Normal 3 22 2 3 3 2" xfId="40506"/>
    <cellStyle name="Normal 3 23 2 3 3 2" xfId="40507"/>
    <cellStyle name="Normal 3 24 2 3 3 2" xfId="40508"/>
    <cellStyle name="Normal 3 3 5 3 3 2" xfId="40509"/>
    <cellStyle name="Normal 3 3 2 2 3 3 2" xfId="40510"/>
    <cellStyle name="Normal 3 3 3 2 3 3 2" xfId="40511"/>
    <cellStyle name="Normal 3 4 3 3 3 2" xfId="40512"/>
    <cellStyle name="Normal 3 4 2 2 3 3 2" xfId="40513"/>
    <cellStyle name="Normal 3 5 3 3 3 2" xfId="40514"/>
    <cellStyle name="Normal 3 5 2 2 3 3 2" xfId="40515"/>
    <cellStyle name="Normal 3 6 2 3 3 2" xfId="40516"/>
    <cellStyle name="Normal 3 7 2 3 3 2" xfId="40517"/>
    <cellStyle name="Normal 3 8 2 3 3 2" xfId="40518"/>
    <cellStyle name="Normal 3 9 2 3 3 2" xfId="40519"/>
    <cellStyle name="Normal 4 2 10 2 3 3 2" xfId="40520"/>
    <cellStyle name="Normal 4 2 11 2 3 3 2" xfId="40521"/>
    <cellStyle name="Normal 4 2 12 2 3 3 2" xfId="40522"/>
    <cellStyle name="Normal 4 2 13 2 3 3 2" xfId="40523"/>
    <cellStyle name="Normal 4 2 14 2 3 3 2" xfId="40524"/>
    <cellStyle name="Normal 4 2 15 2 3 3 2" xfId="40525"/>
    <cellStyle name="Normal 4 2 16 2 3 3 2" xfId="40526"/>
    <cellStyle name="Normal 4 2 17 2 3 3 2" xfId="40527"/>
    <cellStyle name="Normal 4 2 18 2 3 3 2" xfId="40528"/>
    <cellStyle name="Normal 4 2 19 2 3 3 2" xfId="40529"/>
    <cellStyle name="Normal 4 2 2 6 3 3 2" xfId="40530"/>
    <cellStyle name="Normal 4 2 2 2 2 3 3 2" xfId="40531"/>
    <cellStyle name="Normal 4 2 2 3 2 3 3 2" xfId="40532"/>
    <cellStyle name="Normal 4 2 2 4 2 3 3 2" xfId="40533"/>
    <cellStyle name="Normal 4 2 2 5 2 3 3 2" xfId="40534"/>
    <cellStyle name="Normal 4 2 20 2 3 3 2" xfId="40535"/>
    <cellStyle name="Normal 4 2 21 2 3 3 2" xfId="40536"/>
    <cellStyle name="Normal 4 2 22 2 3 3 2" xfId="40537"/>
    <cellStyle name="Normal 4 2 23 2 3 3 2" xfId="40538"/>
    <cellStyle name="Normal 4 2 24 2 3 3 2" xfId="40539"/>
    <cellStyle name="Normal 4 2 3 3 3 3 2" xfId="40540"/>
    <cellStyle name="Normal 4 2 3 2 2 3 3 2" xfId="40541"/>
    <cellStyle name="Normal 4 2 4 3 3 3 2" xfId="40542"/>
    <cellStyle name="Normal 4 2 4 2 2 3 3 2" xfId="40543"/>
    <cellStyle name="Normal 4 2 5 3 3 3 2" xfId="40544"/>
    <cellStyle name="Normal 4 2 5 2 2 3 3 2" xfId="40545"/>
    <cellStyle name="Normal 4 2 6 2 3 3 2" xfId="40546"/>
    <cellStyle name="Normal 4 2 7 2 3 3 2" xfId="40547"/>
    <cellStyle name="Normal 4 2 8 2 3 3 2" xfId="40548"/>
    <cellStyle name="Normal 4 2 9 2 3 3 2" xfId="40549"/>
    <cellStyle name="Normal 4 3 7 3 3 2" xfId="40550"/>
    <cellStyle name="Normal 4 3 2 6 3 3 2" xfId="40551"/>
    <cellStyle name="Normal 4 3 2 2 5 3 3 2" xfId="40552"/>
    <cellStyle name="Normal 4 3 2 2 2 3 3 3 2" xfId="40553"/>
    <cellStyle name="Normal 4 3 2 2 2 2 2 3 3 2" xfId="40554"/>
    <cellStyle name="Normal 4 3 2 2 3 3 3 3 2" xfId="40555"/>
    <cellStyle name="Normal 4 3 2 2 3 2 2 3 3 2" xfId="40556"/>
    <cellStyle name="Normal 4 3 2 2 4 2 3 3 2" xfId="40557"/>
    <cellStyle name="Normal 4 3 2 3 3 3 3 2" xfId="40558"/>
    <cellStyle name="Normal 4 3 2 3 2 2 3 3 2" xfId="40559"/>
    <cellStyle name="Normal 4 3 2 4 3 3 3 2" xfId="40560"/>
    <cellStyle name="Normal 4 3 2 4 2 2 3 3 2" xfId="40561"/>
    <cellStyle name="Normal 4 3 2 5 2 3 3 2" xfId="40562"/>
    <cellStyle name="Normal 4 3 3 5 3 3 2" xfId="40563"/>
    <cellStyle name="Normal 4 3 3 2 3 3 3 2" xfId="40564"/>
    <cellStyle name="Normal 4 3 3 2 2 2 3 3 2" xfId="40565"/>
    <cellStyle name="Normal 4 3 3 3 3 3 3 2" xfId="40566"/>
    <cellStyle name="Normal 4 3 3 3 2 2 3 3 2" xfId="40567"/>
    <cellStyle name="Normal 4 3 3 4 2 3 3 2" xfId="40568"/>
    <cellStyle name="Normal 4 3 4 3 3 3 2" xfId="40569"/>
    <cellStyle name="Normal 4 3 4 2 2 3 3 2" xfId="40570"/>
    <cellStyle name="Normal 4 3 5 3 3 3 2" xfId="40571"/>
    <cellStyle name="Normal 4 3 5 2 2 3 3 2" xfId="40572"/>
    <cellStyle name="Normal 4 3 6 2 3 3 2" xfId="40573"/>
    <cellStyle name="Normal 4 4 4 3 3 2" xfId="40574"/>
    <cellStyle name="Normal 4 4 2 2 3 3 2" xfId="40575"/>
    <cellStyle name="Normal 4 5 2 3 3 2" xfId="40576"/>
    <cellStyle name="Normal 4 6 2 3 3 2" xfId="40577"/>
    <cellStyle name="Normal 4 7 2 3 3 2" xfId="40578"/>
    <cellStyle name="Normal 4 8 2 3 3 2" xfId="40579"/>
    <cellStyle name="Normal 41 2 2 3 3 2" xfId="40580"/>
    <cellStyle name="Normal 46 2 3 3 2" xfId="40581"/>
    <cellStyle name="Normal 5 28 2 3 3 2" xfId="40582"/>
    <cellStyle name="Normal 5 2 7 3 3 2" xfId="40583"/>
    <cellStyle name="Normal 5 2 2 2 2 2 3 3 2" xfId="40584"/>
    <cellStyle name="Normal 5 2 2 3 2 3 3 2" xfId="40585"/>
    <cellStyle name="Normal 5 2 3 2 2 2 3 3 2" xfId="40586"/>
    <cellStyle name="Normal 5 2 3 3 2 3 3 2" xfId="40587"/>
    <cellStyle name="Normal 5 2 4 2 2 3 3 2" xfId="40588"/>
    <cellStyle name="Normal 5 2 6 2 3 3 2" xfId="40589"/>
    <cellStyle name="Normal 5 24 2 3 3 2" xfId="40590"/>
    <cellStyle name="Normal 5 3 3 3 3 2" xfId="40591"/>
    <cellStyle name="Normal 5 4 3 3 3 2" xfId="40592"/>
    <cellStyle name="Normal 5 5 3 3 3 2" xfId="40593"/>
    <cellStyle name="Normal 5 6 3 3 3 2" xfId="40594"/>
    <cellStyle name="Normal 5 7 3 3 3 2" xfId="40595"/>
    <cellStyle name="Normal 7 25 2 3 3 2" xfId="40596"/>
    <cellStyle name="Normal 7 10 2 3 3 2" xfId="40597"/>
    <cellStyle name="Normal 7 11 2 3 3 2" xfId="40598"/>
    <cellStyle name="Normal 7 12 2 3 3 2" xfId="40599"/>
    <cellStyle name="Normal 7 13 2 3 3 2" xfId="40600"/>
    <cellStyle name="Normal 7 14 2 3 3 2" xfId="40601"/>
    <cellStyle name="Normal 7 15 2 3 3 2" xfId="40602"/>
    <cellStyle name="Normal 7 16 2 3 3 2" xfId="40603"/>
    <cellStyle name="Normal 7 17 2 3 3 2" xfId="40604"/>
    <cellStyle name="Normal 7 18 2 3 3 2" xfId="40605"/>
    <cellStyle name="Normal 7 19 2 3 3 2" xfId="40606"/>
    <cellStyle name="Normal 7 2 6 3 3 2" xfId="40607"/>
    <cellStyle name="Normal 7 2 2 2 3 3 2" xfId="40608"/>
    <cellStyle name="Normal 7 2 3 2 3 3 2" xfId="40609"/>
    <cellStyle name="Normal 7 2 4 2 3 3 2" xfId="40610"/>
    <cellStyle name="Normal 7 2 5 2 3 3 2" xfId="40611"/>
    <cellStyle name="Normal 7 20 2 3 3 2" xfId="40612"/>
    <cellStyle name="Normal 7 22 2 3 3 2" xfId="40613"/>
    <cellStyle name="Normal 7 3 6 3 3 2" xfId="40614"/>
    <cellStyle name="Normal 7 3 2 2 3 3 2" xfId="40615"/>
    <cellStyle name="Normal 7 3 3 2 3 3 2" xfId="40616"/>
    <cellStyle name="Normal 7 3 4 2 3 3 2" xfId="40617"/>
    <cellStyle name="Normal 7 3 5 2 3 3 2" xfId="40618"/>
    <cellStyle name="Normal 7 4 2 3 3 2" xfId="40619"/>
    <cellStyle name="Normal 7 5 2 3 3 2" xfId="40620"/>
    <cellStyle name="Normal 7 6 2 3 3 2" xfId="40621"/>
    <cellStyle name="Normal 7 7 2 3 3 2" xfId="40622"/>
    <cellStyle name="Normal 7 8 2 3 3 2" xfId="40623"/>
    <cellStyle name="Normal 7 9 2 3 3 2" xfId="40624"/>
    <cellStyle name="Normal 8 25 2 3 3 2" xfId="40625"/>
    <cellStyle name="Normal 8 10 2 3 3 2" xfId="40626"/>
    <cellStyle name="Normal 8 11 2 3 3 2" xfId="40627"/>
    <cellStyle name="Normal 8 12 2 3 3 2" xfId="40628"/>
    <cellStyle name="Normal 8 13 2 3 3 2" xfId="40629"/>
    <cellStyle name="Normal 8 14 2 3 3 2" xfId="40630"/>
    <cellStyle name="Normal 8 15 2 3 3 2" xfId="40631"/>
    <cellStyle name="Normal 8 16 2 3 3 2" xfId="40632"/>
    <cellStyle name="Normal 8 17 2 3 3 2" xfId="40633"/>
    <cellStyle name="Normal 8 18 2 3 3 2" xfId="40634"/>
    <cellStyle name="Normal 8 19 2 3 3 2" xfId="40635"/>
    <cellStyle name="Normal 8 2 6 2 3 3 2" xfId="40636"/>
    <cellStyle name="Normal 8 2 2 2 2 3 3 2" xfId="40637"/>
    <cellStyle name="Normal 8 2 3 2 3 3 2" xfId="40638"/>
    <cellStyle name="Normal 8 2 4 2 3 3 2" xfId="40639"/>
    <cellStyle name="Normal 8 2 5 2 3 3 2" xfId="40640"/>
    <cellStyle name="Normal 8 20 2 3 3 2" xfId="40641"/>
    <cellStyle name="Normal 8 22 2 3 3 2" xfId="40642"/>
    <cellStyle name="Normal 8 3 6 2 3 3 2" xfId="40643"/>
    <cellStyle name="Normal 8 3 2 2 3 3 2" xfId="40644"/>
    <cellStyle name="Normal 8 3 3 2 3 3 2" xfId="40645"/>
    <cellStyle name="Normal 8 3 4 2 3 3 2" xfId="40646"/>
    <cellStyle name="Normal 8 3 5 2 3 3 2" xfId="40647"/>
    <cellStyle name="Normal 8 4 2 3 3 2" xfId="40648"/>
    <cellStyle name="Normal 8 5 2 3 3 2" xfId="40649"/>
    <cellStyle name="Normal 8 6 2 3 3 2" xfId="40650"/>
    <cellStyle name="Normal 8 7 2 3 3 2" xfId="40651"/>
    <cellStyle name="Normal 8 8 2 3 3 2" xfId="40652"/>
    <cellStyle name="Normal 8 9 2 3 3 2" xfId="40653"/>
    <cellStyle name="Normal 9 25 2 3 3 2" xfId="40654"/>
    <cellStyle name="Normal 9 10 2 3 3 2" xfId="40655"/>
    <cellStyle name="Normal 9 11 2 3 3 2" xfId="40656"/>
    <cellStyle name="Normal 9 12 2 3 3 2" xfId="40657"/>
    <cellStyle name="Normal 9 13 2 3 3 2" xfId="40658"/>
    <cellStyle name="Normal 9 14 2 3 3 2" xfId="40659"/>
    <cellStyle name="Normal 9 15 2 3 3 2" xfId="40660"/>
    <cellStyle name="Normal 9 16 2 3 3 2" xfId="40661"/>
    <cellStyle name="Normal 9 17 2 3 3 2" xfId="40662"/>
    <cellStyle name="Normal 9 18 2 3 3 2" xfId="40663"/>
    <cellStyle name="Normal 9 19 2 3 3 2" xfId="40664"/>
    <cellStyle name="Normal 9 2 6 3 3 2" xfId="40665"/>
    <cellStyle name="Normal 9 2 2 2 3 3 2" xfId="40666"/>
    <cellStyle name="Normal 9 2 3 2 3 3 2" xfId="40667"/>
    <cellStyle name="Normal 9 2 4 2 3 3 2" xfId="40668"/>
    <cellStyle name="Normal 9 2 5 2 3 3 2" xfId="40669"/>
    <cellStyle name="Normal 9 20 2 3 3 2" xfId="40670"/>
    <cellStyle name="Normal 9 22 2 3 3 2" xfId="40671"/>
    <cellStyle name="Normal 9 3 6 3 3 2" xfId="40672"/>
    <cellStyle name="Normal 9 3 2 2 3 3 2" xfId="40673"/>
    <cellStyle name="Normal 9 3 3 2 3 3 2" xfId="40674"/>
    <cellStyle name="Normal 9 3 4 2 3 3 2" xfId="40675"/>
    <cellStyle name="Normal 9 3 5 2 3 3 2" xfId="40676"/>
    <cellStyle name="Normal 9 4 2 3 3 2" xfId="40677"/>
    <cellStyle name="Normal 9 5 2 3 3 2" xfId="40678"/>
    <cellStyle name="Normal 9 6 2 3 3 2" xfId="40679"/>
    <cellStyle name="Normal 9 7 2 3 3 2" xfId="40680"/>
    <cellStyle name="Normal 9 8 2 3 3 2" xfId="40681"/>
    <cellStyle name="Normal 9 9 2 3 3 2" xfId="40682"/>
    <cellStyle name="Note 2 2 3 3 2" xfId="40683"/>
    <cellStyle name="Note 3 2 3 3 2" xfId="40684"/>
    <cellStyle name="Note 4 2 3 3 2" xfId="40685"/>
    <cellStyle name="Note 7 2 3 3 2" xfId="40686"/>
    <cellStyle name="Percent 120 2 3 3 2" xfId="40687"/>
    <cellStyle name="Percent 121 2 3 3 2" xfId="40688"/>
    <cellStyle name="Percent 122 2 3 3 2" xfId="40689"/>
    <cellStyle name="Percent 123 2 3 3 2" xfId="40690"/>
    <cellStyle name="Percent 124 2 3 3 2" xfId="40691"/>
    <cellStyle name="Percent 125 2 3 3 2" xfId="40692"/>
    <cellStyle name="Percent 126 2 3 3 2" xfId="40693"/>
    <cellStyle name="Percent 127 2 3 3 2" xfId="40694"/>
    <cellStyle name="Percent 128 2 3 3 2" xfId="40695"/>
    <cellStyle name="Percent 129 2 3 3 2" xfId="40696"/>
    <cellStyle name="Percent 130 2 3 3 2" xfId="40697"/>
    <cellStyle name="Percent 159 2 3 3 2" xfId="40698"/>
    <cellStyle name="Percent 2 22 2 3 3 2" xfId="40699"/>
    <cellStyle name="Percent 25 2 3 3 3 2" xfId="40700"/>
    <cellStyle name="Percent 25 2 2 2 3 3 2" xfId="40701"/>
    <cellStyle name="Percent 25 3 3 3 3 2" xfId="40702"/>
    <cellStyle name="Percent 25 3 2 2 3 3 2" xfId="40703"/>
    <cellStyle name="Percent 25 4 2 2 3 3 2" xfId="40704"/>
    <cellStyle name="Percent 25 5 2 3 3 2" xfId="40705"/>
    <cellStyle name="Percent 26 2 3 3 3 2" xfId="40706"/>
    <cellStyle name="Percent 26 2 2 2 3 3 2" xfId="40707"/>
    <cellStyle name="Percent 26 3 3 3 3 2" xfId="40708"/>
    <cellStyle name="Percent 26 3 2 2 3 3 2" xfId="40709"/>
    <cellStyle name="Percent 26 4 2 2 3 3 2" xfId="40710"/>
    <cellStyle name="Percent 26 5 2 3 3 2" xfId="40711"/>
    <cellStyle name="Percent 27 2 3 3 3 2" xfId="40712"/>
    <cellStyle name="Percent 27 2 2 2 3 3 2" xfId="40713"/>
    <cellStyle name="Percent 27 3 3 3 3 2" xfId="40714"/>
    <cellStyle name="Percent 27 3 2 2 3 3 2" xfId="40715"/>
    <cellStyle name="Percent 27 4 2 2 3 3 2" xfId="40716"/>
    <cellStyle name="Percent 27 5 2 3 3 2" xfId="40717"/>
    <cellStyle name="Percent 28 2 3 3 3 2" xfId="40718"/>
    <cellStyle name="Percent 28 2 2 2 3 3 2" xfId="40719"/>
    <cellStyle name="Percent 28 3 3 3 3 2" xfId="40720"/>
    <cellStyle name="Percent 28 3 2 2 3 3 2" xfId="40721"/>
    <cellStyle name="Percent 28 4 2 2 3 3 2" xfId="40722"/>
    <cellStyle name="Percent 28 5 2 3 3 2" xfId="40723"/>
    <cellStyle name="Percent 29 2 3 3 3 2" xfId="40724"/>
    <cellStyle name="Percent 29 2 2 2 3 3 2" xfId="40725"/>
    <cellStyle name="Percent 29 3 3 3 3 2" xfId="40726"/>
    <cellStyle name="Percent 29 3 2 2 3 3 2" xfId="40727"/>
    <cellStyle name="Percent 29 4 2 2 3 3 2" xfId="40728"/>
    <cellStyle name="Percent 29 5 2 3 3 2" xfId="40729"/>
    <cellStyle name="Percent 3 10 2 3 3 2" xfId="40730"/>
    <cellStyle name="Percent 3 11 2 3 3 2" xfId="40731"/>
    <cellStyle name="Percent 3 12 2 3 3 2" xfId="40732"/>
    <cellStyle name="Percent 3 13 2 3 3 2" xfId="40733"/>
    <cellStyle name="Percent 3 14 2 3 3 2" xfId="40734"/>
    <cellStyle name="Percent 3 15 2 3 3 2" xfId="40735"/>
    <cellStyle name="Percent 3 16 2 3 3 2" xfId="40736"/>
    <cellStyle name="Percent 3 17 2 3 3 2" xfId="40737"/>
    <cellStyle name="Percent 3 18 2 3 3 2" xfId="40738"/>
    <cellStyle name="Percent 3 19 2 3 3 2" xfId="40739"/>
    <cellStyle name="Percent 3 2 23 3 3 2" xfId="40740"/>
    <cellStyle name="Percent 3 2 10 2 3 3 2" xfId="40741"/>
    <cellStyle name="Percent 3 2 11 2 3 3 2" xfId="40742"/>
    <cellStyle name="Percent 3 2 12 2 3 3 2" xfId="40743"/>
    <cellStyle name="Percent 3 2 13 2 3 3 2" xfId="40744"/>
    <cellStyle name="Percent 3 2 14 2 3 3 2" xfId="40745"/>
    <cellStyle name="Percent 3 2 15 2 3 3 2" xfId="40746"/>
    <cellStyle name="Percent 3 2 16 2 3 3 2" xfId="40747"/>
    <cellStyle name="Percent 3 2 17 2 3 3 2" xfId="40748"/>
    <cellStyle name="Percent 3 2 18 2 3 3 2" xfId="40749"/>
    <cellStyle name="Percent 3 2 19 2 3 3 2" xfId="40750"/>
    <cellStyle name="Percent 3 2 2 2 2 3 3 2" xfId="40751"/>
    <cellStyle name="Percent 3 2 2 3 2 3 3 2" xfId="40752"/>
    <cellStyle name="Percent 3 2 2 4 2 3 3 2" xfId="40753"/>
    <cellStyle name="Percent 3 2 2 5 2 3 3 2" xfId="40754"/>
    <cellStyle name="Percent 3 2 20 2 3 3 2" xfId="40755"/>
    <cellStyle name="Percent 3 2 21 2 2 3 3 2" xfId="40756"/>
    <cellStyle name="Percent 3 2 3 6 3 3 2" xfId="40757"/>
    <cellStyle name="Percent 3 2 3 2 2 3 3 2" xfId="40758"/>
    <cellStyle name="Percent 3 2 3 3 2 3 3 2" xfId="40759"/>
    <cellStyle name="Percent 3 2 3 4 2 3 3 2" xfId="40760"/>
    <cellStyle name="Percent 3 2 3 5 2 3 3 2" xfId="40761"/>
    <cellStyle name="Percent 3 2 4 3 3 3 2" xfId="40762"/>
    <cellStyle name="Percent 3 2 4 2 2 3 3 2" xfId="40763"/>
    <cellStyle name="Percent 3 2 5 3 3 3 2" xfId="40764"/>
    <cellStyle name="Percent 3 2 5 2 2 3 3 2" xfId="40765"/>
    <cellStyle name="Percent 3 2 6 3 3 3 2" xfId="40766"/>
    <cellStyle name="Percent 3 2 6 2 2 3 3 2" xfId="40767"/>
    <cellStyle name="Percent 3 2 7 2 3 3 2" xfId="40768"/>
    <cellStyle name="Percent 3 2 8 2 3 3 2" xfId="40769"/>
    <cellStyle name="Percent 3 2 9 2 3 3 2" xfId="40770"/>
    <cellStyle name="Percent 3 20 2 3 3 2" xfId="40771"/>
    <cellStyle name="Percent 3 21 2 3 3 2" xfId="40772"/>
    <cellStyle name="Percent 3 3 2 2 3 3 2" xfId="40773"/>
    <cellStyle name="Percent 3 3 3 2 3 3 2" xfId="40774"/>
    <cellStyle name="Percent 3 3 4 2 3 3 2" xfId="40775"/>
    <cellStyle name="Percent 3 3 5 2 3 3 2" xfId="40776"/>
    <cellStyle name="Percent 3 4 6 3 3 2" xfId="40777"/>
    <cellStyle name="Percent 3 4 2 2 3 3 2" xfId="40778"/>
    <cellStyle name="Percent 3 4 3 2 3 3 2" xfId="40779"/>
    <cellStyle name="Percent 3 4 4 2 3 3 2" xfId="40780"/>
    <cellStyle name="Percent 3 4 5 2 3 3 2" xfId="40781"/>
    <cellStyle name="Percent 3 5 3 3 3 2" xfId="40782"/>
    <cellStyle name="Percent 3 5 2 2 3 3 2" xfId="40783"/>
    <cellStyle name="Percent 3 6 3 3 3 2" xfId="40784"/>
    <cellStyle name="Percent 3 6 2 2 3 3 2" xfId="40785"/>
    <cellStyle name="Percent 3 7 3 3 3 2" xfId="40786"/>
    <cellStyle name="Percent 3 7 2 2 3 3 2" xfId="40787"/>
    <cellStyle name="Percent 3 8 2 3 3 2" xfId="40788"/>
    <cellStyle name="Percent 3 9 2 3 3 2" xfId="40789"/>
    <cellStyle name="Percent 30 2 3 3 3 2" xfId="40790"/>
    <cellStyle name="Percent 30 2 2 2 3 3 2" xfId="40791"/>
    <cellStyle name="Percent 30 3 3 3 3 2" xfId="40792"/>
    <cellStyle name="Percent 30 3 2 2 3 3 2" xfId="40793"/>
    <cellStyle name="Percent 30 4 2 2 3 3 2" xfId="40794"/>
    <cellStyle name="Percent 30 5 2 3 3 2" xfId="40795"/>
    <cellStyle name="Percent 31 2 3 3 3 2" xfId="40796"/>
    <cellStyle name="Percent 31 2 2 2 3 3 2" xfId="40797"/>
    <cellStyle name="Percent 31 3 3 3 3 2" xfId="40798"/>
    <cellStyle name="Percent 31 3 2 2 3 3 2" xfId="40799"/>
    <cellStyle name="Percent 31 4 2 2 3 3 2" xfId="40800"/>
    <cellStyle name="Percent 31 5 2 3 3 2" xfId="40801"/>
    <cellStyle name="Percent 32 2 3 3 3 2" xfId="40802"/>
    <cellStyle name="Percent 32 2 2 2 3 3 2" xfId="40803"/>
    <cellStyle name="Percent 32 3 3 3 3 2" xfId="40804"/>
    <cellStyle name="Percent 32 3 2 2 3 3 2" xfId="40805"/>
    <cellStyle name="Percent 32 4 2 2 3 3 2" xfId="40806"/>
    <cellStyle name="Percent 32 5 2 3 3 2" xfId="40807"/>
    <cellStyle name="Percent 33 2 3 3 3 2" xfId="40808"/>
    <cellStyle name="Percent 33 2 2 2 3 3 2" xfId="40809"/>
    <cellStyle name="Percent 33 3 3 3 3 2" xfId="40810"/>
    <cellStyle name="Percent 33 3 2 2 3 3 2" xfId="40811"/>
    <cellStyle name="Percent 33 4 2 2 3 3 2" xfId="40812"/>
    <cellStyle name="Percent 33 5 2 3 3 2" xfId="40813"/>
    <cellStyle name="Percent 34 2 3 3 3 2" xfId="40814"/>
    <cellStyle name="Percent 34 2 2 2 3 3 2" xfId="40815"/>
    <cellStyle name="Percent 34 3 3 3 3 2" xfId="40816"/>
    <cellStyle name="Percent 34 3 2 2 3 3 2" xfId="40817"/>
    <cellStyle name="Percent 34 4 2 2 3 3 2" xfId="40818"/>
    <cellStyle name="Percent 34 5 2 3 3 2" xfId="40819"/>
    <cellStyle name="Percent 35 2 3 3 3 2" xfId="40820"/>
    <cellStyle name="Percent 35 2 2 2 3 3 2" xfId="40821"/>
    <cellStyle name="Percent 35 3 3 3 3 2" xfId="40822"/>
    <cellStyle name="Percent 35 3 2 2 3 3 2" xfId="40823"/>
    <cellStyle name="Percent 35 4 2 2 3 3 2" xfId="40824"/>
    <cellStyle name="Percent 35 5 2 3 3 2" xfId="40825"/>
    <cellStyle name="Currency 5 4 2 3 3 2" xfId="40826"/>
    <cellStyle name="Comma 5 7 2 3 3 2" xfId="40827"/>
    <cellStyle name="Percent 5 4 2 3 3 2" xfId="40828"/>
    <cellStyle name="Comma 6 5 2 3 3 2" xfId="40829"/>
    <cellStyle name="Currency 5 2 4 2 3 3 2" xfId="40830"/>
    <cellStyle name="Comma 5 2 4 2 3 3 2" xfId="40831"/>
    <cellStyle name="Percent 5 2 4 2 3 3 2" xfId="40832"/>
    <cellStyle name="Comma 6 2 3 2 3 3 2" xfId="40833"/>
    <cellStyle name="Currency 5 3 2 2 3 3 2" xfId="40834"/>
    <cellStyle name="Comma 5 3 2 2 3 3 2" xfId="40835"/>
    <cellStyle name="Percent 5 3 2 2 3 3 2" xfId="40836"/>
    <cellStyle name="Comma 6 3 4 2 3 3 2" xfId="40837"/>
    <cellStyle name="Normal 11 2 2 2 3 3 2" xfId="40838"/>
    <cellStyle name="Currency 5 2 2 2 2 3 3 2" xfId="40839"/>
    <cellStyle name="Comma 5 2 2 2 2 3 3 2" xfId="40840"/>
    <cellStyle name="Percent 5 2 2 2 2 3 3 2" xfId="40841"/>
    <cellStyle name="Comma 6 2 2 2 2 3 3 2" xfId="40842"/>
    <cellStyle name="Normal 52 2 3 2" xfId="40843"/>
    <cellStyle name="Comma 205 2 3 2" xfId="40844"/>
    <cellStyle name="Comma 206 2 3 2" xfId="40845"/>
    <cellStyle name="Currency 5 7 2 3 2" xfId="40846"/>
    <cellStyle name="Normal 8 27 2 3 2" xfId="40847"/>
    <cellStyle name="Comma 5 10 2 3 2" xfId="40848"/>
    <cellStyle name="Percent 5 7 2 3 2" xfId="40849"/>
    <cellStyle name="Comma 6 8 2 3 2" xfId="40850"/>
    <cellStyle name="Normal 11 6 2 3 2" xfId="40851"/>
    <cellStyle name="Currency 5 2 7 2 3 2" xfId="40852"/>
    <cellStyle name="Normal 8 2 8 2 3 2" xfId="40853"/>
    <cellStyle name="Comma 5 2 7 2 3 2" xfId="40854"/>
    <cellStyle name="Percent 5 2 7 2 3 2" xfId="40855"/>
    <cellStyle name="Comma 6 2 6 2 3 2" xfId="40856"/>
    <cellStyle name="Currency 5 3 5 2 3 2" xfId="40857"/>
    <cellStyle name="Normal 8 3 8 2 3 2" xfId="40858"/>
    <cellStyle name="Comma 5 3 5 2 3 2" xfId="40859"/>
    <cellStyle name="Percent 5 3 5 2 3 2" xfId="40860"/>
    <cellStyle name="Comma 6 3 7 2 3 2" xfId="40861"/>
    <cellStyle name="Normal 11 2 5 2 3 2" xfId="40862"/>
    <cellStyle name="Currency 5 2 2 5 2 3 2" xfId="40863"/>
    <cellStyle name="Normal 8 2 2 4 2 3 2" xfId="40864"/>
    <cellStyle name="Comma 5 2 2 5 2 3 2" xfId="40865"/>
    <cellStyle name="Percent 5 2 2 5 2 3 2" xfId="40866"/>
    <cellStyle name="Comma 6 2 2 4 2 3 2" xfId="40867"/>
    <cellStyle name="Normal 50 3 2 3 2" xfId="40868"/>
    <cellStyle name="Comma 186 3 2 3 2" xfId="40869"/>
    <cellStyle name="Percent 162 3 2 3 2" xfId="40870"/>
    <cellStyle name="Normal 2 24 3 2 3 2" xfId="40871"/>
    <cellStyle name="20% - Accent1 2 3 2 3 2" xfId="40872"/>
    <cellStyle name="20% - Accent1 3 3 2 3 2" xfId="40873"/>
    <cellStyle name="20% - Accent1 4 3 2 3 2" xfId="40874"/>
    <cellStyle name="20% - Accent1 5 3 2 3 2" xfId="40875"/>
    <cellStyle name="20% - Accent2 2 3 2 3 2" xfId="40876"/>
    <cellStyle name="20% - Accent2 3 3 2 3 2" xfId="40877"/>
    <cellStyle name="20% - Accent2 4 3 2 3 2" xfId="40878"/>
    <cellStyle name="20% - Accent2 5 3 2 3 2" xfId="40879"/>
    <cellStyle name="20% - Accent3 2 3 2 3 2" xfId="40880"/>
    <cellStyle name="20% - Accent3 3 3 2 3 2" xfId="40881"/>
    <cellStyle name="20% - Accent3 4 3 2 3 2" xfId="40882"/>
    <cellStyle name="20% - Accent3 5 3 2 3 2" xfId="40883"/>
    <cellStyle name="20% - Accent4 2 3 2 3 2" xfId="40884"/>
    <cellStyle name="20% - Accent4 3 3 2 3 2" xfId="40885"/>
    <cellStyle name="20% - Accent4 4 3 2 3 2" xfId="40886"/>
    <cellStyle name="20% - Accent4 5 3 2 3 2" xfId="40887"/>
    <cellStyle name="20% - Accent5 2 3 2 3 2" xfId="40888"/>
    <cellStyle name="20% - Accent5 3 3 2 3 2" xfId="40889"/>
    <cellStyle name="20% - Accent5 4 3 2 3 2" xfId="40890"/>
    <cellStyle name="20% - Accent6 2 3 2 3 2" xfId="40891"/>
    <cellStyle name="20% - Accent6 3 3 2 3 2" xfId="40892"/>
    <cellStyle name="20% - Accent6 4 3 2 3 2" xfId="40893"/>
    <cellStyle name="40% - Accent1 2 3 2 3 2" xfId="40894"/>
    <cellStyle name="40% - Accent1 3 3 2 3 2" xfId="40895"/>
    <cellStyle name="40% - Accent1 4 3 2 3 2" xfId="40896"/>
    <cellStyle name="40% - Accent1 5 3 2 3 2" xfId="40897"/>
    <cellStyle name="40% - Accent2 2 3 2 3 2" xfId="40898"/>
    <cellStyle name="40% - Accent2 3 3 2 3 2" xfId="40899"/>
    <cellStyle name="40% - Accent2 4 3 2 3 2" xfId="40900"/>
    <cellStyle name="40% - Accent3 2 3 2 3 2" xfId="40901"/>
    <cellStyle name="40% - Accent3 3 3 2 3 2" xfId="40902"/>
    <cellStyle name="40% - Accent3 4 3 2 3 2" xfId="40903"/>
    <cellStyle name="40% - Accent3 5 3 2 3 2" xfId="40904"/>
    <cellStyle name="40% - Accent4 2 3 2 3 2" xfId="40905"/>
    <cellStyle name="40% - Accent4 3 3 2 3 2" xfId="40906"/>
    <cellStyle name="40% - Accent4 4 3 2 3 2" xfId="40907"/>
    <cellStyle name="40% - Accent4 5 3 2 3 2" xfId="40908"/>
    <cellStyle name="40% - Accent5 2 3 2 3 2" xfId="40909"/>
    <cellStyle name="40% - Accent5 3 3 2 3 2" xfId="40910"/>
    <cellStyle name="40% - Accent5 4 3 2 3 2" xfId="40911"/>
    <cellStyle name="40% - Accent6 2 3 2 3 2" xfId="40912"/>
    <cellStyle name="40% - Accent6 3 3 2 3 2" xfId="40913"/>
    <cellStyle name="40% - Accent6 4 3 2 3 2" xfId="40914"/>
    <cellStyle name="40% - Accent6 5 3 2 3 2" xfId="40915"/>
    <cellStyle name="Comma 143 3 2 3 2" xfId="40916"/>
    <cellStyle name="Comma 144 3 2 3 2" xfId="40917"/>
    <cellStyle name="Comma 145 3 2 3 2" xfId="40918"/>
    <cellStyle name="Comma 146 3 2 3 2" xfId="40919"/>
    <cellStyle name="Comma 147 3 2 3 2" xfId="40920"/>
    <cellStyle name="Comma 148 3 2 3 2" xfId="40921"/>
    <cellStyle name="Comma 149 3 2 3 2" xfId="40922"/>
    <cellStyle name="Comma 150 3 2 3 2" xfId="40923"/>
    <cellStyle name="Comma 151 3 2 3 2" xfId="40924"/>
    <cellStyle name="Comma 152 3 2 3 2" xfId="40925"/>
    <cellStyle name="Comma 153 3 2 3 2" xfId="40926"/>
    <cellStyle name="Comma 182 3 2 3 2" xfId="40927"/>
    <cellStyle name="Comma 2 23 3 2 3 2" xfId="40928"/>
    <cellStyle name="Comma 2 2 10 3 2 3 2" xfId="40929"/>
    <cellStyle name="Comma 2 2 11 3 2 3 2" xfId="40930"/>
    <cellStyle name="Comma 2 2 12 3 2 3 2" xfId="40931"/>
    <cellStyle name="Comma 2 2 13 3 2 3 2" xfId="40932"/>
    <cellStyle name="Comma 2 2 14 3 2 3 2" xfId="40933"/>
    <cellStyle name="Comma 2 2 15 3 2 3 2" xfId="40934"/>
    <cellStyle name="Comma 2 2 16 3 2 3 2" xfId="40935"/>
    <cellStyle name="Comma 2 2 17 3 2 3 2" xfId="40936"/>
    <cellStyle name="Comma 2 2 2 2 7 2 3 2" xfId="40937"/>
    <cellStyle name="Comma 2 2 2 2 2 3 2 3 2" xfId="40938"/>
    <cellStyle name="Comma 2 2 2 2 3 3 2 3 2" xfId="40939"/>
    <cellStyle name="Comma 2 2 2 2 4 3 2 3 2" xfId="40940"/>
    <cellStyle name="Comma 2 2 2 2 5 3 2 3 2" xfId="40941"/>
    <cellStyle name="Comma 2 2 2 3 3 2 3 2" xfId="40942"/>
    <cellStyle name="Comma 2 2 2 4 3 2 3 2" xfId="40943"/>
    <cellStyle name="Comma 2 2 2 5 3 2 3 2" xfId="40944"/>
    <cellStyle name="Comma 2 2 2 6 3 2 3 2" xfId="40945"/>
    <cellStyle name="Comma 2 2 3 7 2 3 2" xfId="40946"/>
    <cellStyle name="Comma 2 2 3 2 2 3 2 3 2" xfId="40947"/>
    <cellStyle name="Comma 2 2 3 2 3 3 2 3 2" xfId="40948"/>
    <cellStyle name="Comma 2 2 3 2 4 3 2 3 2" xfId="40949"/>
    <cellStyle name="Comma 2 2 3 2 5 3 2 3 2" xfId="40950"/>
    <cellStyle name="Comma 2 2 3 3 3 2 3 2" xfId="40951"/>
    <cellStyle name="Comma 2 2 4 2 3 2 3 2" xfId="40952"/>
    <cellStyle name="Comma 2 2 5 3 2 3 2" xfId="40953"/>
    <cellStyle name="Comma 2 2 6 3 2 3 2" xfId="40954"/>
    <cellStyle name="Comma 2 2 7 3 2 3 2" xfId="40955"/>
    <cellStyle name="Comma 2 2 8 3 2 3 2" xfId="40956"/>
    <cellStyle name="Comma 2 2 9 3 2 3 2" xfId="40957"/>
    <cellStyle name="Comma 3 10 3 2 3 2" xfId="40958"/>
    <cellStyle name="Comma 3 11 3 2 3 2" xfId="40959"/>
    <cellStyle name="Comma 3 12 3 2 3 2" xfId="40960"/>
    <cellStyle name="Comma 3 13 3 2 3 2" xfId="40961"/>
    <cellStyle name="Comma 3 14 3 2 3 2" xfId="40962"/>
    <cellStyle name="Comma 3 15 3 2 3 2" xfId="40963"/>
    <cellStyle name="Comma 3 16 3 2 3 2" xfId="40964"/>
    <cellStyle name="Comma 3 17 3 2 3 2" xfId="40965"/>
    <cellStyle name="Comma 3 18 3 2 3 2" xfId="40966"/>
    <cellStyle name="Comma 3 19 3 2 3 2" xfId="40967"/>
    <cellStyle name="Comma 3 2 2 3 2 3 2" xfId="40968"/>
    <cellStyle name="Comma 3 2 3 3 2 3 2" xfId="40969"/>
    <cellStyle name="Comma 3 2 4 3 2 3 2" xfId="40970"/>
    <cellStyle name="Comma 3 2 5 3 2 3 2" xfId="40971"/>
    <cellStyle name="Comma 3 20 3 2 3 2" xfId="40972"/>
    <cellStyle name="Comma 3 21 3 2 3 2" xfId="40973"/>
    <cellStyle name="Comma 3 3 7 2 3 2" xfId="40974"/>
    <cellStyle name="Comma 3 3 2 3 2 3 2" xfId="40975"/>
    <cellStyle name="Comma 3 3 3 3 2 3 2" xfId="40976"/>
    <cellStyle name="Comma 3 3 4 3 2 3 2" xfId="40977"/>
    <cellStyle name="Comma 3 3 5 3 2 3 2" xfId="40978"/>
    <cellStyle name="Comma 3 4 4 2 3 2" xfId="40979"/>
    <cellStyle name="Comma 3 4 2 3 2 3 2" xfId="40980"/>
    <cellStyle name="Comma 3 5 4 2 3 2" xfId="40981"/>
    <cellStyle name="Comma 3 5 2 3 2 3 2" xfId="40982"/>
    <cellStyle name="Comma 3 6 4 2 3 2" xfId="40983"/>
    <cellStyle name="Comma 3 6 2 3 2 3 2" xfId="40984"/>
    <cellStyle name="Comma 3 7 3 2 3 2" xfId="40985"/>
    <cellStyle name="Comma 3 8 3 2 3 2" xfId="40986"/>
    <cellStyle name="Comma 3 9 3 2 3 2" xfId="40987"/>
    <cellStyle name="Currency 120 3 2 3 2" xfId="40988"/>
    <cellStyle name="Currency 121 3 2 3 2" xfId="40989"/>
    <cellStyle name="Currency 122 3 2 3 2" xfId="40990"/>
    <cellStyle name="Currency 123 3 2 3 2" xfId="40991"/>
    <cellStyle name="Currency 124 3 2 3 2" xfId="40992"/>
    <cellStyle name="Currency 125 3 2 3 2" xfId="40993"/>
    <cellStyle name="Currency 126 3 2 3 2" xfId="40994"/>
    <cellStyle name="Currency 127 3 2 3 2" xfId="40995"/>
    <cellStyle name="Currency 128 3 2 3 2" xfId="40996"/>
    <cellStyle name="Currency 129 3 2 3 2" xfId="40997"/>
    <cellStyle name="Currency 130 3 2 3 2" xfId="40998"/>
    <cellStyle name="Currency 159 3 2 3 2" xfId="40999"/>
    <cellStyle name="Currency 2 27 3 2 3 2" xfId="41000"/>
    <cellStyle name="Currency 2 2 20 3 2 3 2" xfId="41001"/>
    <cellStyle name="Currency 2 2 10 3 2 3 2" xfId="41002"/>
    <cellStyle name="Currency 2 2 11 3 2 3 2" xfId="41003"/>
    <cellStyle name="Currency 2 2 12 3 2 3 2" xfId="41004"/>
    <cellStyle name="Currency 2 2 13 3 2 3 2" xfId="41005"/>
    <cellStyle name="Currency 2 2 14 3 2 3 2" xfId="41006"/>
    <cellStyle name="Currency 2 2 15 3 2 3 2" xfId="41007"/>
    <cellStyle name="Currency 2 2 16 3 2 3 2" xfId="41008"/>
    <cellStyle name="Currency 2 2 17 3 2 3 2" xfId="41009"/>
    <cellStyle name="Currency 2 2 18 3 2 3 2" xfId="41010"/>
    <cellStyle name="Currency 2 2 2 2 3 2 3 2" xfId="41011"/>
    <cellStyle name="Currency 2 2 2 3 3 2 3 2" xfId="41012"/>
    <cellStyle name="Currency 2 2 2 4 3 2 3 2" xfId="41013"/>
    <cellStyle name="Currency 2 2 2 5 3 2 3 2" xfId="41014"/>
    <cellStyle name="Currency 2 2 3 7 2 3 2" xfId="41015"/>
    <cellStyle name="Currency 2 2 3 2 3 2 3 2" xfId="41016"/>
    <cellStyle name="Currency 2 2 3 3 3 2 3 2" xfId="41017"/>
    <cellStyle name="Currency 2 2 3 4 3 2 3 2" xfId="41018"/>
    <cellStyle name="Currency 2 2 3 5 3 2 3 2" xfId="41019"/>
    <cellStyle name="Currency 2 2 4 3 2 3 2" xfId="41020"/>
    <cellStyle name="Currency 2 2 5 3 2 3 2" xfId="41021"/>
    <cellStyle name="Currency 2 2 6 3 2 3 2" xfId="41022"/>
    <cellStyle name="Currency 2 2 7 3 2 3 2" xfId="41023"/>
    <cellStyle name="Currency 2 2 8 3 2 3 2" xfId="41024"/>
    <cellStyle name="Currency 2 2 9 3 2 3 2" xfId="41025"/>
    <cellStyle name="Currency 3 10 3 2 3 2" xfId="41026"/>
    <cellStyle name="Currency 3 11 3 2 3 2" xfId="41027"/>
    <cellStyle name="Currency 3 12 3 2 3 2" xfId="41028"/>
    <cellStyle name="Currency 3 13 3 2 3 2" xfId="41029"/>
    <cellStyle name="Currency 3 14 3 2 3 2" xfId="41030"/>
    <cellStyle name="Currency 3 15 3 2 3 2" xfId="41031"/>
    <cellStyle name="Currency 3 16 3 2 3 2" xfId="41032"/>
    <cellStyle name="Currency 3 17 3 2 3 2" xfId="41033"/>
    <cellStyle name="Currency 3 18 3 2 3 2" xfId="41034"/>
    <cellStyle name="Currency 3 19 3 2 3 2" xfId="41035"/>
    <cellStyle name="Currency 3 2 2 3 2 3 2" xfId="41036"/>
    <cellStyle name="Currency 3 2 3 3 2 3 2" xfId="41037"/>
    <cellStyle name="Currency 3 2 4 3 2 3 2" xfId="41038"/>
    <cellStyle name="Currency 3 2 5 3 2 3 2" xfId="41039"/>
    <cellStyle name="Currency 3 20 3 2 3 2" xfId="41040"/>
    <cellStyle name="Currency 3 21 3 2 3 2" xfId="41041"/>
    <cellStyle name="Currency 3 3 9 2 3 2" xfId="41042"/>
    <cellStyle name="Currency 3 3 2 3 2 3 2" xfId="41043"/>
    <cellStyle name="Currency 3 3 3 3 2 3 2" xfId="41044"/>
    <cellStyle name="Currency 3 3 4 3 2 3 2" xfId="41045"/>
    <cellStyle name="Currency 3 3 5 3 2 3 2" xfId="41046"/>
    <cellStyle name="Currency 3 3 6 3 2 3 2" xfId="41047"/>
    <cellStyle name="Currency 3 4 4 2 3 2" xfId="41048"/>
    <cellStyle name="Currency 3 4 2 3 2 3 2" xfId="41049"/>
    <cellStyle name="Currency 3 5 4 2 3 2" xfId="41050"/>
    <cellStyle name="Currency 3 5 2 3 2 3 2" xfId="41051"/>
    <cellStyle name="Currency 3 6 4 2 3 2" xfId="41052"/>
    <cellStyle name="Currency 3 6 2 3 2 3 2" xfId="41053"/>
    <cellStyle name="Currency 3 7 3 2 3 2" xfId="41054"/>
    <cellStyle name="Currency 3 8 3 2 3 2" xfId="41055"/>
    <cellStyle name="Currency 3 9 3 2 3 2" xfId="41056"/>
    <cellStyle name="Normal 10 3 7 2 3 2" xfId="41057"/>
    <cellStyle name="Normal 10 3 2 6 2 3 2" xfId="41058"/>
    <cellStyle name="Normal 10 3 2 2 4 2 3 2" xfId="41059"/>
    <cellStyle name="Normal 10 3 2 2 2 3 2 3 2" xfId="41060"/>
    <cellStyle name="Normal 10 3 2 3 4 2 3 2" xfId="41061"/>
    <cellStyle name="Normal 10 3 2 3 2 3 2 3 2" xfId="41062"/>
    <cellStyle name="Normal 10 3 2 4 3 2 3 2" xfId="41063"/>
    <cellStyle name="Normal 10 3 3 4 2 3 2" xfId="41064"/>
    <cellStyle name="Normal 10 3 3 2 3 2 3 2" xfId="41065"/>
    <cellStyle name="Normal 10 3 4 4 2 3 2" xfId="41066"/>
    <cellStyle name="Normal 10 3 4 2 3 2 3 2" xfId="41067"/>
    <cellStyle name="Normal 10 3 5 3 2 3 2" xfId="41068"/>
    <cellStyle name="Normal 10 4 6 2 3 2" xfId="41069"/>
    <cellStyle name="Normal 10 4 2 4 2 3 2" xfId="41070"/>
    <cellStyle name="Normal 10 4 2 2 3 2 3 2" xfId="41071"/>
    <cellStyle name="Normal 10 4 3 4 2 3 2" xfId="41072"/>
    <cellStyle name="Normal 10 4 3 2 3 2 3 2" xfId="41073"/>
    <cellStyle name="Normal 10 4 4 3 2 3 2" xfId="41074"/>
    <cellStyle name="Normal 10 5 6 2 3 2" xfId="41075"/>
    <cellStyle name="Normal 10 5 2 4 2 3 2" xfId="41076"/>
    <cellStyle name="Normal 10 5 2 2 3 2 3 2" xfId="41077"/>
    <cellStyle name="Normal 10 5 3 4 2 3 2" xfId="41078"/>
    <cellStyle name="Normal 10 5 3 2 3 2 3 2" xfId="41079"/>
    <cellStyle name="Normal 10 5 4 3 2 3 2" xfId="41080"/>
    <cellStyle name="Normal 10 6 4 2 3 2" xfId="41081"/>
    <cellStyle name="Normal 10 6 2 3 2 3 2" xfId="41082"/>
    <cellStyle name="Normal 10 7 4 2 3 2" xfId="41083"/>
    <cellStyle name="Normal 10 7 2 3 2 3 2" xfId="41084"/>
    <cellStyle name="Normal 10 8 2 3 2 3 2" xfId="41085"/>
    <cellStyle name="Normal 10 9 3 2 3 2" xfId="41086"/>
    <cellStyle name="Normal 11 4 3 2 3 2" xfId="41087"/>
    <cellStyle name="Normal 11 3 3 2 3 2" xfId="41088"/>
    <cellStyle name="Normal 12 9 2 3 2" xfId="41089"/>
    <cellStyle name="Normal 12 2 2 6 2 3 2" xfId="41090"/>
    <cellStyle name="Normal 12 2 2 2 4 2 3 2" xfId="41091"/>
    <cellStyle name="Normal 12 2 2 2 2 3 2 3 2" xfId="41092"/>
    <cellStyle name="Normal 12 2 2 3 4 2 3 2" xfId="41093"/>
    <cellStyle name="Normal 12 2 2 3 2 3 2 3 2" xfId="41094"/>
    <cellStyle name="Normal 12 2 2 4 3 2 3 2" xfId="41095"/>
    <cellStyle name="Normal 12 2 3 4 2 3 2" xfId="41096"/>
    <cellStyle name="Normal 12 2 3 2 3 2 3 2" xfId="41097"/>
    <cellStyle name="Normal 12 2 4 4 2 3 2" xfId="41098"/>
    <cellStyle name="Normal 12 2 4 2 3 2 3 2" xfId="41099"/>
    <cellStyle name="Normal 12 2 5 2 3 2 3 2" xfId="41100"/>
    <cellStyle name="Normal 12 2 6 3 2 3 2" xfId="41101"/>
    <cellStyle name="Normal 12 3 6 2 3 2" xfId="41102"/>
    <cellStyle name="Normal 12 3 2 4 2 3 2" xfId="41103"/>
    <cellStyle name="Normal 12 3 2 2 3 2 3 2" xfId="41104"/>
    <cellStyle name="Normal 12 3 3 4 2 3 2" xfId="41105"/>
    <cellStyle name="Normal 12 3 3 2 3 2 3 2" xfId="41106"/>
    <cellStyle name="Normal 12 3 4 3 2 3 2" xfId="41107"/>
    <cellStyle name="Normal 12 4 6 2 3 2" xfId="41108"/>
    <cellStyle name="Normal 12 4 2 4 2 3 2" xfId="41109"/>
    <cellStyle name="Normal 12 4 2 2 3 2 3 2" xfId="41110"/>
    <cellStyle name="Normal 12 4 3 4 2 3 2" xfId="41111"/>
    <cellStyle name="Normal 12 4 3 2 3 2 3 2" xfId="41112"/>
    <cellStyle name="Normal 12 4 4 3 2 3 2" xfId="41113"/>
    <cellStyle name="Normal 12 5 4 2 3 2" xfId="41114"/>
    <cellStyle name="Normal 12 5 2 3 2 3 2" xfId="41115"/>
    <cellStyle name="Normal 12 6 4 2 3 2" xfId="41116"/>
    <cellStyle name="Normal 12 6 2 3 2 3 2" xfId="41117"/>
    <cellStyle name="Normal 12 7 3 2 3 2" xfId="41118"/>
    <cellStyle name="Normal 15 7 2 3 2" xfId="41119"/>
    <cellStyle name="Normal 15 3 3 2 3 2" xfId="41120"/>
    <cellStyle name="Normal 16 2 6 2 3 2" xfId="41121"/>
    <cellStyle name="Normal 16 2 2 4 2 3 2" xfId="41122"/>
    <cellStyle name="Normal 16 2 2 2 3 2 3 2" xfId="41123"/>
    <cellStyle name="Normal 16 2 3 4 2 3 2" xfId="41124"/>
    <cellStyle name="Normal 16 2 3 2 3 2 3 2" xfId="41125"/>
    <cellStyle name="Normal 16 2 4 3 2 3 2" xfId="41126"/>
    <cellStyle name="Normal 16 3 4 2 3 2" xfId="41127"/>
    <cellStyle name="Normal 16 3 2 3 2 3 2" xfId="41128"/>
    <cellStyle name="Normal 16 4 4 2 3 2" xfId="41129"/>
    <cellStyle name="Normal 16 4 2 3 2 3 2" xfId="41130"/>
    <cellStyle name="Normal 16 5 2 3 2 3 2" xfId="41131"/>
    <cellStyle name="Normal 16 6 3 2 3 2" xfId="41132"/>
    <cellStyle name="Normal 17 2 6 2 3 2" xfId="41133"/>
    <cellStyle name="Normal 17 2 2 4 2 3 2" xfId="41134"/>
    <cellStyle name="Normal 17 2 2 2 3 2 3 2" xfId="41135"/>
    <cellStyle name="Normal 17 2 3 4 2 3 2" xfId="41136"/>
    <cellStyle name="Normal 17 2 3 2 3 2 3 2" xfId="41137"/>
    <cellStyle name="Normal 17 2 4 3 2 3 2" xfId="41138"/>
    <cellStyle name="Normal 17 3 4 2 3 2" xfId="41139"/>
    <cellStyle name="Normal 17 3 2 3 2 3 2" xfId="41140"/>
    <cellStyle name="Normal 17 4 4 2 3 2" xfId="41141"/>
    <cellStyle name="Normal 17 4 2 3 2 3 2" xfId="41142"/>
    <cellStyle name="Normal 17 5 2 3 2 3 2" xfId="41143"/>
    <cellStyle name="Normal 17 6 3 2 3 2" xfId="41144"/>
    <cellStyle name="Normal 2 10 3 3 2 3 2" xfId="41145"/>
    <cellStyle name="Normal 2 11 3 3 2 3 2" xfId="41146"/>
    <cellStyle name="Normal 2 12 3 3 2 3 2" xfId="41147"/>
    <cellStyle name="Normal 2 13 3 3 2 3 2" xfId="41148"/>
    <cellStyle name="Normal 2 14 3 3 2 3 2" xfId="41149"/>
    <cellStyle name="Normal 2 15 3 3 2 3 2" xfId="41150"/>
    <cellStyle name="Normal 2 16 3 3 2 3 2" xfId="41151"/>
    <cellStyle name="Normal 2 17 3 3 2 3 2" xfId="41152"/>
    <cellStyle name="Normal 2 18 3 3 2 3 2" xfId="41153"/>
    <cellStyle name="Normal 2 19 3 3 2 3 2" xfId="41154"/>
    <cellStyle name="Normal 2 2 10 3 2 3 2" xfId="41155"/>
    <cellStyle name="Normal 2 2 11 3 2 3 2" xfId="41156"/>
    <cellStyle name="Normal 2 2 12 3 2 3 2" xfId="41157"/>
    <cellStyle name="Normal 2 2 13 3 2 3 2" xfId="41158"/>
    <cellStyle name="Normal 2 2 14 3 2 3 2" xfId="41159"/>
    <cellStyle name="Normal 2 2 15 3 2 3 2" xfId="41160"/>
    <cellStyle name="Normal 2 2 16 3 2 3 2" xfId="41161"/>
    <cellStyle name="Normal 2 2 17 3 2 3 2" xfId="41162"/>
    <cellStyle name="Normal 2 2 18 3 2 3 2" xfId="41163"/>
    <cellStyle name="Normal 2 2 19 3 2 3 2" xfId="41164"/>
    <cellStyle name="Normal 2 2 2 2 7 2 3 2" xfId="41165"/>
    <cellStyle name="Normal 2 2 2 2 2 4 2 3 2" xfId="41166"/>
    <cellStyle name="Normal 2 2 2 2 2 2 3 2 3 2" xfId="41167"/>
    <cellStyle name="Normal 2 2 2 2 3 3 2 3 2" xfId="41168"/>
    <cellStyle name="Normal 2 2 2 2 4 3 2 3 2" xfId="41169"/>
    <cellStyle name="Normal 2 2 2 2 5 3 2 3 2" xfId="41170"/>
    <cellStyle name="Normal 2 2 20 3 2 3 2" xfId="41171"/>
    <cellStyle name="Normal 2 2 21 3 2 3 2" xfId="41172"/>
    <cellStyle name="Normal 2 2 22 3 2 3 2" xfId="41173"/>
    <cellStyle name="Normal 2 2 3 10 2 3 2" xfId="41174"/>
    <cellStyle name="Normal 2 2 3 2 3 2 3 2" xfId="41175"/>
    <cellStyle name="Normal 2 2 3 3 3 2 3 2" xfId="41176"/>
    <cellStyle name="Normal 2 2 3 4 3 2 3 2" xfId="41177"/>
    <cellStyle name="Normal 2 2 3 5 3 2 3 2" xfId="41178"/>
    <cellStyle name="Normal 2 2 3 6 3 2 3 2" xfId="41179"/>
    <cellStyle name="Normal 2 2 4 6 2 3 2" xfId="41180"/>
    <cellStyle name="Normal 2 2 4 2 3 2 3 2" xfId="41181"/>
    <cellStyle name="Normal 2 2 5 5 2 3 2" xfId="41182"/>
    <cellStyle name="Normal 2 2 5 2 3 2 3 2" xfId="41183"/>
    <cellStyle name="Normal 2 2 6 3 2 3 2" xfId="41184"/>
    <cellStyle name="Normal 2 2 7 3 2 3 2" xfId="41185"/>
    <cellStyle name="Normal 2 2 8 3 2 3 2" xfId="41186"/>
    <cellStyle name="Normal 2 2 9 3 2 3 2" xfId="41187"/>
    <cellStyle name="Normal 2 20 3 2 3 2" xfId="41188"/>
    <cellStyle name="Normal 2 3 2 4 2 3 2" xfId="41189"/>
    <cellStyle name="Normal 2 3 3 3 2 3 2" xfId="41190"/>
    <cellStyle name="Normal 2 3 4 3 2 3 2" xfId="41191"/>
    <cellStyle name="Normal 2 3 5 3 2 3 2" xfId="41192"/>
    <cellStyle name="Normal 2 3 6 3 2 3 2" xfId="41193"/>
    <cellStyle name="Normal 2 4 5 3 2 3 2" xfId="41194"/>
    <cellStyle name="Normal 2 4 2 3 2 3 2" xfId="41195"/>
    <cellStyle name="Normal 2 5 3 3 2 3 2" xfId="41196"/>
    <cellStyle name="Normal 2 6 3 3 2 3 2" xfId="41197"/>
    <cellStyle name="Normal 2 7 3 3 2 3 2" xfId="41198"/>
    <cellStyle name="Normal 2 8 3 3 2 3 2" xfId="41199"/>
    <cellStyle name="Normal 2 9 3 3 2 3 2" xfId="41200"/>
    <cellStyle name="Normal 21 10 2 3 2" xfId="41201"/>
    <cellStyle name="Normal 21 2 8 2 3 2" xfId="41202"/>
    <cellStyle name="Normal 21 2 2 3 2 3 2" xfId="41203"/>
    <cellStyle name="Normal 21 2 3 3 2 3 2" xfId="41204"/>
    <cellStyle name="Normal 21 2 4 3 2 3 2" xfId="41205"/>
    <cellStyle name="Normal 21 2 5 3 2 3 2" xfId="41206"/>
    <cellStyle name="Normal 21 2 6 3 2 3 2" xfId="41207"/>
    <cellStyle name="Normal 21 3 4 2 3 2" xfId="41208"/>
    <cellStyle name="Normal 21 3 2 3 2 3 2" xfId="41209"/>
    <cellStyle name="Normal 21 4 3 2 3 2" xfId="41210"/>
    <cellStyle name="Normal 21 5 3 2 3 2" xfId="41211"/>
    <cellStyle name="Normal 21 6 3 2 3 2" xfId="41212"/>
    <cellStyle name="Normal 21 8 3 2 3 2" xfId="41213"/>
    <cellStyle name="Normal 22 9 2 3 2" xfId="41214"/>
    <cellStyle name="Normal 22 2 8 2 3 2" xfId="41215"/>
    <cellStyle name="Normal 22 2 2 3 2 3 2" xfId="41216"/>
    <cellStyle name="Normal 22 2 3 3 2 3 2" xfId="41217"/>
    <cellStyle name="Normal 22 2 4 3 2 3 2" xfId="41218"/>
    <cellStyle name="Normal 22 2 5 3 2 3 2" xfId="41219"/>
    <cellStyle name="Normal 22 3 3 2 3 2" xfId="41220"/>
    <cellStyle name="Normal 22 4 3 2 3 2" xfId="41221"/>
    <cellStyle name="Normal 22 5 3 2 3 2" xfId="41222"/>
    <cellStyle name="Normal 22 6 3 2 3 2" xfId="41223"/>
    <cellStyle name="Normal 23 9 2 3 2" xfId="41224"/>
    <cellStyle name="Normal 23 2 7 2 3 2" xfId="41225"/>
    <cellStyle name="Normal 23 2 2 3 2 3 2" xfId="41226"/>
    <cellStyle name="Normal 23 2 3 3 2 3 2" xfId="41227"/>
    <cellStyle name="Normal 23 2 4 3 2 3 2" xfId="41228"/>
    <cellStyle name="Normal 23 2 5 3 2 3 2" xfId="41229"/>
    <cellStyle name="Normal 23 3 3 2 3 2" xfId="41230"/>
    <cellStyle name="Normal 23 4 3 2 3 2" xfId="41231"/>
    <cellStyle name="Normal 23 5 3 2 3 2" xfId="41232"/>
    <cellStyle name="Normal 23 6 3 2 3 2" xfId="41233"/>
    <cellStyle name="Normal 24 9 2 3 2" xfId="41234"/>
    <cellStyle name="Normal 24 2 7 2 3 2" xfId="41235"/>
    <cellStyle name="Normal 24 2 2 3 2 3 2" xfId="41236"/>
    <cellStyle name="Normal 24 2 3 3 2 3 2" xfId="41237"/>
    <cellStyle name="Normal 24 2 4 3 2 3 2" xfId="41238"/>
    <cellStyle name="Normal 24 2 5 3 2 3 2" xfId="41239"/>
    <cellStyle name="Normal 24 3 3 2 3 2" xfId="41240"/>
    <cellStyle name="Normal 24 4 3 2 3 2" xfId="41241"/>
    <cellStyle name="Normal 24 5 3 2 3 2" xfId="41242"/>
    <cellStyle name="Normal 24 6 3 2 3 2" xfId="41243"/>
    <cellStyle name="Normal 26 9 2 3 2" xfId="41244"/>
    <cellStyle name="Normal 26 2 7 2 3 2" xfId="41245"/>
    <cellStyle name="Normal 26 2 2 3 2 3 2" xfId="41246"/>
    <cellStyle name="Normal 26 2 3 3 2 3 2" xfId="41247"/>
    <cellStyle name="Normal 26 2 4 3 2 3 2" xfId="41248"/>
    <cellStyle name="Normal 26 2 5 3 2 3 2" xfId="41249"/>
    <cellStyle name="Normal 26 3 3 2 3 2" xfId="41250"/>
    <cellStyle name="Normal 26 4 3 2 3 2" xfId="41251"/>
    <cellStyle name="Normal 26 5 3 2 3 2" xfId="41252"/>
    <cellStyle name="Normal 26 6 3 2 3 2" xfId="41253"/>
    <cellStyle name="Normal 3 10 3 2 3 2" xfId="41254"/>
    <cellStyle name="Normal 3 11 3 2 3 2" xfId="41255"/>
    <cellStyle name="Normal 3 12 3 2 3 2" xfId="41256"/>
    <cellStyle name="Normal 3 13 3 2 3 2" xfId="41257"/>
    <cellStyle name="Normal 3 14 3 2 3 2" xfId="41258"/>
    <cellStyle name="Normal 3 15 3 2 3 2" xfId="41259"/>
    <cellStyle name="Normal 3 16 3 2 3 2" xfId="41260"/>
    <cellStyle name="Normal 3 17 3 2 3 2" xfId="41261"/>
    <cellStyle name="Normal 3 18 3 2 3 2" xfId="41262"/>
    <cellStyle name="Normal 3 19 3 2 3 2" xfId="41263"/>
    <cellStyle name="Normal 3 2 2 3 2 3 2" xfId="41264"/>
    <cellStyle name="Normal 3 2 3 3 2 3 2" xfId="41265"/>
    <cellStyle name="Normal 3 2 4 3 2 3 2" xfId="41266"/>
    <cellStyle name="Normal 3 2 5 3 2 3 2" xfId="41267"/>
    <cellStyle name="Normal 3 2 6 3 2 3 2" xfId="41268"/>
    <cellStyle name="Normal 3 20 3 2 3 2" xfId="41269"/>
    <cellStyle name="Normal 3 21 3 2 3 2" xfId="41270"/>
    <cellStyle name="Normal 3 22 3 2 3 2" xfId="41271"/>
    <cellStyle name="Normal 3 23 3 2 3 2" xfId="41272"/>
    <cellStyle name="Normal 3 24 3 2 3 2" xfId="41273"/>
    <cellStyle name="Normal 3 3 6 2 3 2" xfId="41274"/>
    <cellStyle name="Normal 3 3 2 3 2 3 2" xfId="41275"/>
    <cellStyle name="Normal 3 3 3 3 2 3 2" xfId="41276"/>
    <cellStyle name="Normal 3 4 4 2 3 2" xfId="41277"/>
    <cellStyle name="Normal 3 4 2 3 2 3 2" xfId="41278"/>
    <cellStyle name="Normal 3 5 4 2 3 2" xfId="41279"/>
    <cellStyle name="Normal 3 5 2 3 2 3 2" xfId="41280"/>
    <cellStyle name="Normal 3 6 3 2 3 2" xfId="41281"/>
    <cellStyle name="Normal 3 7 3 2 3 2" xfId="41282"/>
    <cellStyle name="Normal 3 8 3 2 3 2" xfId="41283"/>
    <cellStyle name="Normal 3 9 3 2 3 2" xfId="41284"/>
    <cellStyle name="Normal 4 2 10 3 2 3 2" xfId="41285"/>
    <cellStyle name="Normal 4 2 11 3 2 3 2" xfId="41286"/>
    <cellStyle name="Normal 4 2 12 3 2 3 2" xfId="41287"/>
    <cellStyle name="Normal 4 2 13 3 2 3 2" xfId="41288"/>
    <cellStyle name="Normal 4 2 14 3 2 3 2" xfId="41289"/>
    <cellStyle name="Normal 4 2 15 3 2 3 2" xfId="41290"/>
    <cellStyle name="Normal 4 2 16 3 2 3 2" xfId="41291"/>
    <cellStyle name="Normal 4 2 17 3 2 3 2" xfId="41292"/>
    <cellStyle name="Normal 4 2 18 3 2 3 2" xfId="41293"/>
    <cellStyle name="Normal 4 2 19 3 2 3 2" xfId="41294"/>
    <cellStyle name="Normal 4 2 2 7 2 3 2" xfId="41295"/>
    <cellStyle name="Normal 4 2 2 2 3 2 3 2" xfId="41296"/>
    <cellStyle name="Normal 4 2 2 3 3 2 3 2" xfId="41297"/>
    <cellStyle name="Normal 4 2 2 4 3 2 3 2" xfId="41298"/>
    <cellStyle name="Normal 4 2 2 5 3 2 3 2" xfId="41299"/>
    <cellStyle name="Normal 4 2 20 3 2 3 2" xfId="41300"/>
    <cellStyle name="Normal 4 2 21 3 2 3 2" xfId="41301"/>
    <cellStyle name="Normal 4 2 22 3 2 3 2" xfId="41302"/>
    <cellStyle name="Normal 4 2 23 3 2 3 2" xfId="41303"/>
    <cellStyle name="Normal 4 2 24 3 2 3 2" xfId="41304"/>
    <cellStyle name="Normal 4 2 3 4 2 3 2" xfId="41305"/>
    <cellStyle name="Normal 4 2 3 2 3 2 3 2" xfId="41306"/>
    <cellStyle name="Normal 4 2 4 4 2 3 2" xfId="41307"/>
    <cellStyle name="Normal 4 2 4 2 3 2 3 2" xfId="41308"/>
    <cellStyle name="Normal 4 2 5 4 2 3 2" xfId="41309"/>
    <cellStyle name="Normal 4 2 5 2 3 2 3 2" xfId="41310"/>
    <cellStyle name="Normal 4 2 6 3 2 3 2" xfId="41311"/>
    <cellStyle name="Normal 4 2 7 3 2 3 2" xfId="41312"/>
    <cellStyle name="Normal 4 2 8 3 2 3 2" xfId="41313"/>
    <cellStyle name="Normal 4 2 9 3 2 3 2" xfId="41314"/>
    <cellStyle name="Normal 4 3 8 2 3 2" xfId="41315"/>
    <cellStyle name="Normal 4 3 2 7 2 3 2" xfId="41316"/>
    <cellStyle name="Normal 4 3 2 2 6 2 3 2" xfId="41317"/>
    <cellStyle name="Normal 4 3 2 2 2 4 2 3 2" xfId="41318"/>
    <cellStyle name="Normal 4 3 2 2 2 2 3 2 3 2" xfId="41319"/>
    <cellStyle name="Normal 4 3 2 2 3 4 2 3 2" xfId="41320"/>
    <cellStyle name="Normal 4 3 2 2 3 2 3 2 3 2" xfId="41321"/>
    <cellStyle name="Normal 4 3 2 2 4 3 2 3 2" xfId="41322"/>
    <cellStyle name="Normal 4 3 2 3 4 2 3 2" xfId="41323"/>
    <cellStyle name="Normal 4 3 2 3 2 3 2 3 2" xfId="41324"/>
    <cellStyle name="Normal 4 3 2 4 4 2 3 2" xfId="41325"/>
    <cellStyle name="Normal 4 3 2 4 2 3 2 3 2" xfId="41326"/>
    <cellStyle name="Normal 4 3 2 5 3 2 3 2" xfId="41327"/>
    <cellStyle name="Normal 4 3 3 6 2 3 2" xfId="41328"/>
    <cellStyle name="Normal 4 3 3 2 4 2 3 2" xfId="41329"/>
    <cellStyle name="Normal 4 3 3 2 2 3 2 3 2" xfId="41330"/>
    <cellStyle name="Normal 4 3 3 3 4 2 3 2" xfId="41331"/>
    <cellStyle name="Normal 4 3 3 3 2 3 2 3 2" xfId="41332"/>
    <cellStyle name="Normal 4 3 3 4 3 2 3 2" xfId="41333"/>
    <cellStyle name="Normal 4 3 4 4 2 3 2" xfId="41334"/>
    <cellStyle name="Normal 4 3 4 2 3 2 3 2" xfId="41335"/>
    <cellStyle name="Normal 4 3 5 4 2 3 2" xfId="41336"/>
    <cellStyle name="Normal 4 3 5 2 3 2 3 2" xfId="41337"/>
    <cellStyle name="Normal 4 3 6 3 2 3 2" xfId="41338"/>
    <cellStyle name="Normal 4 4 5 2 3 2" xfId="41339"/>
    <cellStyle name="Normal 4 4 2 3 2 3 2" xfId="41340"/>
    <cellStyle name="Normal 4 5 3 2 3 2" xfId="41341"/>
    <cellStyle name="Normal 4 6 3 2 3 2" xfId="41342"/>
    <cellStyle name="Normal 4 7 3 2 3 2" xfId="41343"/>
    <cellStyle name="Normal 4 8 3 2 3 2" xfId="41344"/>
    <cellStyle name="Normal 41 2 3 2 3 2" xfId="41345"/>
    <cellStyle name="Normal 46 3 2 3 2" xfId="41346"/>
    <cellStyle name="Normal 5 28 3 2 3 2" xfId="41347"/>
    <cellStyle name="Normal 5 2 8 2 3 2" xfId="41348"/>
    <cellStyle name="Normal 5 2 2 2 2 3 2 3 2" xfId="41349"/>
    <cellStyle name="Normal 5 2 2 3 3 2 3 2" xfId="41350"/>
    <cellStyle name="Normal 5 2 3 2 2 3 2 3 2" xfId="41351"/>
    <cellStyle name="Normal 5 2 3 3 3 2 3 2" xfId="41352"/>
    <cellStyle name="Normal 5 2 4 2 3 2 3 2" xfId="41353"/>
    <cellStyle name="Normal 5 2 6 3 2 3 2" xfId="41354"/>
    <cellStyle name="Normal 5 24 3 2 3 2" xfId="41355"/>
    <cellStyle name="Normal 5 3 4 2 3 2" xfId="41356"/>
    <cellStyle name="Normal 5 4 4 2 3 2" xfId="41357"/>
    <cellStyle name="Normal 5 5 4 2 3 2" xfId="41358"/>
    <cellStyle name="Normal 5 6 4 2 3 2" xfId="41359"/>
    <cellStyle name="Normal 5 7 4 2 3 2" xfId="41360"/>
    <cellStyle name="Normal 7 25 3 2 3 2" xfId="41361"/>
    <cellStyle name="Normal 7 10 3 2 3 2" xfId="41362"/>
    <cellStyle name="Normal 7 11 3 2 3 2" xfId="41363"/>
    <cellStyle name="Normal 7 12 3 2 3 2" xfId="41364"/>
    <cellStyle name="Normal 7 13 3 2 3 2" xfId="41365"/>
    <cellStyle name="Normal 7 14 3 2 3 2" xfId="41366"/>
    <cellStyle name="Normal 7 15 3 2 3 2" xfId="41367"/>
    <cellStyle name="Normal 7 16 3 2 3 2" xfId="41368"/>
    <cellStyle name="Normal 7 17 3 2 3 2" xfId="41369"/>
    <cellStyle name="Normal 7 18 3 2 3 2" xfId="41370"/>
    <cellStyle name="Normal 7 19 3 2 3 2" xfId="41371"/>
    <cellStyle name="Normal 7 2 7 2 3 2" xfId="41372"/>
    <cellStyle name="Normal 7 2 2 3 2 3 2" xfId="41373"/>
    <cellStyle name="Normal 7 2 3 3 2 3 2" xfId="41374"/>
    <cellStyle name="Normal 7 2 4 3 2 3 2" xfId="41375"/>
    <cellStyle name="Normal 7 2 5 3 2 3 2" xfId="41376"/>
    <cellStyle name="Normal 7 20 3 2 3 2" xfId="41377"/>
    <cellStyle name="Normal 7 22 3 2 3 2" xfId="41378"/>
    <cellStyle name="Normal 7 3 7 2 3 2" xfId="41379"/>
    <cellStyle name="Normal 7 3 2 3 2 3 2" xfId="41380"/>
    <cellStyle name="Normal 7 3 3 3 2 3 2" xfId="41381"/>
    <cellStyle name="Normal 7 3 4 3 2 3 2" xfId="41382"/>
    <cellStyle name="Normal 7 3 5 3 2 3 2" xfId="41383"/>
    <cellStyle name="Normal 7 4 3 2 3 2" xfId="41384"/>
    <cellStyle name="Normal 7 5 3 2 3 2" xfId="41385"/>
    <cellStyle name="Normal 7 6 3 2 3 2" xfId="41386"/>
    <cellStyle name="Normal 7 7 3 2 3 2" xfId="41387"/>
    <cellStyle name="Normal 7 8 3 2 3 2" xfId="41388"/>
    <cellStyle name="Normal 7 9 3 2 3 2" xfId="41389"/>
    <cellStyle name="Normal 8 25 3 2 3 2" xfId="41390"/>
    <cellStyle name="Normal 8 10 3 2 3 2" xfId="41391"/>
    <cellStyle name="Normal 8 11 3 2 3 2" xfId="41392"/>
    <cellStyle name="Normal 8 12 3 2 3 2" xfId="41393"/>
    <cellStyle name="Normal 8 13 3 2 3 2" xfId="41394"/>
    <cellStyle name="Normal 8 14 3 2 3 2" xfId="41395"/>
    <cellStyle name="Normal 8 15 3 2 3 2" xfId="41396"/>
    <cellStyle name="Normal 8 16 3 2 3 2" xfId="41397"/>
    <cellStyle name="Normal 8 17 3 2 3 2" xfId="41398"/>
    <cellStyle name="Normal 8 18 3 2 3 2" xfId="41399"/>
    <cellStyle name="Normal 8 19 3 2 3 2" xfId="41400"/>
    <cellStyle name="Normal 8 2 6 3 2 3 2" xfId="41401"/>
    <cellStyle name="Normal 8 2 2 2 3 2 3 2" xfId="41402"/>
    <cellStyle name="Normal 8 2 3 3 2 3 2" xfId="41403"/>
    <cellStyle name="Normal 8 2 4 3 2 3 2" xfId="41404"/>
    <cellStyle name="Normal 8 2 5 3 2 3 2" xfId="41405"/>
    <cellStyle name="Normal 8 20 3 2 3 2" xfId="41406"/>
    <cellStyle name="Normal 8 22 3 2 3 2" xfId="41407"/>
    <cellStyle name="Normal 8 3 6 3 2 3 2" xfId="41408"/>
    <cellStyle name="Normal 8 3 2 3 2 3 2" xfId="41409"/>
    <cellStyle name="Normal 8 3 3 3 2 3 2" xfId="41410"/>
    <cellStyle name="Normal 8 3 4 3 2 3 2" xfId="41411"/>
    <cellStyle name="Normal 8 3 5 3 2 3 2" xfId="41412"/>
    <cellStyle name="Normal 8 4 3 2 3 2" xfId="41413"/>
    <cellStyle name="Normal 8 5 3 2 3 2" xfId="41414"/>
    <cellStyle name="Normal 8 6 3 2 3 2" xfId="41415"/>
    <cellStyle name="Normal 8 7 3 2 3 2" xfId="41416"/>
    <cellStyle name="Normal 8 8 3 2 3 2" xfId="41417"/>
    <cellStyle name="Normal 8 9 3 2 3 2" xfId="41418"/>
    <cellStyle name="Normal 9 25 3 2 3 2" xfId="41419"/>
    <cellStyle name="Normal 9 10 3 2 3 2" xfId="41420"/>
    <cellStyle name="Normal 9 11 3 2 3 2" xfId="41421"/>
    <cellStyle name="Normal 9 12 3 2 3 2" xfId="41422"/>
    <cellStyle name="Normal 9 13 3 2 3 2" xfId="41423"/>
    <cellStyle name="Normal 9 14 3 2 3 2" xfId="41424"/>
    <cellStyle name="Normal 9 15 3 2 3 2" xfId="41425"/>
    <cellStyle name="Normal 9 16 3 2 3 2" xfId="41426"/>
    <cellStyle name="Normal 9 17 3 2 3 2" xfId="41427"/>
    <cellStyle name="Normal 9 18 3 2 3 2" xfId="41428"/>
    <cellStyle name="Normal 9 19 3 2 3 2" xfId="41429"/>
    <cellStyle name="Normal 9 2 7 2 3 2" xfId="41430"/>
    <cellStyle name="Normal 9 2 2 3 2 3 2" xfId="41431"/>
    <cellStyle name="Normal 9 2 3 3 2 3 2" xfId="41432"/>
    <cellStyle name="Normal 9 2 4 3 2 3 2" xfId="41433"/>
    <cellStyle name="Normal 9 2 5 3 2 3 2" xfId="41434"/>
    <cellStyle name="Normal 9 20 3 2 3 2" xfId="41435"/>
    <cellStyle name="Normal 9 22 3 2 3 2" xfId="41436"/>
    <cellStyle name="Normal 9 3 7 2 3 2" xfId="41437"/>
    <cellStyle name="Normal 9 3 2 3 2 3 2" xfId="41438"/>
    <cellStyle name="Normal 9 3 3 3 2 3 2" xfId="41439"/>
    <cellStyle name="Normal 9 3 4 3 2 3 2" xfId="41440"/>
    <cellStyle name="Normal 9 3 5 3 2 3 2" xfId="41441"/>
    <cellStyle name="Normal 9 4 3 2 3 2" xfId="41442"/>
    <cellStyle name="Normal 9 5 3 2 3 2" xfId="41443"/>
    <cellStyle name="Normal 9 6 3 2 3 2" xfId="41444"/>
    <cellStyle name="Normal 9 7 3 2 3 2" xfId="41445"/>
    <cellStyle name="Normal 9 8 3 2 3 2" xfId="41446"/>
    <cellStyle name="Normal 9 9 3 2 3 2" xfId="41447"/>
    <cellStyle name="Note 2 3 2 3 2" xfId="41448"/>
    <cellStyle name="Note 3 3 2 3 2" xfId="41449"/>
    <cellStyle name="Note 4 3 2 3 2" xfId="41450"/>
    <cellStyle name="Note 7 3 2 3 2" xfId="41451"/>
    <cellStyle name="Percent 120 3 2 3 2" xfId="41452"/>
    <cellStyle name="Percent 121 3 2 3 2" xfId="41453"/>
    <cellStyle name="Percent 122 3 2 3 2" xfId="41454"/>
    <cellStyle name="Percent 123 3 2 3 2" xfId="41455"/>
    <cellStyle name="Percent 124 3 2 3 2" xfId="41456"/>
    <cellStyle name="Percent 125 3 2 3 2" xfId="41457"/>
    <cellStyle name="Percent 126 3 2 3 2" xfId="41458"/>
    <cellStyle name="Percent 127 3 2 3 2" xfId="41459"/>
    <cellStyle name="Percent 128 3 2 3 2" xfId="41460"/>
    <cellStyle name="Percent 129 3 2 3 2" xfId="41461"/>
    <cellStyle name="Percent 130 3 2 3 2" xfId="41462"/>
    <cellStyle name="Percent 159 3 2 3 2" xfId="41463"/>
    <cellStyle name="Percent 2 22 3 2 3 2" xfId="41464"/>
    <cellStyle name="Percent 25 2 4 2 3 2" xfId="41465"/>
    <cellStyle name="Percent 25 2 2 3 2 3 2" xfId="41466"/>
    <cellStyle name="Percent 25 3 4 2 3 2" xfId="41467"/>
    <cellStyle name="Percent 25 3 2 3 2 3 2" xfId="41468"/>
    <cellStyle name="Percent 25 4 2 3 2 3 2" xfId="41469"/>
    <cellStyle name="Percent 25 5 3 2 3 2" xfId="41470"/>
    <cellStyle name="Percent 26 2 4 2 3 2" xfId="41471"/>
    <cellStyle name="Percent 26 2 2 3 2 3 2" xfId="41472"/>
    <cellStyle name="Percent 26 3 4 2 3 2" xfId="41473"/>
    <cellStyle name="Percent 26 3 2 3 2 3 2" xfId="41474"/>
    <cellStyle name="Percent 26 4 2 3 2 3 2" xfId="41475"/>
    <cellStyle name="Percent 26 5 3 2 3 2" xfId="41476"/>
    <cellStyle name="Percent 27 2 4 2 3 2" xfId="41477"/>
    <cellStyle name="Percent 27 2 2 3 2 3 2" xfId="41478"/>
    <cellStyle name="Percent 27 3 4 2 3 2" xfId="41479"/>
    <cellStyle name="Percent 27 3 2 3 2 3 2" xfId="41480"/>
    <cellStyle name="Percent 27 4 2 3 2 3 2" xfId="41481"/>
    <cellStyle name="Percent 27 5 3 2 3 2" xfId="41482"/>
    <cellStyle name="Percent 28 2 4 2 3 2" xfId="41483"/>
    <cellStyle name="Percent 28 2 2 3 2 3 2" xfId="41484"/>
    <cellStyle name="Percent 28 3 4 2 3 2" xfId="41485"/>
    <cellStyle name="Percent 28 3 2 3 2 3 2" xfId="41486"/>
    <cellStyle name="Percent 28 4 2 3 2 3 2" xfId="41487"/>
    <cellStyle name="Percent 28 5 3 2 3 2" xfId="41488"/>
    <cellStyle name="Percent 29 2 4 2 3 2" xfId="41489"/>
    <cellStyle name="Percent 29 2 2 3 2 3 2" xfId="41490"/>
    <cellStyle name="Percent 29 3 4 2 3 2" xfId="41491"/>
    <cellStyle name="Percent 29 3 2 3 2 3 2" xfId="41492"/>
    <cellStyle name="Percent 29 4 2 3 2 3 2" xfId="41493"/>
    <cellStyle name="Percent 29 5 3 2 3 2" xfId="41494"/>
    <cellStyle name="Percent 3 10 3 2 3 2" xfId="41495"/>
    <cellStyle name="Percent 3 11 3 2 3 2" xfId="41496"/>
    <cellStyle name="Percent 3 12 3 2 3 2" xfId="41497"/>
    <cellStyle name="Percent 3 13 3 2 3 2" xfId="41498"/>
    <cellStyle name="Percent 3 14 3 2 3 2" xfId="41499"/>
    <cellStyle name="Percent 3 15 3 2 3 2" xfId="41500"/>
    <cellStyle name="Percent 3 16 3 2 3 2" xfId="41501"/>
    <cellStyle name="Percent 3 17 3 2 3 2" xfId="41502"/>
    <cellStyle name="Percent 3 18 3 2 3 2" xfId="41503"/>
    <cellStyle name="Percent 3 19 3 2 3 2" xfId="41504"/>
    <cellStyle name="Percent 3 2 24 2 3 2" xfId="41505"/>
    <cellStyle name="Percent 3 2 10 3 2 3 2" xfId="41506"/>
    <cellStyle name="Percent 3 2 11 3 2 3 2" xfId="41507"/>
    <cellStyle name="Percent 3 2 12 3 2 3 2" xfId="41508"/>
    <cellStyle name="Percent 3 2 13 3 2 3 2" xfId="41509"/>
    <cellStyle name="Percent 3 2 14 3 2 3 2" xfId="41510"/>
    <cellStyle name="Percent 3 2 15 3 2 3 2" xfId="41511"/>
    <cellStyle name="Percent 3 2 16 3 2 3 2" xfId="41512"/>
    <cellStyle name="Percent 3 2 17 3 2 3 2" xfId="41513"/>
    <cellStyle name="Percent 3 2 18 3 2 3 2" xfId="41514"/>
    <cellStyle name="Percent 3 2 19 3 2 3 2" xfId="41515"/>
    <cellStyle name="Percent 3 2 2 2 3 2 3 2" xfId="41516"/>
    <cellStyle name="Percent 3 2 2 3 3 2 3 2" xfId="41517"/>
    <cellStyle name="Percent 3 2 2 4 3 2 3 2" xfId="41518"/>
    <cellStyle name="Percent 3 2 2 5 3 2 3 2" xfId="41519"/>
    <cellStyle name="Percent 3 2 20 3 2 3 2" xfId="41520"/>
    <cellStyle name="Percent 3 2 21 2 3 2 3 2" xfId="41521"/>
    <cellStyle name="Percent 3 2 3 7 2 3 2" xfId="41522"/>
    <cellStyle name="Percent 3 2 3 2 3 2 3 2" xfId="41523"/>
    <cellStyle name="Percent 3 2 3 3 3 2 3 2" xfId="41524"/>
    <cellStyle name="Percent 3 2 3 4 3 2 3 2" xfId="41525"/>
    <cellStyle name="Percent 3 2 3 5 3 2 3 2" xfId="41526"/>
    <cellStyle name="Percent 3 2 4 4 2 3 2" xfId="41527"/>
    <cellStyle name="Percent 3 2 4 2 3 2 3 2" xfId="41528"/>
    <cellStyle name="Percent 3 2 5 4 2 3 2" xfId="41529"/>
    <cellStyle name="Percent 3 2 5 2 3 2 3 2" xfId="41530"/>
    <cellStyle name="Percent 3 2 6 4 2 3 2" xfId="41531"/>
    <cellStyle name="Percent 3 2 6 2 3 2 3 2" xfId="41532"/>
    <cellStyle name="Percent 3 2 7 3 2 3 2" xfId="41533"/>
    <cellStyle name="Percent 3 2 8 3 2 3 2" xfId="41534"/>
    <cellStyle name="Percent 3 2 9 3 2 3 2" xfId="41535"/>
    <cellStyle name="Percent 3 20 3 2 3 2" xfId="41536"/>
    <cellStyle name="Percent 3 21 3 2 3 2" xfId="41537"/>
    <cellStyle name="Percent 3 3 2 3 2 3 2" xfId="41538"/>
    <cellStyle name="Percent 3 3 3 3 2 3 2" xfId="41539"/>
    <cellStyle name="Percent 3 3 4 3 2 3 2" xfId="41540"/>
    <cellStyle name="Percent 3 3 5 3 2 3 2" xfId="41541"/>
    <cellStyle name="Percent 3 4 7 2 3 2" xfId="41542"/>
    <cellStyle name="Percent 3 4 2 3 2 3 2" xfId="41543"/>
    <cellStyle name="Percent 3 4 3 3 2 3 2" xfId="41544"/>
    <cellStyle name="Percent 3 4 4 3 2 3 2" xfId="41545"/>
    <cellStyle name="Percent 3 4 5 3 2 3 2" xfId="41546"/>
    <cellStyle name="Percent 3 5 4 2 3 2" xfId="41547"/>
    <cellStyle name="Percent 3 5 2 3 2 3 2" xfId="41548"/>
    <cellStyle name="Percent 3 6 4 2 3 2" xfId="41549"/>
    <cellStyle name="Percent 3 6 2 3 2 3 2" xfId="41550"/>
    <cellStyle name="Percent 3 7 4 2 3 2" xfId="41551"/>
    <cellStyle name="Percent 3 7 2 3 2 3 2" xfId="41552"/>
    <cellStyle name="Percent 3 8 3 2 3 2" xfId="41553"/>
    <cellStyle name="Percent 3 9 3 2 3 2" xfId="41554"/>
    <cellStyle name="Percent 30 2 4 2 3 2" xfId="41555"/>
    <cellStyle name="Percent 30 2 2 3 2 3 2" xfId="41556"/>
    <cellStyle name="Percent 30 3 4 2 3 2" xfId="41557"/>
    <cellStyle name="Percent 30 3 2 3 2 3 2" xfId="41558"/>
    <cellStyle name="Percent 30 4 2 3 2 3 2" xfId="41559"/>
    <cellStyle name="Percent 30 5 3 2 3 2" xfId="41560"/>
    <cellStyle name="Percent 31 2 4 2 3 2" xfId="41561"/>
    <cellStyle name="Percent 31 2 2 3 2 3 2" xfId="41562"/>
    <cellStyle name="Percent 31 3 4 2 3 2" xfId="41563"/>
    <cellStyle name="Percent 31 3 2 3 2 3 2" xfId="41564"/>
    <cellStyle name="Percent 31 4 2 3 2 3 2" xfId="41565"/>
    <cellStyle name="Percent 31 5 3 2 3 2" xfId="41566"/>
    <cellStyle name="Percent 32 2 4 2 3 2" xfId="41567"/>
    <cellStyle name="Percent 32 2 2 3 2 3 2" xfId="41568"/>
    <cellStyle name="Percent 32 3 4 2 3 2" xfId="41569"/>
    <cellStyle name="Percent 32 3 2 3 2 3 2" xfId="41570"/>
    <cellStyle name="Percent 32 4 2 3 2 3 2" xfId="41571"/>
    <cellStyle name="Percent 32 5 3 2 3 2" xfId="41572"/>
    <cellStyle name="Percent 33 2 4 2 3 2" xfId="41573"/>
    <cellStyle name="Percent 33 2 2 3 2 3 2" xfId="41574"/>
    <cellStyle name="Percent 33 3 4 2 3 2" xfId="41575"/>
    <cellStyle name="Percent 33 3 2 3 2 3 2" xfId="41576"/>
    <cellStyle name="Percent 33 4 2 3 2 3 2" xfId="41577"/>
    <cellStyle name="Percent 33 5 3 2 3 2" xfId="41578"/>
    <cellStyle name="Percent 34 2 4 2 3 2" xfId="41579"/>
    <cellStyle name="Percent 34 2 2 3 2 3 2" xfId="41580"/>
    <cellStyle name="Percent 34 3 4 2 3 2" xfId="41581"/>
    <cellStyle name="Percent 34 3 2 3 2 3 2" xfId="41582"/>
    <cellStyle name="Percent 34 4 2 3 2 3 2" xfId="41583"/>
    <cellStyle name="Percent 34 5 3 2 3 2" xfId="41584"/>
    <cellStyle name="Percent 35 2 4 2 3 2" xfId="41585"/>
    <cellStyle name="Percent 35 2 2 3 2 3 2" xfId="41586"/>
    <cellStyle name="Percent 35 3 4 2 3 2" xfId="41587"/>
    <cellStyle name="Percent 35 3 2 3 2 3 2" xfId="41588"/>
    <cellStyle name="Percent 35 4 2 3 2 3 2" xfId="41589"/>
    <cellStyle name="Percent 35 5 3 2 3 2" xfId="41590"/>
    <cellStyle name="Currency 5 4 3 2 3 2" xfId="41591"/>
    <cellStyle name="Comma 5 7 3 2 3 2" xfId="41592"/>
    <cellStyle name="Percent 5 4 3 2 3 2" xfId="41593"/>
    <cellStyle name="Comma 6 5 3 2 3 2" xfId="41594"/>
    <cellStyle name="Currency 5 2 4 3 2 3 2" xfId="41595"/>
    <cellStyle name="Comma 5 2 4 3 2 3 2" xfId="41596"/>
    <cellStyle name="Percent 5 2 4 3 2 3 2" xfId="41597"/>
    <cellStyle name="Comma 6 2 3 3 2 3 2" xfId="41598"/>
    <cellStyle name="Currency 5 3 2 3 2 3 2" xfId="41599"/>
    <cellStyle name="Comma 5 3 2 3 2 3 2" xfId="41600"/>
    <cellStyle name="Percent 5 3 2 3 2 3 2" xfId="41601"/>
    <cellStyle name="Comma 6 3 4 3 2 3 2" xfId="41602"/>
    <cellStyle name="Normal 11 2 2 3 2 3 2" xfId="41603"/>
    <cellStyle name="Currency 5 2 2 2 3 2 3 2" xfId="41604"/>
    <cellStyle name="Comma 5 2 2 2 3 2 3 2" xfId="41605"/>
    <cellStyle name="Percent 5 2 2 2 3 2 3 2" xfId="41606"/>
    <cellStyle name="Comma 6 2 2 2 3 2 3 2" xfId="41607"/>
    <cellStyle name="Normal 51 3 2 3 2" xfId="41608"/>
    <cellStyle name="Comma 187 3 2 3 2" xfId="41609"/>
    <cellStyle name="Percent 163 3 2 3 2" xfId="41610"/>
    <cellStyle name="Currency 162 3 2 3 2" xfId="41611"/>
    <cellStyle name="Currency 5 6 2 2 3 2" xfId="41612"/>
    <cellStyle name="Currency 179 2 2 3 2" xfId="41613"/>
    <cellStyle name="Percent 180 2 2 3 2" xfId="41614"/>
    <cellStyle name="Comma 204 2 2 3 2" xfId="41615"/>
    <cellStyle name="Normal 8 26 2 2 3 2" xfId="41616"/>
    <cellStyle name="Comma 5 9 2 2 3 2" xfId="41617"/>
    <cellStyle name="Percent 5 6 2 2 3 2" xfId="41618"/>
    <cellStyle name="Comma 6 7 2 2 3 2" xfId="41619"/>
    <cellStyle name="Normal 11 5 2 2 3 2" xfId="41620"/>
    <cellStyle name="Currency 5 2 6 2 2 3 2" xfId="41621"/>
    <cellStyle name="Normal 8 2 7 2 2 3 2" xfId="41622"/>
    <cellStyle name="Comma 5 2 6 2 2 3 2" xfId="41623"/>
    <cellStyle name="Percent 5 2 6 2 2 3 2" xfId="41624"/>
    <cellStyle name="Comma 6 2 5 2 2 3 2" xfId="41625"/>
    <cellStyle name="Currency 5 3 4 2 2 3 2" xfId="41626"/>
    <cellStyle name="Normal 8 3 7 2 2 3 2" xfId="41627"/>
    <cellStyle name="Comma 5 3 4 2 2 3 2" xfId="41628"/>
    <cellStyle name="Percent 5 3 4 2 2 3 2" xfId="41629"/>
    <cellStyle name="Comma 6 3 6 2 2 3 2" xfId="41630"/>
    <cellStyle name="Normal 11 2 4 2 2 3 2" xfId="41631"/>
    <cellStyle name="Currency 5 2 2 4 2 2 3 2" xfId="41632"/>
    <cellStyle name="Normal 8 2 2 3 2 2 3 2" xfId="41633"/>
    <cellStyle name="Comma 5 2 2 4 2 2 3 2" xfId="41634"/>
    <cellStyle name="Percent 5 2 2 4 2 2 3 2" xfId="41635"/>
    <cellStyle name="Comma 6 2 2 3 2 2 3 2" xfId="41636"/>
    <cellStyle name="Normal 50 2 2 2 3 2" xfId="41637"/>
    <cellStyle name="Comma 186 2 2 2 3 2" xfId="41638"/>
    <cellStyle name="Percent 162 2 2 2 3 2" xfId="41639"/>
    <cellStyle name="Normal 2 24 2 2 2 3 2" xfId="41640"/>
    <cellStyle name="20% - Accent1 2 2 2 2 3 2" xfId="41641"/>
    <cellStyle name="20% - Accent1 3 2 2 2 3 2" xfId="41642"/>
    <cellStyle name="20% - Accent1 4 2 2 2 3 2" xfId="41643"/>
    <cellStyle name="20% - Accent1 5 2 2 2 3 2" xfId="41644"/>
    <cellStyle name="20% - Accent2 2 2 2 2 3 2" xfId="41645"/>
    <cellStyle name="20% - Accent2 3 2 2 2 3 2" xfId="41646"/>
    <cellStyle name="20% - Accent2 4 2 2 2 3 2" xfId="41647"/>
    <cellStyle name="20% - Accent2 5 2 2 2 3 2" xfId="41648"/>
    <cellStyle name="20% - Accent3 2 2 2 2 3 2" xfId="41649"/>
    <cellStyle name="20% - Accent3 3 2 2 2 3 2" xfId="41650"/>
    <cellStyle name="20% - Accent3 4 2 2 2 3 2" xfId="41651"/>
    <cellStyle name="20% - Accent3 5 2 2 2 3 2" xfId="41652"/>
    <cellStyle name="20% - Accent4 2 2 2 2 3 2" xfId="41653"/>
    <cellStyle name="20% - Accent4 3 2 2 2 3 2" xfId="41654"/>
    <cellStyle name="20% - Accent4 4 2 2 2 3 2" xfId="41655"/>
    <cellStyle name="20% - Accent4 5 2 2 2 3 2" xfId="41656"/>
    <cellStyle name="20% - Accent5 2 2 2 2 3 2" xfId="41657"/>
    <cellStyle name="20% - Accent5 3 2 2 2 3 2" xfId="41658"/>
    <cellStyle name="20% - Accent5 4 2 2 2 3 2" xfId="41659"/>
    <cellStyle name="20% - Accent6 2 2 2 2 3 2" xfId="41660"/>
    <cellStyle name="20% - Accent6 3 2 2 2 3 2" xfId="41661"/>
    <cellStyle name="20% - Accent6 4 2 2 2 3 2" xfId="41662"/>
    <cellStyle name="40% - Accent1 2 2 2 2 3 2" xfId="41663"/>
    <cellStyle name="40% - Accent1 3 2 2 2 3 2" xfId="41664"/>
    <cellStyle name="40% - Accent1 4 2 2 2 3 2" xfId="41665"/>
    <cellStyle name="40% - Accent1 5 2 2 2 3 2" xfId="41666"/>
    <cellStyle name="40% - Accent2 2 2 2 2 3 2" xfId="41667"/>
    <cellStyle name="40% - Accent2 3 2 2 2 3 2" xfId="41668"/>
    <cellStyle name="40% - Accent2 4 2 2 2 3 2" xfId="41669"/>
    <cellStyle name="40% - Accent3 2 2 2 2 3 2" xfId="41670"/>
    <cellStyle name="40% - Accent3 3 2 2 2 3 2" xfId="41671"/>
    <cellStyle name="40% - Accent3 4 2 2 2 3 2" xfId="41672"/>
    <cellStyle name="40% - Accent3 5 2 2 2 3 2" xfId="41673"/>
    <cellStyle name="40% - Accent4 2 2 2 2 3 2" xfId="41674"/>
    <cellStyle name="40% - Accent4 3 2 2 2 3 2" xfId="41675"/>
    <cellStyle name="40% - Accent4 4 2 2 2 3 2" xfId="41676"/>
    <cellStyle name="40% - Accent4 5 2 2 2 3 2" xfId="41677"/>
    <cellStyle name="40% - Accent5 2 2 2 2 3 2" xfId="41678"/>
    <cellStyle name="40% - Accent5 3 2 2 2 3 2" xfId="41679"/>
    <cellStyle name="40% - Accent5 4 2 2 2 3 2" xfId="41680"/>
    <cellStyle name="40% - Accent6 2 2 2 2 3 2" xfId="41681"/>
    <cellStyle name="40% - Accent6 3 2 2 2 3 2" xfId="41682"/>
    <cellStyle name="40% - Accent6 4 2 2 2 3 2" xfId="41683"/>
    <cellStyle name="40% - Accent6 5 2 2 2 3 2" xfId="41684"/>
    <cellStyle name="Comma 143 2 2 2 3 2" xfId="41685"/>
    <cellStyle name="Comma 144 2 2 2 3 2" xfId="41686"/>
    <cellStyle name="Comma 145 2 2 2 3 2" xfId="41687"/>
    <cellStyle name="Comma 146 2 2 2 3 2" xfId="41688"/>
    <cellStyle name="Comma 147 2 2 2 3 2" xfId="41689"/>
    <cellStyle name="Comma 148 2 2 2 3 2" xfId="41690"/>
    <cellStyle name="Comma 149 2 2 2 3 2" xfId="41691"/>
    <cellStyle name="Comma 150 2 2 2 3 2" xfId="41692"/>
    <cellStyle name="Comma 151 2 2 2 3 2" xfId="41693"/>
    <cellStyle name="Comma 152 2 2 2 3 2" xfId="41694"/>
    <cellStyle name="Comma 153 2 2 2 3 2" xfId="41695"/>
    <cellStyle name="Comma 182 2 2 2 3 2" xfId="41696"/>
    <cellStyle name="Comma 2 23 2 2 2 3 2" xfId="41697"/>
    <cellStyle name="Comma 2 2 10 2 2 2 3 2" xfId="41698"/>
    <cellStyle name="Comma 2 2 11 2 2 2 3 2" xfId="41699"/>
    <cellStyle name="Comma 2 2 12 2 2 2 3 2" xfId="41700"/>
    <cellStyle name="Comma 2 2 13 2 2 2 3 2" xfId="41701"/>
    <cellStyle name="Comma 2 2 14 2 2 2 3 2" xfId="41702"/>
    <cellStyle name="Comma 2 2 15 2 2 2 3 2" xfId="41703"/>
    <cellStyle name="Comma 2 2 16 2 2 2 3 2" xfId="41704"/>
    <cellStyle name="Comma 2 2 17 2 2 2 3 2" xfId="41705"/>
    <cellStyle name="Comma 2 2 2 2 6 2 2 3 2" xfId="41706"/>
    <cellStyle name="Comma 2 2 2 2 2 2 2 2 3 2" xfId="41707"/>
    <cellStyle name="Comma 2 2 2 2 3 2 2 2 3 2" xfId="41708"/>
    <cellStyle name="Comma 2 2 2 2 4 2 2 2 3 2" xfId="41709"/>
    <cellStyle name="Comma 2 2 2 2 5 2 2 2 3 2" xfId="41710"/>
    <cellStyle name="Comma 2 2 2 3 2 2 2 3 2" xfId="41711"/>
    <cellStyle name="Comma 2 2 2 4 2 2 2 3 2" xfId="41712"/>
    <cellStyle name="Comma 2 2 2 5 2 2 2 3 2" xfId="41713"/>
    <cellStyle name="Comma 2 2 2 6 2 2 2 3 2" xfId="41714"/>
    <cellStyle name="Comma 2 2 3 6 2 2 3 2" xfId="41715"/>
    <cellStyle name="Comma 2 2 3 2 2 2 2 2 3 2" xfId="41716"/>
    <cellStyle name="Comma 2 2 3 2 3 2 2 2 3 2" xfId="41717"/>
    <cellStyle name="Comma 2 2 3 2 4 2 2 2 3 2" xfId="41718"/>
    <cellStyle name="Comma 2 2 3 2 5 2 2 2 3 2" xfId="41719"/>
    <cellStyle name="Comma 2 2 3 3 2 2 2 3 2" xfId="41720"/>
    <cellStyle name="Comma 2 2 4 2 2 2 2 3 2" xfId="41721"/>
    <cellStyle name="Comma 2 2 5 2 2 2 3 2" xfId="41722"/>
    <cellStyle name="Comma 2 2 6 2 2 2 3 2" xfId="41723"/>
    <cellStyle name="Comma 2 2 7 2 2 2 3 2" xfId="41724"/>
    <cellStyle name="Comma 2 2 8 2 2 2 3 2" xfId="41725"/>
    <cellStyle name="Comma 2 2 9 2 2 2 3 2" xfId="41726"/>
    <cellStyle name="Comma 3 10 2 2 2 3 2" xfId="41727"/>
    <cellStyle name="Comma 3 11 2 2 2 3 2" xfId="41728"/>
    <cellStyle name="Comma 3 12 2 2 2 3 2" xfId="41729"/>
    <cellStyle name="Comma 3 13 2 2 2 3 2" xfId="41730"/>
    <cellStyle name="Comma 3 14 2 2 2 3 2" xfId="41731"/>
    <cellStyle name="Comma 3 15 2 2 2 3 2" xfId="41732"/>
    <cellStyle name="Comma 3 16 2 2 2 3 2" xfId="41733"/>
    <cellStyle name="Comma 3 17 2 2 2 3 2" xfId="41734"/>
    <cellStyle name="Comma 3 18 2 2 2 3 2" xfId="41735"/>
    <cellStyle name="Comma 3 19 2 2 2 3 2" xfId="41736"/>
    <cellStyle name="Comma 3 2 2 2 2 2 3 2" xfId="41737"/>
    <cellStyle name="Comma 3 2 3 2 2 2 3 2" xfId="41738"/>
    <cellStyle name="Comma 3 2 4 2 2 2 3 2" xfId="41739"/>
    <cellStyle name="Comma 3 2 5 2 2 2 3 2" xfId="41740"/>
    <cellStyle name="Comma 3 20 2 2 2 3 2" xfId="41741"/>
    <cellStyle name="Comma 3 21 2 2 2 3 2" xfId="41742"/>
    <cellStyle name="Comma 3 3 6 2 2 3 2" xfId="41743"/>
    <cellStyle name="Comma 3 3 2 2 2 2 3 2" xfId="41744"/>
    <cellStyle name="Comma 3 3 3 2 2 2 3 2" xfId="41745"/>
    <cellStyle name="Comma 3 3 4 2 2 2 3 2" xfId="41746"/>
    <cellStyle name="Comma 3 3 5 2 2 2 3 2" xfId="41747"/>
    <cellStyle name="Comma 3 4 3 2 2 3 2" xfId="41748"/>
    <cellStyle name="Comma 3 4 2 2 2 2 3 2" xfId="41749"/>
    <cellStyle name="Comma 3 5 3 2 2 3 2" xfId="41750"/>
    <cellStyle name="Comma 3 5 2 2 2 2 3 2" xfId="41751"/>
    <cellStyle name="Comma 3 6 3 2 2 3 2" xfId="41752"/>
    <cellStyle name="Comma 3 6 2 2 2 2 3 2" xfId="41753"/>
    <cellStyle name="Comma 3 7 2 2 2 3 2" xfId="41754"/>
    <cellStyle name="Comma 3 8 2 2 2 3 2" xfId="41755"/>
    <cellStyle name="Comma 3 9 2 2 2 3 2" xfId="41756"/>
    <cellStyle name="Currency 120 2 2 2 3 2" xfId="41757"/>
    <cellStyle name="Currency 121 2 2 2 3 2" xfId="41758"/>
    <cellStyle name="Currency 122 2 2 2 3 2" xfId="41759"/>
    <cellStyle name="Currency 123 2 2 2 3 2" xfId="41760"/>
    <cellStyle name="Currency 124 2 2 2 3 2" xfId="41761"/>
    <cellStyle name="Currency 125 2 2 2 3 2" xfId="41762"/>
    <cellStyle name="Currency 126 2 2 2 3 2" xfId="41763"/>
    <cellStyle name="Currency 127 2 2 2 3 2" xfId="41764"/>
    <cellStyle name="Currency 128 2 2 2 3 2" xfId="41765"/>
    <cellStyle name="Currency 129 2 2 2 3 2" xfId="41766"/>
    <cellStyle name="Currency 130 2 2 2 3 2" xfId="41767"/>
    <cellStyle name="Currency 159 2 2 2 3 2" xfId="41768"/>
    <cellStyle name="Currency 2 27 2 2 2 3 2" xfId="41769"/>
    <cellStyle name="Currency 2 2 20 2 2 2 3 2" xfId="41770"/>
    <cellStyle name="Currency 2 2 10 2 2 2 3 2" xfId="41771"/>
    <cellStyle name="Currency 2 2 11 2 2 2 3 2" xfId="41772"/>
    <cellStyle name="Currency 2 2 12 2 2 2 3 2" xfId="41773"/>
    <cellStyle name="Currency 2 2 13 2 2 2 3 2" xfId="41774"/>
    <cellStyle name="Currency 2 2 14 2 2 2 3 2" xfId="41775"/>
    <cellStyle name="Currency 2 2 15 2 2 2 3 2" xfId="41776"/>
    <cellStyle name="Currency 2 2 16 2 2 2 3 2" xfId="41777"/>
    <cellStyle name="Currency 2 2 17 2 2 2 3 2" xfId="41778"/>
    <cellStyle name="Currency 2 2 18 2 2 2 3 2" xfId="41779"/>
    <cellStyle name="Currency 2 2 2 2 2 2 2 3 2" xfId="41780"/>
    <cellStyle name="Currency 2 2 2 3 2 2 2 3 2" xfId="41781"/>
    <cellStyle name="Currency 2 2 2 4 2 2 2 3 2" xfId="41782"/>
    <cellStyle name="Currency 2 2 2 5 2 2 2 3 2" xfId="41783"/>
    <cellStyle name="Currency 2 2 3 6 2 2 3 2" xfId="41784"/>
    <cellStyle name="Currency 2 2 3 2 2 2 2 3 2" xfId="41785"/>
    <cellStyle name="Currency 2 2 3 3 2 2 2 3 2" xfId="41786"/>
    <cellStyle name="Currency 2 2 3 4 2 2 2 3 2" xfId="41787"/>
    <cellStyle name="Currency 2 2 3 5 2 2 2 3 2" xfId="41788"/>
    <cellStyle name="Currency 2 2 4 2 2 2 3 2" xfId="41789"/>
    <cellStyle name="Currency 2 2 5 2 2 2 3 2" xfId="41790"/>
    <cellStyle name="Currency 2 2 6 2 2 2 3 2" xfId="41791"/>
    <cellStyle name="Currency 2 2 7 2 2 2 3 2" xfId="41792"/>
    <cellStyle name="Currency 2 2 8 2 2 2 3 2" xfId="41793"/>
    <cellStyle name="Currency 2 2 9 2 2 2 3 2" xfId="41794"/>
    <cellStyle name="Currency 3 10 2 2 2 3 2" xfId="41795"/>
    <cellStyle name="Currency 3 11 2 2 2 3 2" xfId="41796"/>
    <cellStyle name="Currency 3 12 2 2 2 3 2" xfId="41797"/>
    <cellStyle name="Currency 3 13 2 2 2 3 2" xfId="41798"/>
    <cellStyle name="Currency 3 14 2 2 2 3 2" xfId="41799"/>
    <cellStyle name="Currency 3 15 2 2 2 3 2" xfId="41800"/>
    <cellStyle name="Currency 3 16 2 2 2 3 2" xfId="41801"/>
    <cellStyle name="Currency 3 17 2 2 2 3 2" xfId="41802"/>
    <cellStyle name="Currency 3 18 2 2 2 3 2" xfId="41803"/>
    <cellStyle name="Currency 3 19 2 2 2 3 2" xfId="41804"/>
    <cellStyle name="Currency 3 2 2 2 2 2 3 2" xfId="41805"/>
    <cellStyle name="Currency 3 2 3 2 2 2 3 2" xfId="41806"/>
    <cellStyle name="Currency 3 2 4 2 2 2 3 2" xfId="41807"/>
    <cellStyle name="Currency 3 2 5 2 2 2 3 2" xfId="41808"/>
    <cellStyle name="Currency 3 20 2 2 2 3 2" xfId="41809"/>
    <cellStyle name="Currency 3 21 2 2 2 3 2" xfId="41810"/>
    <cellStyle name="Currency 3 3 8 2 2 3 2" xfId="41811"/>
    <cellStyle name="Currency 3 3 2 2 2 2 3 2" xfId="41812"/>
    <cellStyle name="Currency 3 3 3 2 2 2 3 2" xfId="41813"/>
    <cellStyle name="Currency 3 3 4 2 2 2 3 2" xfId="41814"/>
    <cellStyle name="Currency 3 3 5 2 2 2 3 2" xfId="41815"/>
    <cellStyle name="Currency 3 3 6 2 2 2 3 2" xfId="41816"/>
    <cellStyle name="Currency 3 4 3 2 2 3 2" xfId="41817"/>
    <cellStyle name="Currency 3 4 2 2 2 2 3 2" xfId="41818"/>
    <cellStyle name="Currency 3 5 3 2 2 3 2" xfId="41819"/>
    <cellStyle name="Currency 3 5 2 2 2 2 3 2" xfId="41820"/>
    <cellStyle name="Currency 3 6 3 2 2 3 2" xfId="41821"/>
    <cellStyle name="Currency 3 6 2 2 2 2 3 2" xfId="41822"/>
    <cellStyle name="Currency 3 7 2 2 2 3 2" xfId="41823"/>
    <cellStyle name="Currency 3 8 2 2 2 3 2" xfId="41824"/>
    <cellStyle name="Currency 3 9 2 2 2 3 2" xfId="41825"/>
    <cellStyle name="Normal 10 3 6 2 2 3 2" xfId="41826"/>
    <cellStyle name="Normal 10 3 2 5 2 2 3 2" xfId="41827"/>
    <cellStyle name="Normal 10 3 2 2 3 2 2 3 2" xfId="41828"/>
    <cellStyle name="Normal 10 3 2 2 2 2 2 2 3 2" xfId="41829"/>
    <cellStyle name="Normal 10 3 2 3 3 2 2 3 2" xfId="41830"/>
    <cellStyle name="Normal 10 3 2 3 2 2 2 2 3 2" xfId="41831"/>
    <cellStyle name="Normal 10 3 2 4 2 2 2 3 2" xfId="41832"/>
    <cellStyle name="Normal 10 3 3 3 2 2 3 2" xfId="41833"/>
    <cellStyle name="Normal 10 3 3 2 2 2 2 3 2" xfId="41834"/>
    <cellStyle name="Normal 10 3 4 3 2 2 3 2" xfId="41835"/>
    <cellStyle name="Normal 10 3 4 2 2 2 2 3 2" xfId="41836"/>
    <cellStyle name="Normal 10 3 5 2 2 2 3 2" xfId="41837"/>
    <cellStyle name="Normal 10 4 5 2 2 3 2" xfId="41838"/>
    <cellStyle name="Normal 10 4 2 3 2 2 3 2" xfId="41839"/>
    <cellStyle name="Normal 10 4 2 2 2 2 2 3 2" xfId="41840"/>
    <cellStyle name="Normal 10 4 3 3 2 2 3 2" xfId="41841"/>
    <cellStyle name="Normal 10 4 3 2 2 2 2 3 2" xfId="41842"/>
    <cellStyle name="Normal 10 4 4 2 2 2 3 2" xfId="41843"/>
    <cellStyle name="Normal 10 5 5 2 2 3 2" xfId="41844"/>
    <cellStyle name="Normal 10 5 2 3 2 2 3 2" xfId="41845"/>
    <cellStyle name="Normal 10 5 2 2 2 2 2 3 2" xfId="41846"/>
    <cellStyle name="Normal 10 5 3 3 2 2 3 2" xfId="41847"/>
    <cellStyle name="Normal 10 5 3 2 2 2 2 3 2" xfId="41848"/>
    <cellStyle name="Normal 10 5 4 2 2 2 3 2" xfId="41849"/>
    <cellStyle name="Normal 10 6 3 2 2 3 2" xfId="41850"/>
    <cellStyle name="Normal 10 6 2 2 2 2 3 2" xfId="41851"/>
    <cellStyle name="Normal 10 7 3 2 2 3 2" xfId="41852"/>
    <cellStyle name="Normal 10 7 2 2 2 2 3 2" xfId="41853"/>
    <cellStyle name="Normal 10 8 2 2 2 2 3 2" xfId="41854"/>
    <cellStyle name="Normal 10 9 2 2 2 3 2" xfId="41855"/>
    <cellStyle name="Normal 11 4 2 2 2 3 2" xfId="41856"/>
    <cellStyle name="Normal 11 3 2 2 2 3 2" xfId="41857"/>
    <cellStyle name="Normal 12 8 2 2 3 2" xfId="41858"/>
    <cellStyle name="Normal 12 2 2 5 2 2 3 2" xfId="41859"/>
    <cellStyle name="Normal 12 2 2 2 3 2 2 3 2" xfId="41860"/>
    <cellStyle name="Normal 12 2 2 2 2 2 2 2 3 2" xfId="41861"/>
    <cellStyle name="Normal 12 2 2 3 3 2 2 3 2" xfId="41862"/>
    <cellStyle name="Normal 12 2 2 3 2 2 2 2 3 2" xfId="41863"/>
    <cellStyle name="Normal 12 2 2 4 2 2 2 3 2" xfId="41864"/>
    <cellStyle name="Normal 12 2 3 3 2 2 3 2" xfId="41865"/>
    <cellStyle name="Normal 12 2 3 2 2 2 2 3 2" xfId="41866"/>
    <cellStyle name="Normal 12 2 4 3 2 2 3 2" xfId="41867"/>
    <cellStyle name="Normal 12 2 4 2 2 2 2 3 2" xfId="41868"/>
    <cellStyle name="Normal 12 2 5 2 2 2 2 3 2" xfId="41869"/>
    <cellStyle name="Normal 12 2 6 2 2 2 3 2" xfId="41870"/>
    <cellStyle name="Normal 12 3 5 2 2 3 2" xfId="41871"/>
    <cellStyle name="Normal 12 3 2 3 2 2 3 2" xfId="41872"/>
    <cellStyle name="Normal 12 3 2 2 2 2 2 3 2" xfId="41873"/>
    <cellStyle name="Normal 12 3 3 3 2 2 3 2" xfId="41874"/>
    <cellStyle name="Normal 12 3 3 2 2 2 2 3 2" xfId="41875"/>
    <cellStyle name="Normal 12 3 4 2 2 2 3 2" xfId="41876"/>
    <cellStyle name="Normal 12 4 5 2 2 3 2" xfId="41877"/>
    <cellStyle name="Normal 12 4 2 3 2 2 3 2" xfId="41878"/>
    <cellStyle name="Normal 12 4 2 2 2 2 2 3 2" xfId="41879"/>
    <cellStyle name="Normal 12 4 3 3 2 2 3 2" xfId="41880"/>
    <cellStyle name="Normal 12 4 3 2 2 2 2 3 2" xfId="41881"/>
    <cellStyle name="Normal 12 4 4 2 2 2 3 2" xfId="41882"/>
    <cellStyle name="Normal 12 5 3 2 2 3 2" xfId="41883"/>
    <cellStyle name="Normal 12 5 2 2 2 2 3 2" xfId="41884"/>
    <cellStyle name="Normal 12 6 3 2 2 3 2" xfId="41885"/>
    <cellStyle name="Normal 12 6 2 2 2 2 3 2" xfId="41886"/>
    <cellStyle name="Normal 12 7 2 2 2 3 2" xfId="41887"/>
    <cellStyle name="Normal 15 6 2 2 3 2" xfId="41888"/>
    <cellStyle name="Normal 15 3 2 2 2 3 2" xfId="41889"/>
    <cellStyle name="Normal 16 2 5 2 2 3 2" xfId="41890"/>
    <cellStyle name="Normal 16 2 2 3 2 2 3 2" xfId="41891"/>
    <cellStyle name="Normal 16 2 2 2 2 2 2 3 2" xfId="41892"/>
    <cellStyle name="Normal 16 2 3 3 2 2 3 2" xfId="41893"/>
    <cellStyle name="Normal 16 2 3 2 2 2 2 3 2" xfId="41894"/>
    <cellStyle name="Normal 16 2 4 2 2 2 3 2" xfId="41895"/>
    <cellStyle name="Normal 16 3 3 2 2 3 2" xfId="41896"/>
    <cellStyle name="Normal 16 3 2 2 2 2 3 2" xfId="41897"/>
    <cellStyle name="Normal 16 4 3 2 2 3 2" xfId="41898"/>
    <cellStyle name="Normal 16 4 2 2 2 2 3 2" xfId="41899"/>
    <cellStyle name="Normal 16 5 2 2 2 2 3 2" xfId="41900"/>
    <cellStyle name="Normal 16 6 2 2 2 3 2" xfId="41901"/>
    <cellStyle name="Normal 17 2 5 2 2 3 2" xfId="41902"/>
    <cellStyle name="Normal 17 2 2 3 2 2 3 2" xfId="41903"/>
    <cellStyle name="Normal 17 2 2 2 2 2 2 3 2" xfId="41904"/>
    <cellStyle name="Normal 17 2 3 3 2 2 3 2" xfId="41905"/>
    <cellStyle name="Normal 17 2 3 2 2 2 2 3 2" xfId="41906"/>
    <cellStyle name="Normal 17 2 4 2 2 2 3 2" xfId="41907"/>
    <cellStyle name="Normal 17 3 3 2 2 3 2" xfId="41908"/>
    <cellStyle name="Normal 17 3 2 2 2 2 3 2" xfId="41909"/>
    <cellStyle name="Normal 17 4 3 2 2 3 2" xfId="41910"/>
    <cellStyle name="Normal 17 4 2 2 2 2 3 2" xfId="41911"/>
    <cellStyle name="Normal 17 5 2 2 2 2 3 2" xfId="41912"/>
    <cellStyle name="Normal 17 6 2 2 2 3 2" xfId="41913"/>
    <cellStyle name="Normal 2 10 3 2 2 2 3 2" xfId="41914"/>
    <cellStyle name="Normal 2 11 3 2 2 2 3 2" xfId="41915"/>
    <cellStyle name="Normal 2 12 3 2 2 2 3 2" xfId="41916"/>
    <cellStyle name="Normal 2 13 3 2 2 2 3 2" xfId="41917"/>
    <cellStyle name="Normal 2 14 3 2 2 2 3 2" xfId="41918"/>
    <cellStyle name="Normal 2 15 3 2 2 2 3 2" xfId="41919"/>
    <cellStyle name="Normal 2 16 3 2 2 2 3 2" xfId="41920"/>
    <cellStyle name="Normal 2 17 3 2 2 2 3 2" xfId="41921"/>
    <cellStyle name="Normal 2 18 3 2 2 2 3 2" xfId="41922"/>
    <cellStyle name="Normal 2 19 3 2 2 2 3 2" xfId="41923"/>
    <cellStyle name="Normal 2 2 10 2 2 2 3 2" xfId="41924"/>
    <cellStyle name="Normal 2 2 11 2 2 2 3 2" xfId="41925"/>
    <cellStyle name="Normal 2 2 12 2 2 2 3 2" xfId="41926"/>
    <cellStyle name="Normal 2 2 13 2 2 2 3 2" xfId="41927"/>
    <cellStyle name="Normal 2 2 14 2 2 2 3 2" xfId="41928"/>
    <cellStyle name="Normal 2 2 15 2 2 2 3 2" xfId="41929"/>
    <cellStyle name="Normal 2 2 16 2 2 2 3 2" xfId="41930"/>
    <cellStyle name="Normal 2 2 17 2 2 2 3 2" xfId="41931"/>
    <cellStyle name="Normal 2 2 18 2 2 2 3 2" xfId="41932"/>
    <cellStyle name="Normal 2 2 19 2 2 2 3 2" xfId="41933"/>
    <cellStyle name="Normal 2 2 2 2 6 2 2 3 2" xfId="41934"/>
    <cellStyle name="Normal 2 2 2 2 2 3 2 2 3 2" xfId="41935"/>
    <cellStyle name="Normal 2 2 2 2 2 2 2 2 2 3 2" xfId="41936"/>
    <cellStyle name="Normal 2 2 2 2 3 2 2 2 3 2" xfId="41937"/>
    <cellStyle name="Normal 2 2 2 2 4 2 2 2 3 2" xfId="41938"/>
    <cellStyle name="Normal 2 2 2 2 5 2 2 2 3 2" xfId="41939"/>
    <cellStyle name="Normal 2 2 20 2 2 2 3 2" xfId="41940"/>
    <cellStyle name="Normal 2 2 21 2 2 2 3 2" xfId="41941"/>
    <cellStyle name="Normal 2 2 22 2 2 2 3 2" xfId="41942"/>
    <cellStyle name="Normal 2 2 3 9 2 2 3 2" xfId="41943"/>
    <cellStyle name="Normal 2 2 3 2 2 2 2 3 2" xfId="41944"/>
    <cellStyle name="Normal 2 2 3 3 2 2 2 3 2" xfId="41945"/>
    <cellStyle name="Normal 2 2 3 4 2 2 2 3 2" xfId="41946"/>
    <cellStyle name="Normal 2 2 3 5 2 2 2 3 2" xfId="41947"/>
    <cellStyle name="Normal 2 2 3 6 2 2 2 3 2" xfId="41948"/>
    <cellStyle name="Normal 2 2 4 5 2 2 3 2" xfId="41949"/>
    <cellStyle name="Normal 2 2 4 2 2 2 2 3 2" xfId="41950"/>
    <cellStyle name="Normal 2 2 5 4 2 2 3 2" xfId="41951"/>
    <cellStyle name="Normal 2 2 5 2 2 2 2 3 2" xfId="41952"/>
    <cellStyle name="Normal 2 2 6 2 2 2 3 2" xfId="41953"/>
    <cellStyle name="Normal 2 2 7 2 2 2 3 2" xfId="41954"/>
    <cellStyle name="Normal 2 2 8 2 2 2 3 2" xfId="41955"/>
    <cellStyle name="Normal 2 2 9 2 2 2 3 2" xfId="41956"/>
    <cellStyle name="Normal 2 20 2 2 2 3 2" xfId="41957"/>
    <cellStyle name="Normal 2 3 2 3 2 2 3 2" xfId="41958"/>
    <cellStyle name="Normal 2 3 3 2 2 2 3 2" xfId="41959"/>
    <cellStyle name="Normal 2 3 4 2 2 2 3 2" xfId="41960"/>
    <cellStyle name="Normal 2 3 5 2 2 2 3 2" xfId="41961"/>
    <cellStyle name="Normal 2 3 6 2 2 2 3 2" xfId="41962"/>
    <cellStyle name="Normal 2 4 5 2 2 2 3 2" xfId="41963"/>
    <cellStyle name="Normal 2 4 2 2 2 2 3 2" xfId="41964"/>
    <cellStyle name="Normal 2 5 3 2 2 2 3 2" xfId="41965"/>
    <cellStyle name="Normal 2 6 3 2 2 2 3 2" xfId="41966"/>
    <cellStyle name="Normal 2 7 3 2 2 2 3 2" xfId="41967"/>
    <cellStyle name="Normal 2 8 3 2 2 2 3 2" xfId="41968"/>
    <cellStyle name="Normal 2 9 3 2 2 2 3 2" xfId="41969"/>
    <cellStyle name="Normal 21 9 2 2 3 2" xfId="41970"/>
    <cellStyle name="Normal 21 2 7 2 2 3 2" xfId="41971"/>
    <cellStyle name="Normal 21 2 2 2 2 2 3 2" xfId="41972"/>
    <cellStyle name="Normal 21 2 3 2 2 2 3 2" xfId="41973"/>
    <cellStyle name="Normal 21 2 4 2 2 2 3 2" xfId="41974"/>
    <cellStyle name="Normal 21 2 5 2 2 2 3 2" xfId="41975"/>
    <cellStyle name="Normal 21 2 6 2 2 2 3 2" xfId="41976"/>
    <cellStyle name="Normal 21 3 3 2 2 3 2" xfId="41977"/>
    <cellStyle name="Normal 21 3 2 2 2 2 3 2" xfId="41978"/>
    <cellStyle name="Normal 21 4 2 2 2 3 2" xfId="41979"/>
    <cellStyle name="Normal 21 5 2 2 2 3 2" xfId="41980"/>
    <cellStyle name="Normal 21 6 2 2 2 3 2" xfId="41981"/>
    <cellStyle name="Normal 21 8 2 2 2 3 2" xfId="41982"/>
    <cellStyle name="Normal 22 8 2 2 3 2" xfId="41983"/>
    <cellStyle name="Normal 22 2 7 2 2 3 2" xfId="41984"/>
    <cellStyle name="Normal 22 2 2 2 2 2 3 2" xfId="41985"/>
    <cellStyle name="Normal 22 2 3 2 2 2 3 2" xfId="41986"/>
    <cellStyle name="Normal 22 2 4 2 2 2 3 2" xfId="41987"/>
    <cellStyle name="Normal 22 2 5 2 2 2 3 2" xfId="41988"/>
    <cellStyle name="Normal 22 3 2 2 2 3 2" xfId="41989"/>
    <cellStyle name="Normal 22 4 2 2 2 3 2" xfId="41990"/>
    <cellStyle name="Normal 22 5 2 2 2 3 2" xfId="41991"/>
    <cellStyle name="Normal 22 6 2 2 2 3 2" xfId="41992"/>
    <cellStyle name="Normal 23 8 2 2 3 2" xfId="41993"/>
    <cellStyle name="Normal 23 2 6 2 2 3 2" xfId="41994"/>
    <cellStyle name="Normal 23 2 2 2 2 2 3 2" xfId="41995"/>
    <cellStyle name="Normal 23 2 3 2 2 2 3 2" xfId="41996"/>
    <cellStyle name="Normal 23 2 4 2 2 2 3 2" xfId="41997"/>
    <cellStyle name="Normal 23 2 5 2 2 2 3 2" xfId="41998"/>
    <cellStyle name="Normal 23 3 2 2 2 3 2" xfId="41999"/>
    <cellStyle name="Normal 23 4 2 2 2 3 2" xfId="42000"/>
    <cellStyle name="Normal 23 5 2 2 2 3 2" xfId="42001"/>
    <cellStyle name="Normal 23 6 2 2 2 3 2" xfId="42002"/>
    <cellStyle name="Normal 24 8 2 2 3 2" xfId="42003"/>
    <cellStyle name="Normal 24 2 6 2 2 3 2" xfId="42004"/>
    <cellStyle name="Normal 24 2 2 2 2 2 3 2" xfId="42005"/>
    <cellStyle name="Normal 24 2 3 2 2 2 3 2" xfId="42006"/>
    <cellStyle name="Normal 24 2 4 2 2 2 3 2" xfId="42007"/>
    <cellStyle name="Normal 24 2 5 2 2 2 3 2" xfId="42008"/>
    <cellStyle name="Normal 24 3 2 2 2 3 2" xfId="42009"/>
    <cellStyle name="Normal 24 4 2 2 2 3 2" xfId="42010"/>
    <cellStyle name="Normal 24 5 2 2 2 3 2" xfId="42011"/>
    <cellStyle name="Normal 24 6 2 2 2 3 2" xfId="42012"/>
    <cellStyle name="Normal 26 8 2 2 3 2" xfId="42013"/>
    <cellStyle name="Normal 26 2 6 2 2 3 2" xfId="42014"/>
    <cellStyle name="Normal 26 2 2 2 2 2 3 2" xfId="42015"/>
    <cellStyle name="Normal 26 2 3 2 2 2 3 2" xfId="42016"/>
    <cellStyle name="Normal 26 2 4 2 2 2 3 2" xfId="42017"/>
    <cellStyle name="Normal 26 2 5 2 2 2 3 2" xfId="42018"/>
    <cellStyle name="Normal 26 3 2 2 2 3 2" xfId="42019"/>
    <cellStyle name="Normal 26 4 2 2 2 3 2" xfId="42020"/>
    <cellStyle name="Normal 26 5 2 2 2 3 2" xfId="42021"/>
    <cellStyle name="Normal 26 6 2 2 2 3 2" xfId="42022"/>
    <cellStyle name="Normal 3 10 2 2 2 3 2" xfId="42023"/>
    <cellStyle name="Normal 3 11 2 2 2 3 2" xfId="42024"/>
    <cellStyle name="Normal 3 12 2 2 2 3 2" xfId="42025"/>
    <cellStyle name="Normal 3 13 2 2 2 3 2" xfId="42026"/>
    <cellStyle name="Normal 3 14 2 2 2 3 2" xfId="42027"/>
    <cellStyle name="Normal 3 15 2 2 2 3 2" xfId="42028"/>
    <cellStyle name="Normal 3 16 2 2 2 3 2" xfId="42029"/>
    <cellStyle name="Normal 3 17 2 2 2 3 2" xfId="42030"/>
    <cellStyle name="Normal 3 18 2 2 2 3 2" xfId="42031"/>
    <cellStyle name="Normal 3 19 2 2 2 3 2" xfId="42032"/>
    <cellStyle name="Normal 3 2 2 2 2 2 3 2" xfId="42033"/>
    <cellStyle name="Normal 3 2 3 2 2 2 3 2" xfId="42034"/>
    <cellStyle name="Normal 3 2 4 2 2 2 3 2" xfId="42035"/>
    <cellStyle name="Normal 3 2 5 2 2 2 3 2" xfId="42036"/>
    <cellStyle name="Normal 3 2 6 2 2 2 3 2" xfId="42037"/>
    <cellStyle name="Normal 3 20 2 2 2 3 2" xfId="42038"/>
    <cellStyle name="Normal 3 21 2 2 2 3 2" xfId="42039"/>
    <cellStyle name="Normal 3 22 2 2 2 3 2" xfId="42040"/>
    <cellStyle name="Normal 3 23 2 2 2 3 2" xfId="42041"/>
    <cellStyle name="Normal 3 24 2 2 2 3 2" xfId="42042"/>
    <cellStyle name="Normal 3 3 5 2 2 3 2" xfId="42043"/>
    <cellStyle name="Normal 3 3 2 2 2 2 3 2" xfId="42044"/>
    <cellStyle name="Normal 3 3 3 2 2 2 3 2" xfId="42045"/>
    <cellStyle name="Normal 3 4 3 2 2 3 2" xfId="42046"/>
    <cellStyle name="Normal 3 4 2 2 2 2 3 2" xfId="42047"/>
    <cellStyle name="Normal 3 5 3 2 2 3 2" xfId="42048"/>
    <cellStyle name="Normal 3 5 2 2 2 2 3 2" xfId="42049"/>
    <cellStyle name="Normal 3 6 2 2 2 3 2" xfId="42050"/>
    <cellStyle name="Normal 3 7 2 2 2 3 2" xfId="42051"/>
    <cellStyle name="Normal 3 8 2 2 2 3 2" xfId="42052"/>
    <cellStyle name="Normal 3 9 2 2 2 3 2" xfId="42053"/>
    <cellStyle name="Normal 4 2 10 2 2 2 3 2" xfId="42054"/>
    <cellStyle name="Normal 4 2 11 2 2 2 3 2" xfId="42055"/>
    <cellStyle name="Normal 4 2 12 2 2 2 3 2" xfId="42056"/>
    <cellStyle name="Normal 4 2 13 2 2 2 3 2" xfId="42057"/>
    <cellStyle name="Normal 4 2 14 2 2 2 3 2" xfId="42058"/>
    <cellStyle name="Normal 4 2 15 2 2 2 3 2" xfId="42059"/>
    <cellStyle name="Normal 4 2 16 2 2 2 3 2" xfId="42060"/>
    <cellStyle name="Normal 4 2 17 2 2 2 3 2" xfId="42061"/>
    <cellStyle name="Normal 4 2 18 2 2 2 3 2" xfId="42062"/>
    <cellStyle name="Normal 4 2 19 2 2 2 3 2" xfId="42063"/>
    <cellStyle name="Normal 4 2 2 6 2 2 3 2" xfId="42064"/>
    <cellStyle name="Normal 4 2 2 2 2 2 2 3 2" xfId="42065"/>
    <cellStyle name="Normal 4 2 2 3 2 2 2 3 2" xfId="42066"/>
    <cellStyle name="Normal 4 2 2 4 2 2 2 3 2" xfId="42067"/>
    <cellStyle name="Normal 4 2 2 5 2 2 2 3 2" xfId="42068"/>
    <cellStyle name="Normal 4 2 20 2 2 2 3 2" xfId="42069"/>
    <cellStyle name="Normal 4 2 21 2 2 2 3 2" xfId="42070"/>
    <cellStyle name="Normal 4 2 22 2 2 2 3 2" xfId="42071"/>
    <cellStyle name="Normal 4 2 23 2 2 2 3 2" xfId="42072"/>
    <cellStyle name="Normal 4 2 24 2 2 2 3 2" xfId="42073"/>
    <cellStyle name="Normal 4 2 3 3 2 2 3 2" xfId="42074"/>
    <cellStyle name="Normal 4 2 3 2 2 2 2 3 2" xfId="42075"/>
    <cellStyle name="Normal 4 2 4 3 2 2 3 2" xfId="42076"/>
    <cellStyle name="Normal 4 2 4 2 2 2 2 3 2" xfId="42077"/>
    <cellStyle name="Normal 4 2 5 3 2 2 3 2" xfId="42078"/>
    <cellStyle name="Normal 4 2 5 2 2 2 2 3 2" xfId="42079"/>
    <cellStyle name="Normal 4 2 6 2 2 2 3 2" xfId="42080"/>
    <cellStyle name="Normal 4 2 7 2 2 2 3 2" xfId="42081"/>
    <cellStyle name="Normal 4 2 8 2 2 2 3 2" xfId="42082"/>
    <cellStyle name="Normal 4 2 9 2 2 2 3 2" xfId="42083"/>
    <cellStyle name="Normal 4 3 7 2 2 3 2" xfId="42084"/>
    <cellStyle name="Normal 4 3 2 6 2 2 3 2" xfId="42085"/>
    <cellStyle name="Normal 4 3 2 2 5 2 2 3 2" xfId="42086"/>
    <cellStyle name="Normal 4 3 2 2 2 3 2 2 3 2" xfId="42087"/>
    <cellStyle name="Normal 4 3 2 2 2 2 2 2 2 3 2" xfId="42088"/>
    <cellStyle name="Normal 4 3 2 2 3 3 2 2 3 2" xfId="42089"/>
    <cellStyle name="Normal 4 3 2 2 3 2 2 2 2 3 2" xfId="42090"/>
    <cellStyle name="Normal 4 3 2 2 4 2 2 2 3 2" xfId="42091"/>
    <cellStyle name="Normal 4 3 2 3 3 2 2 3 2" xfId="42092"/>
    <cellStyle name="Normal 4 3 2 3 2 2 2 2 3 2" xfId="42093"/>
    <cellStyle name="Normal 4 3 2 4 3 2 2 3 2" xfId="42094"/>
    <cellStyle name="Normal 4 3 2 4 2 2 2 2 3 2" xfId="42095"/>
    <cellStyle name="Normal 4 3 2 5 2 2 2 3 2" xfId="42096"/>
    <cellStyle name="Normal 4 3 3 5 2 2 3 2" xfId="42097"/>
    <cellStyle name="Normal 4 3 3 2 3 2 2 3 2" xfId="42098"/>
    <cellStyle name="Normal 4 3 3 2 2 2 2 2 3 2" xfId="42099"/>
    <cellStyle name="Normal 4 3 3 3 3 2 2 3 2" xfId="42100"/>
    <cellStyle name="Normal 4 3 3 3 2 2 2 2 3 2" xfId="42101"/>
    <cellStyle name="Normal 4 3 3 4 2 2 2 3 2" xfId="42102"/>
    <cellStyle name="Normal 4 3 4 3 2 2 3 2" xfId="42103"/>
    <cellStyle name="Normal 4 3 4 2 2 2 2 3 2" xfId="42104"/>
    <cellStyle name="Normal 4 3 5 3 2 2 3 2" xfId="42105"/>
    <cellStyle name="Normal 4 3 5 2 2 2 2 3 2" xfId="42106"/>
    <cellStyle name="Normal 4 3 6 2 2 2 3 2" xfId="42107"/>
    <cellStyle name="Normal 4 4 4 2 2 3 2" xfId="42108"/>
    <cellStyle name="Normal 4 4 2 2 2 2 3 2" xfId="42109"/>
    <cellStyle name="Normal 4 5 2 2 2 3 2" xfId="42110"/>
    <cellStyle name="Normal 4 6 2 2 2 3 2" xfId="42111"/>
    <cellStyle name="Normal 4 7 2 2 2 3 2" xfId="42112"/>
    <cellStyle name="Normal 4 8 2 2 2 3 2" xfId="42113"/>
    <cellStyle name="Normal 41 2 2 2 2 3 2" xfId="42114"/>
    <cellStyle name="Normal 46 2 2 2 3 2" xfId="42115"/>
    <cellStyle name="Normal 5 28 2 2 2 3 2" xfId="42116"/>
    <cellStyle name="Normal 5 2 7 2 2 3 2" xfId="42117"/>
    <cellStyle name="Normal 5 2 2 2 2 2 2 2 3 2" xfId="42118"/>
    <cellStyle name="Normal 5 2 2 3 2 2 2 3 2" xfId="42119"/>
    <cellStyle name="Normal 5 2 3 2 2 2 2 2 3 2" xfId="42120"/>
    <cellStyle name="Normal 5 2 3 3 2 2 2 3 2" xfId="42121"/>
    <cellStyle name="Normal 5 2 4 2 2 2 2 3 2" xfId="42122"/>
    <cellStyle name="Normal 5 2 6 2 2 2 3 2" xfId="42123"/>
    <cellStyle name="Normal 5 24 2 2 2 3 2" xfId="42124"/>
    <cellStyle name="Normal 5 3 3 2 2 3 2" xfId="42125"/>
    <cellStyle name="Normal 5 4 3 2 2 3 2" xfId="42126"/>
    <cellStyle name="Normal 5 5 3 2 2 3 2" xfId="42127"/>
    <cellStyle name="Normal 5 6 3 2 2 3 2" xfId="42128"/>
    <cellStyle name="Normal 5 7 3 2 2 3 2" xfId="42129"/>
    <cellStyle name="Normal 7 25 2 2 2 3 2" xfId="42130"/>
    <cellStyle name="Normal 7 10 2 2 2 3 2" xfId="42131"/>
    <cellStyle name="Normal 7 11 2 2 2 3 2" xfId="42132"/>
    <cellStyle name="Normal 7 12 2 2 2 3 2" xfId="42133"/>
    <cellStyle name="Normal 7 13 2 2 2 3 2" xfId="42134"/>
    <cellStyle name="Normal 7 14 2 2 2 3 2" xfId="42135"/>
    <cellStyle name="Normal 7 15 2 2 2 3 2" xfId="42136"/>
    <cellStyle name="Normal 7 16 2 2 2 3 2" xfId="42137"/>
    <cellStyle name="Normal 7 17 2 2 2 3 2" xfId="42138"/>
    <cellStyle name="Normal 7 18 2 2 2 3 2" xfId="42139"/>
    <cellStyle name="Normal 7 19 2 2 2 3 2" xfId="42140"/>
    <cellStyle name="Normal 7 2 6 2 2 3 2" xfId="42141"/>
    <cellStyle name="Normal 7 2 2 2 2 2 3 2" xfId="42142"/>
    <cellStyle name="Normal 7 2 3 2 2 2 3 2" xfId="42143"/>
    <cellStyle name="Normal 7 2 4 2 2 2 3 2" xfId="42144"/>
    <cellStyle name="Normal 7 2 5 2 2 2 3 2" xfId="42145"/>
    <cellStyle name="Normal 7 20 2 2 2 3 2" xfId="42146"/>
    <cellStyle name="Normal 7 22 2 2 2 3 2" xfId="42147"/>
    <cellStyle name="Normal 7 3 6 2 2 3 2" xfId="42148"/>
    <cellStyle name="Normal 7 3 2 2 2 2 3 2" xfId="42149"/>
    <cellStyle name="Normal 7 3 3 2 2 2 3 2" xfId="42150"/>
    <cellStyle name="Normal 7 3 4 2 2 2 3 2" xfId="42151"/>
    <cellStyle name="Normal 7 3 5 2 2 2 3 2" xfId="42152"/>
    <cellStyle name="Normal 7 4 2 2 2 3 2" xfId="42153"/>
    <cellStyle name="Normal 7 5 2 2 2 3 2" xfId="42154"/>
    <cellStyle name="Normal 7 6 2 2 2 3 2" xfId="42155"/>
    <cellStyle name="Normal 7 7 2 2 2 3 2" xfId="42156"/>
    <cellStyle name="Normal 7 8 2 2 2 3 2" xfId="42157"/>
    <cellStyle name="Normal 7 9 2 2 2 3 2" xfId="42158"/>
    <cellStyle name="Normal 8 25 2 2 2 3 2" xfId="42159"/>
    <cellStyle name="Normal 8 10 2 2 2 3 2" xfId="42160"/>
    <cellStyle name="Normal 8 11 2 2 2 3 2" xfId="42161"/>
    <cellStyle name="Normal 8 12 2 2 2 3 2" xfId="42162"/>
    <cellStyle name="Normal 8 13 2 2 2 3 2" xfId="42163"/>
    <cellStyle name="Normal 8 14 2 2 2 3 2" xfId="42164"/>
    <cellStyle name="Normal 8 15 2 2 2 3 2" xfId="42165"/>
    <cellStyle name="Normal 8 16 2 2 2 3 2" xfId="42166"/>
    <cellStyle name="Normal 8 17 2 2 2 3 2" xfId="42167"/>
    <cellStyle name="Normal 8 18 2 2 2 3 2" xfId="42168"/>
    <cellStyle name="Normal 8 19 2 2 2 3 2" xfId="42169"/>
    <cellStyle name="Normal 8 2 6 2 2 2 3 2" xfId="42170"/>
    <cellStyle name="Normal 8 2 2 2 2 2 2 3 2" xfId="42171"/>
    <cellStyle name="Normal 8 2 3 2 2 2 3 2" xfId="42172"/>
    <cellStyle name="Normal 8 2 4 2 2 2 3 2" xfId="42173"/>
    <cellStyle name="Normal 8 2 5 2 2 2 3 2" xfId="42174"/>
    <cellStyle name="Normal 8 20 2 2 2 3 2" xfId="42175"/>
    <cellStyle name="Normal 8 22 2 2 2 3 2" xfId="42176"/>
    <cellStyle name="Normal 8 3 6 2 2 2 3 2" xfId="42177"/>
    <cellStyle name="Normal 8 3 2 2 2 2 3 2" xfId="42178"/>
    <cellStyle name="Normal 8 3 3 2 2 2 3 2" xfId="42179"/>
    <cellStyle name="Normal 8 3 4 2 2 2 3 2" xfId="42180"/>
    <cellStyle name="Normal 8 3 5 2 2 2 3 2" xfId="42181"/>
    <cellStyle name="Normal 8 4 2 2 2 3 2" xfId="42182"/>
    <cellStyle name="Normal 8 5 2 2 2 3 2" xfId="42183"/>
    <cellStyle name="Normal 8 6 2 2 2 3 2" xfId="42184"/>
    <cellStyle name="Normal 8 7 2 2 2 3 2" xfId="42185"/>
    <cellStyle name="Normal 8 8 2 2 2 3 2" xfId="42186"/>
    <cellStyle name="Normal 8 9 2 2 2 3 2" xfId="42187"/>
    <cellStyle name="Normal 9 25 2 2 2 3 2" xfId="42188"/>
    <cellStyle name="Normal 9 10 2 2 2 3 2" xfId="42189"/>
    <cellStyle name="Normal 9 11 2 2 2 3 2" xfId="42190"/>
    <cellStyle name="Normal 9 12 2 2 2 3 2" xfId="42191"/>
    <cellStyle name="Normal 9 13 2 2 2 3 2" xfId="42192"/>
    <cellStyle name="Normal 9 14 2 2 2 3 2" xfId="42193"/>
    <cellStyle name="Normal 9 15 2 2 2 3 2" xfId="42194"/>
    <cellStyle name="Normal 9 16 2 2 2 3 2" xfId="42195"/>
    <cellStyle name="Normal 9 17 2 2 2 3 2" xfId="42196"/>
    <cellStyle name="Normal 9 18 2 2 2 3 2" xfId="42197"/>
    <cellStyle name="Normal 9 19 2 2 2 3 2" xfId="42198"/>
    <cellStyle name="Normal 9 2 6 2 2 3 2" xfId="42199"/>
    <cellStyle name="Normal 9 2 2 2 2 2 3 2" xfId="42200"/>
    <cellStyle name="Normal 9 2 3 2 2 2 3 2" xfId="42201"/>
    <cellStyle name="Normal 9 2 4 2 2 2 3 2" xfId="42202"/>
    <cellStyle name="Normal 9 2 5 2 2 2 3 2" xfId="42203"/>
    <cellStyle name="Normal 9 20 2 2 2 3 2" xfId="42204"/>
    <cellStyle name="Normal 9 22 2 2 2 3 2" xfId="42205"/>
    <cellStyle name="Normal 9 3 6 2 2 3 2" xfId="42206"/>
    <cellStyle name="Normal 9 3 2 2 2 2 3 2" xfId="42207"/>
    <cellStyle name="Normal 9 3 3 2 2 2 3 2" xfId="42208"/>
    <cellStyle name="Normal 9 3 4 2 2 2 3 2" xfId="42209"/>
    <cellStyle name="Normal 9 3 5 2 2 2 3 2" xfId="42210"/>
    <cellStyle name="Normal 9 4 2 2 2 3 2" xfId="42211"/>
    <cellStyle name="Normal 9 5 2 2 2 3 2" xfId="42212"/>
    <cellStyle name="Normal 9 6 2 2 2 3 2" xfId="42213"/>
    <cellStyle name="Normal 9 7 2 2 2 3 2" xfId="42214"/>
    <cellStyle name="Normal 9 8 2 2 2 3 2" xfId="42215"/>
    <cellStyle name="Normal 9 9 2 2 2 3 2" xfId="42216"/>
    <cellStyle name="Note 2 2 2 2 3 2" xfId="42217"/>
    <cellStyle name="Note 3 2 2 2 3 2" xfId="42218"/>
    <cellStyle name="Note 4 2 2 2 3 2" xfId="42219"/>
    <cellStyle name="Note 7 2 2 2 3 2" xfId="42220"/>
    <cellStyle name="Percent 120 2 2 2 3 2" xfId="42221"/>
    <cellStyle name="Percent 121 2 2 2 3 2" xfId="42222"/>
    <cellStyle name="Percent 122 2 2 2 3 2" xfId="42223"/>
    <cellStyle name="Percent 123 2 2 2 3 2" xfId="42224"/>
    <cellStyle name="Percent 124 2 2 2 3 2" xfId="42225"/>
    <cellStyle name="Percent 125 2 2 2 3 2" xfId="42226"/>
    <cellStyle name="Percent 126 2 2 2 3 2" xfId="42227"/>
    <cellStyle name="Percent 127 2 2 2 3 2" xfId="42228"/>
    <cellStyle name="Percent 128 2 2 2 3 2" xfId="42229"/>
    <cellStyle name="Percent 129 2 2 2 3 2" xfId="42230"/>
    <cellStyle name="Percent 130 2 2 2 3 2" xfId="42231"/>
    <cellStyle name="Percent 159 2 2 2 3 2" xfId="42232"/>
    <cellStyle name="Percent 2 22 2 2 2 3 2" xfId="42233"/>
    <cellStyle name="Percent 25 2 3 2 2 3 2" xfId="42234"/>
    <cellStyle name="Percent 25 2 2 2 2 2 3 2" xfId="42235"/>
    <cellStyle name="Percent 25 3 3 2 2 3 2" xfId="42236"/>
    <cellStyle name="Percent 25 3 2 2 2 2 3 2" xfId="42237"/>
    <cellStyle name="Percent 25 4 2 2 2 2 3 2" xfId="42238"/>
    <cellStyle name="Percent 25 5 2 2 2 3 2" xfId="42239"/>
    <cellStyle name="Percent 26 2 3 2 2 3 2" xfId="42240"/>
    <cellStyle name="Percent 26 2 2 2 2 2 3 2" xfId="42241"/>
    <cellStyle name="Percent 26 3 3 2 2 3 2" xfId="42242"/>
    <cellStyle name="Percent 26 3 2 2 2 2 3 2" xfId="42243"/>
    <cellStyle name="Percent 26 4 2 2 2 2 3 2" xfId="42244"/>
    <cellStyle name="Percent 26 5 2 2 2 3 2" xfId="42245"/>
    <cellStyle name="Percent 27 2 3 2 2 3 2" xfId="42246"/>
    <cellStyle name="Percent 27 2 2 2 2 2 3 2" xfId="42247"/>
    <cellStyle name="Percent 27 3 3 2 2 3 2" xfId="42248"/>
    <cellStyle name="Percent 27 3 2 2 2 2 3 2" xfId="42249"/>
    <cellStyle name="Percent 27 4 2 2 2 2 3 2" xfId="42250"/>
    <cellStyle name="Percent 27 5 2 2 2 3 2" xfId="42251"/>
    <cellStyle name="Percent 28 2 3 2 2 3 2" xfId="42252"/>
    <cellStyle name="Percent 28 2 2 2 2 2 3 2" xfId="42253"/>
    <cellStyle name="Percent 28 3 3 2 2 3 2" xfId="42254"/>
    <cellStyle name="Percent 28 3 2 2 2 2 3 2" xfId="42255"/>
    <cellStyle name="Percent 28 4 2 2 2 2 3 2" xfId="42256"/>
    <cellStyle name="Percent 28 5 2 2 2 3 2" xfId="42257"/>
    <cellStyle name="Percent 29 2 3 2 2 3 2" xfId="42258"/>
    <cellStyle name="Percent 29 2 2 2 2 2 3 2" xfId="42259"/>
    <cellStyle name="Percent 29 3 3 2 2 3 2" xfId="42260"/>
    <cellStyle name="Percent 29 3 2 2 2 2 3 2" xfId="42261"/>
    <cellStyle name="Percent 29 4 2 2 2 2 3 2" xfId="42262"/>
    <cellStyle name="Percent 29 5 2 2 2 3 2" xfId="42263"/>
    <cellStyle name="Percent 3 10 2 2 2 3 2" xfId="42264"/>
    <cellStyle name="Percent 3 11 2 2 2 3 2" xfId="42265"/>
    <cellStyle name="Percent 3 12 2 2 2 3 2" xfId="42266"/>
    <cellStyle name="Percent 3 13 2 2 2 3 2" xfId="42267"/>
    <cellStyle name="Percent 3 14 2 2 2 3 2" xfId="42268"/>
    <cellStyle name="Percent 3 15 2 2 2 3 2" xfId="42269"/>
    <cellStyle name="Percent 3 16 2 2 2 3 2" xfId="42270"/>
    <cellStyle name="Percent 3 17 2 2 2 3 2" xfId="42271"/>
    <cellStyle name="Percent 3 18 2 2 2 3 2" xfId="42272"/>
    <cellStyle name="Percent 3 19 2 2 2 3 2" xfId="42273"/>
    <cellStyle name="Percent 3 2 23 2 2 3 2" xfId="42274"/>
    <cellStyle name="Percent 3 2 10 2 2 2 3 2" xfId="42275"/>
    <cellStyle name="Percent 3 2 11 2 2 2 3 2" xfId="42276"/>
    <cellStyle name="Percent 3 2 12 2 2 2 3 2" xfId="42277"/>
    <cellStyle name="Percent 3 2 13 2 2 2 3 2" xfId="42278"/>
    <cellStyle name="Percent 3 2 14 2 2 2 3 2" xfId="42279"/>
    <cellStyle name="Percent 3 2 15 2 2 2 3 2" xfId="42280"/>
    <cellStyle name="Percent 3 2 16 2 2 2 3 2" xfId="42281"/>
    <cellStyle name="Percent 3 2 17 2 2 2 3 2" xfId="42282"/>
    <cellStyle name="Percent 3 2 18 2 2 2 3 2" xfId="42283"/>
    <cellStyle name="Percent 3 2 19 2 2 2 3 2" xfId="42284"/>
    <cellStyle name="Percent 3 2 2 2 2 2 2 3 2" xfId="42285"/>
    <cellStyle name="Percent 3 2 2 3 2 2 2 3 2" xfId="42286"/>
    <cellStyle name="Percent 3 2 2 4 2 2 2 3 2" xfId="42287"/>
    <cellStyle name="Percent 3 2 2 5 2 2 2 3 2" xfId="42288"/>
    <cellStyle name="Percent 3 2 20 2 2 2 3 2" xfId="42289"/>
    <cellStyle name="Percent 3 2 21 2 2 2 2 3 2" xfId="42290"/>
    <cellStyle name="Percent 3 2 3 6 2 2 3 2" xfId="42291"/>
    <cellStyle name="Percent 3 2 3 2 2 2 2 3 2" xfId="42292"/>
    <cellStyle name="Percent 3 2 3 3 2 2 2 3 2" xfId="42293"/>
    <cellStyle name="Percent 3 2 3 4 2 2 2 3 2" xfId="42294"/>
    <cellStyle name="Percent 3 2 3 5 2 2 2 3 2" xfId="42295"/>
    <cellStyle name="Percent 3 2 4 3 2 2 3 2" xfId="42296"/>
    <cellStyle name="Percent 3 2 4 2 2 2 2 3 2" xfId="42297"/>
    <cellStyle name="Percent 3 2 5 3 2 2 3 2" xfId="42298"/>
    <cellStyle name="Percent 3 2 5 2 2 2 2 3 2" xfId="42299"/>
    <cellStyle name="Percent 3 2 6 3 2 2 3 2" xfId="42300"/>
    <cellStyle name="Percent 3 2 6 2 2 2 2 3 2" xfId="42301"/>
    <cellStyle name="Percent 3 2 7 2 2 2 3 2" xfId="42302"/>
    <cellStyle name="Percent 3 2 8 2 2 2 3 2" xfId="42303"/>
    <cellStyle name="Percent 3 2 9 2 2 2 3 2" xfId="42304"/>
    <cellStyle name="Percent 3 20 2 2 2 3 2" xfId="42305"/>
    <cellStyle name="Percent 3 21 2 2 2 3 2" xfId="42306"/>
    <cellStyle name="Percent 3 3 2 2 2 2 3 2" xfId="42307"/>
    <cellStyle name="Percent 3 3 3 2 2 2 3 2" xfId="42308"/>
    <cellStyle name="Percent 3 3 4 2 2 2 3 2" xfId="42309"/>
    <cellStyle name="Percent 3 3 5 2 2 2 3 2" xfId="42310"/>
    <cellStyle name="Percent 3 4 6 2 2 3 2" xfId="42311"/>
    <cellStyle name="Percent 3 4 2 2 2 2 3 2" xfId="42312"/>
    <cellStyle name="Percent 3 4 3 2 2 2 3 2" xfId="42313"/>
    <cellStyle name="Percent 3 4 4 2 2 2 3 2" xfId="42314"/>
    <cellStyle name="Percent 3 4 5 2 2 2 3 2" xfId="42315"/>
    <cellStyle name="Percent 3 5 3 2 2 3 2" xfId="42316"/>
    <cellStyle name="Percent 3 5 2 2 2 2 3 2" xfId="42317"/>
    <cellStyle name="Percent 3 6 3 2 2 3 2" xfId="42318"/>
    <cellStyle name="Percent 3 6 2 2 2 2 3 2" xfId="42319"/>
    <cellStyle name="Percent 3 7 3 2 2 3 2" xfId="42320"/>
    <cellStyle name="Percent 3 7 2 2 2 2 3 2" xfId="42321"/>
    <cellStyle name="Percent 3 8 2 2 2 3 2" xfId="42322"/>
    <cellStyle name="Percent 3 9 2 2 2 3 2" xfId="42323"/>
    <cellStyle name="Percent 30 2 3 2 2 3 2" xfId="42324"/>
    <cellStyle name="Percent 30 2 2 2 2 2 3 2" xfId="42325"/>
    <cellStyle name="Percent 30 3 3 2 2 3 2" xfId="42326"/>
    <cellStyle name="Percent 30 3 2 2 2 2 3 2" xfId="42327"/>
    <cellStyle name="Percent 30 4 2 2 2 2 3 2" xfId="42328"/>
    <cellStyle name="Percent 30 5 2 2 2 3 2" xfId="42329"/>
    <cellStyle name="Percent 31 2 3 2 2 3 2" xfId="42330"/>
    <cellStyle name="Percent 31 2 2 2 2 2 3 2" xfId="42331"/>
    <cellStyle name="Percent 31 3 3 2 2 3 2" xfId="42332"/>
    <cellStyle name="Percent 31 3 2 2 2 2 3 2" xfId="42333"/>
    <cellStyle name="Percent 31 4 2 2 2 2 3 2" xfId="42334"/>
    <cellStyle name="Percent 31 5 2 2 2 3 2" xfId="42335"/>
    <cellStyle name="Percent 32 2 3 2 2 3 2" xfId="42336"/>
    <cellStyle name="Percent 32 2 2 2 2 2 3 2" xfId="42337"/>
    <cellStyle name="Percent 32 3 3 2 2 3 2" xfId="42338"/>
    <cellStyle name="Percent 32 3 2 2 2 2 3 2" xfId="42339"/>
    <cellStyle name="Percent 32 4 2 2 2 2 3 2" xfId="42340"/>
    <cellStyle name="Percent 32 5 2 2 2 3 2" xfId="42341"/>
    <cellStyle name="Percent 33 2 3 2 2 3 2" xfId="42342"/>
    <cellStyle name="Percent 33 2 2 2 2 2 3 2" xfId="42343"/>
    <cellStyle name="Percent 33 3 3 2 2 3 2" xfId="42344"/>
    <cellStyle name="Percent 33 3 2 2 2 2 3 2" xfId="42345"/>
    <cellStyle name="Percent 33 4 2 2 2 2 3 2" xfId="42346"/>
    <cellStyle name="Percent 33 5 2 2 2 3 2" xfId="42347"/>
    <cellStyle name="Percent 34 2 3 2 2 3 2" xfId="42348"/>
    <cellStyle name="Percent 34 2 2 2 2 2 3 2" xfId="42349"/>
    <cellStyle name="Percent 34 3 3 2 2 3 2" xfId="42350"/>
    <cellStyle name="Percent 34 3 2 2 2 2 3 2" xfId="42351"/>
    <cellStyle name="Percent 34 4 2 2 2 2 3 2" xfId="42352"/>
    <cellStyle name="Percent 34 5 2 2 2 3 2" xfId="42353"/>
    <cellStyle name="Percent 35 2 3 2 2 3 2" xfId="42354"/>
    <cellStyle name="Percent 35 2 2 2 2 2 3 2" xfId="42355"/>
    <cellStyle name="Percent 35 3 3 2 2 3 2" xfId="42356"/>
    <cellStyle name="Percent 35 3 2 2 2 2 3 2" xfId="42357"/>
    <cellStyle name="Percent 35 4 2 2 2 2 3 2" xfId="42358"/>
    <cellStyle name="Percent 35 5 2 2 2 3 2" xfId="42359"/>
    <cellStyle name="Currency 5 4 2 2 2 3 2" xfId="42360"/>
    <cellStyle name="Comma 5 7 2 2 2 3 2" xfId="42361"/>
    <cellStyle name="Percent 5 4 2 2 2 3 2" xfId="42362"/>
    <cellStyle name="Comma 6 5 2 2 2 3 2" xfId="42363"/>
    <cellStyle name="Currency 5 2 4 2 2 2 3 2" xfId="42364"/>
    <cellStyle name="Comma 5 2 4 2 2 2 3 2" xfId="42365"/>
    <cellStyle name="Percent 5 2 4 2 2 2 3 2" xfId="42366"/>
    <cellStyle name="Comma 6 2 3 2 2 2 3 2" xfId="42367"/>
    <cellStyle name="Currency 5 3 2 2 2 2 3 2" xfId="42368"/>
    <cellStyle name="Comma 5 3 2 2 2 2 3 2" xfId="42369"/>
    <cellStyle name="Percent 5 3 2 2 2 2 3 2" xfId="42370"/>
    <cellStyle name="Comma 6 3 4 2 2 2 3 2" xfId="42371"/>
    <cellStyle name="Normal 11 2 2 2 2 2 3 2" xfId="42372"/>
    <cellStyle name="Currency 5 2 2 2 2 2 2 3 2" xfId="42373"/>
    <cellStyle name="Comma 5 2 2 2 2 2 2 3 2" xfId="42374"/>
    <cellStyle name="Percent 5 2 2 2 2 2 2 3 2" xfId="42375"/>
    <cellStyle name="Comma 6 2 2 2 2 2 2 3 2" xfId="42376"/>
    <cellStyle name="Comma 4 7 3 2" xfId="42377"/>
    <cellStyle name="Currency 4 7 3 2" xfId="42378"/>
    <cellStyle name="Currency 4 2 3 3 2" xfId="42379"/>
    <cellStyle name="Currency 7 6 3 2" xfId="42380"/>
    <cellStyle name="Normal 7 26 3 2" xfId="42381"/>
    <cellStyle name="Percent 5 9 3 2" xfId="42382"/>
    <cellStyle name="Percent 5 2 9 3 2" xfId="42383"/>
    <cellStyle name="Percent 5 2 2 7 3 2" xfId="42384"/>
    <cellStyle name="Percent 8 3 3 2" xfId="42385"/>
    <cellStyle name="Comma 4 2 3 3 2" xfId="42386"/>
    <cellStyle name="Currency 4 3 5 3 2" xfId="42387"/>
    <cellStyle name="Currency 4 2 2 3 2" xfId="42388"/>
    <cellStyle name="Currency 7 2 4 3 2" xfId="42389"/>
    <cellStyle name="Normal 7 2 9 3 2" xfId="42390"/>
    <cellStyle name="Percent 5 3 7 3 2" xfId="42391"/>
    <cellStyle name="Percent 5 2 3 2 3 2" xfId="42392"/>
    <cellStyle name="Percent 5 2 2 2 5 3 2" xfId="42393"/>
    <cellStyle name="Percent 8 2 4 3 2" xfId="42394"/>
    <cellStyle name="Normal 12 11 3 2" xfId="42395"/>
    <cellStyle name="Comma 6 10 3 2" xfId="42396"/>
    <cellStyle name="Comma 6 2 8 3 2" xfId="42397"/>
    <cellStyle name="20% - Accent6 5 4 2" xfId="42398"/>
    <cellStyle name="20% - Accent6 15 3 2" xfId="42399"/>
    <cellStyle name="Percent 195 2" xfId="42400"/>
    <cellStyle name="40% - Accent6 9 3 2" xfId="42401"/>
    <cellStyle name="40% - Accent1 5 8 2" xfId="42402"/>
    <cellStyle name="Note 2 14 3 2" xfId="42403"/>
    <cellStyle name="20% - Accent5 5 4 2" xfId="42404"/>
    <cellStyle name="Normal 5 13 4 2" xfId="42405"/>
    <cellStyle name="20% - Accent1 7 3 2" xfId="42406"/>
    <cellStyle name="40% - Accent3 7 3 2" xfId="42407"/>
    <cellStyle name="40% - Accent5 15 3 2" xfId="42408"/>
    <cellStyle name="20% - Accent2 14 3 2" xfId="42409"/>
    <cellStyle name="40% - Accent4 11 3 2" xfId="42410"/>
    <cellStyle name="40% - Accent2 13 3 2" xfId="42411"/>
    <cellStyle name="Normal 5 27 4 2" xfId="42412"/>
    <cellStyle name="Normal 5 21 4 2" xfId="42413"/>
    <cellStyle name="40% - Accent1 9 3 2" xfId="42414"/>
    <cellStyle name="Percent 5 18 3 2" xfId="42415"/>
    <cellStyle name="Comma 5 4 4 2" xfId="42416"/>
    <cellStyle name="40% - Accent5 14 3 2" xfId="42417"/>
    <cellStyle name="20% - Accent4 5 8 2" xfId="42418"/>
    <cellStyle name="20% - Accent6 14 3 2" xfId="42419"/>
    <cellStyle name="40% - Accent1 6 4 2" xfId="42420"/>
    <cellStyle name="Note 2 7 3 2" xfId="42421"/>
    <cellStyle name="40% - Accent4 8 3 2" xfId="42422"/>
    <cellStyle name="Comma 17 4 2" xfId="42423"/>
    <cellStyle name="40% - Accent6 6 4 2" xfId="42424"/>
    <cellStyle name="20% - Accent6 9 3 2" xfId="42425"/>
    <cellStyle name="Comma 223 2" xfId="42426"/>
    <cellStyle name="40% - Accent2 9 3 2" xfId="42427"/>
    <cellStyle name="Comma 5 17 3 2" xfId="42428"/>
    <cellStyle name="Comma 15 4 2" xfId="42429"/>
    <cellStyle name="40% - Accent2 12 3 2" xfId="42430"/>
    <cellStyle name="Normal 5 25 4 2" xfId="42431"/>
    <cellStyle name="Percent 2 3 7 2" xfId="42432"/>
    <cellStyle name="Normal 5 11 4 2" xfId="42433"/>
    <cellStyle name="40% - Accent3 10 3 2" xfId="42434"/>
    <cellStyle name="40% - Accent1 10 3 2" xfId="42435"/>
    <cellStyle name="Percent 192 2" xfId="42436"/>
    <cellStyle name="Comma 218 2" xfId="42437"/>
    <cellStyle name="40% - Accent3 5 8 2" xfId="42438"/>
    <cellStyle name="20% - Accent3 14 3 2" xfId="42439"/>
    <cellStyle name="Percent 197 2" xfId="42440"/>
    <cellStyle name="Comma 5 28 3 2" xfId="42441"/>
    <cellStyle name="Normal 5 9 4 2" xfId="42442"/>
    <cellStyle name="40% - Accent6 12 3 2" xfId="42443"/>
    <cellStyle name="Note 2 12 3 2" xfId="42444"/>
    <cellStyle name="Comma 22 4 2" xfId="42445"/>
    <cellStyle name="Note 2 9 3 2" xfId="42446"/>
    <cellStyle name="20% - Accent3 6 4 2" xfId="42447"/>
    <cellStyle name="Comma 219 2" xfId="42448"/>
    <cellStyle name="20% - Accent2 10 3 2" xfId="42449"/>
    <cellStyle name="40% - Accent5 9 3 2" xfId="42450"/>
    <cellStyle name="40% - Accent4 15 3 2" xfId="42451"/>
    <cellStyle name="Percent 5 22 3 2" xfId="42452"/>
    <cellStyle name="Normal 5 15 4 2" xfId="42453"/>
    <cellStyle name="Percent 5 19 3 2" xfId="42454"/>
    <cellStyle name="20% - Accent4 9 3 2" xfId="42455"/>
    <cellStyle name="40% - Accent6 8 3 2" xfId="42456"/>
    <cellStyle name="40% - Accent4 10 3 2" xfId="42457"/>
    <cellStyle name="Percent 5 25 3 2" xfId="42458"/>
    <cellStyle name="Percent 5 15 3 2" xfId="42459"/>
    <cellStyle name="40% - Accent4 9 3 2" xfId="42460"/>
    <cellStyle name="Comma 5 5 5 2" xfId="42461"/>
    <cellStyle name="Comma 19 4 2" xfId="42462"/>
    <cellStyle name="Comma 8 7 2" xfId="42463"/>
    <cellStyle name="20% - Accent4 13 3 2" xfId="42464"/>
    <cellStyle name="Percent 193 2" xfId="42465"/>
    <cellStyle name="40% - Accent3 14 3 2" xfId="42466"/>
    <cellStyle name="20% - Accent2 15 3 2" xfId="42467"/>
    <cellStyle name="Normal 5 10 4 2" xfId="42468"/>
    <cellStyle name="40% - Accent4 12 3 2" xfId="42469"/>
    <cellStyle name="20% - Accent6 8 3 2" xfId="42470"/>
    <cellStyle name="20% - Accent5 13 3 2" xfId="42471"/>
    <cellStyle name="Normal 5 22 4 2" xfId="42472"/>
    <cellStyle name="20% - Accent6 7 3 2" xfId="42473"/>
    <cellStyle name="20% - Accent6 11 3 2" xfId="42474"/>
    <cellStyle name="20% - Accent1 15 3 2" xfId="42475"/>
    <cellStyle name="40% - Accent3 15 3 2" xfId="42476"/>
    <cellStyle name="20% - Accent4 15 3 2" xfId="42477"/>
    <cellStyle name="Percent 5 17 3 2" xfId="42478"/>
    <cellStyle name="Comma 5 19 3 2" xfId="42479"/>
    <cellStyle name="Normal 5 16 4 2" xfId="42480"/>
    <cellStyle name="Normal 5 20 4 2" xfId="42481"/>
    <cellStyle name="Comma 222 2" xfId="42482"/>
    <cellStyle name="20% - Accent1 14 3 2" xfId="42483"/>
    <cellStyle name="40% - Accent4 7 3 2" xfId="42484"/>
    <cellStyle name="40% - Accent1 15 3 2" xfId="42485"/>
    <cellStyle name="20% - Accent2 9 3 2" xfId="42486"/>
    <cellStyle name="20% - Accent5 15 3 2" xfId="42487"/>
    <cellStyle name="20% - Accent1 10 3 2" xfId="42488"/>
    <cellStyle name="Comma 5 24 3 2" xfId="42489"/>
    <cellStyle name="40% - Accent2 5 4 2" xfId="42490"/>
    <cellStyle name="40% - Accent4 13 3 2" xfId="42491"/>
    <cellStyle name="Percent 5 16 3 2" xfId="42492"/>
    <cellStyle name="20% - Accent5 12 3 2" xfId="42493"/>
    <cellStyle name="20% - Accent3 5 8 2" xfId="42494"/>
    <cellStyle name="Normal 5 8 4 2" xfId="42495"/>
    <cellStyle name="20% - Accent6 12 3 2" xfId="42496"/>
    <cellStyle name="20% - Accent2 5 8 2" xfId="42497"/>
    <cellStyle name="40% - Accent5 5 4 2" xfId="42498"/>
    <cellStyle name="20% - Accent6 10 3 2" xfId="42499"/>
    <cellStyle name="20% - Accent4 11 3 2" xfId="42500"/>
    <cellStyle name="40% - Accent4 6 4 2" xfId="42501"/>
    <cellStyle name="Note 2 13 3 2" xfId="42502"/>
    <cellStyle name="Comma 10 7 2" xfId="42503"/>
    <cellStyle name="20% - Accent5 9 3 2" xfId="42504"/>
    <cellStyle name="Percent 5 28 3 2" xfId="42505"/>
    <cellStyle name="Comma 5 27 3 2" xfId="42506"/>
    <cellStyle name="Normal 5 23 4 2" xfId="42507"/>
    <cellStyle name="20% - Accent3 9 3 2" xfId="42508"/>
    <cellStyle name="Percent 5 5 4 2" xfId="42509"/>
    <cellStyle name="Comma 5 16 3 2" xfId="42510"/>
    <cellStyle name="20% - Accent3 10 3 2" xfId="42511"/>
    <cellStyle name="40% - Accent1 7 3 2" xfId="42512"/>
    <cellStyle name="Percent 5 24 3 2" xfId="42513"/>
    <cellStyle name="Comma 5 25 3 2" xfId="42514"/>
    <cellStyle name="20% - Accent1 11 3 2" xfId="42515"/>
    <cellStyle name="Percent 5 14 3 2" xfId="42516"/>
    <cellStyle name="20% - Accent1 13 3 2" xfId="42517"/>
    <cellStyle name="Percent 5 27 3 2" xfId="42518"/>
    <cellStyle name="Note 2 10 3 2" xfId="42519"/>
    <cellStyle name="40% - Accent3 12 3 2" xfId="42520"/>
    <cellStyle name="40% - Accent6 11 3 2" xfId="42521"/>
    <cellStyle name="40% - Accent1 13 3 2" xfId="42522"/>
    <cellStyle name="Comma 5 8 4 2" xfId="42523"/>
    <cellStyle name="20% - Accent5 14 3 2" xfId="42524"/>
    <cellStyle name="40% - Accent3 9 3 2" xfId="42525"/>
    <cellStyle name="40% - Accent2 6 3 2" xfId="42526"/>
    <cellStyle name="40% - Accent1 8 3 2" xfId="42527"/>
    <cellStyle name="40% - Accent6 5 8 2" xfId="42528"/>
    <cellStyle name="40% - Accent3 8 3 2" xfId="42529"/>
    <cellStyle name="40% - Accent2 7 3 2" xfId="42530"/>
    <cellStyle name="20% - Accent2 8 3 2" xfId="42531"/>
    <cellStyle name="40% - Accent3 11 3 2" xfId="42532"/>
    <cellStyle name="20% - Accent5 11 3 2" xfId="42533"/>
    <cellStyle name="40% - Accent5 6 3 2" xfId="42534"/>
    <cellStyle name="Percent 5 20 3 2" xfId="42535"/>
    <cellStyle name="Note 2 11 3 2" xfId="42536"/>
    <cellStyle name="Normal 5 29 4 2" xfId="42537"/>
    <cellStyle name="20% - Accent6 13 3 2" xfId="42538"/>
    <cellStyle name="20% - Accent1 12 3 2" xfId="42539"/>
    <cellStyle name="40% - Accent2 15 3 2" xfId="42540"/>
    <cellStyle name="Comma 5 22 3 2" xfId="42541"/>
    <cellStyle name="Comma 5 23 3 2" xfId="42542"/>
    <cellStyle name="Note 2 8 3 2" xfId="42543"/>
    <cellStyle name="Comma 7 9 2" xfId="42544"/>
    <cellStyle name="Percent 5 23 3 2" xfId="42545"/>
    <cellStyle name="40% - Accent6 14 3 2" xfId="42546"/>
    <cellStyle name="20% - Accent2 12 3 2" xfId="42547"/>
    <cellStyle name="20% - Accent6 6 3 2" xfId="42548"/>
    <cellStyle name="Comma 13 4 2" xfId="42549"/>
    <cellStyle name="Comma 9 8 2" xfId="42550"/>
    <cellStyle name="40% - Accent5 13 3 2" xfId="42551"/>
    <cellStyle name="40% - Accent5 7 3 2" xfId="42552"/>
    <cellStyle name="Normal 5 14 4 2" xfId="42553"/>
    <cellStyle name="Comma 12 5 2" xfId="42554"/>
    <cellStyle name="40% - Accent6 13 3 2" xfId="42555"/>
    <cellStyle name="Comma 2 3 8 2" xfId="42556"/>
    <cellStyle name="20% - Accent1 5 8 2" xfId="42557"/>
    <cellStyle name="40% - Accent2 14 3 2" xfId="42558"/>
    <cellStyle name="Normal 5 26 4 2" xfId="42559"/>
    <cellStyle name="Comma 21 4 2" xfId="42560"/>
    <cellStyle name="Percent 5 21 3 2" xfId="42561"/>
    <cellStyle name="Comma 220 2" xfId="42562"/>
    <cellStyle name="20% - Accent3 13 3 2" xfId="42563"/>
    <cellStyle name="40% - Accent4 5 8 2" xfId="42564"/>
    <cellStyle name="20% - Accent5 6 3 2" xfId="42565"/>
    <cellStyle name="40% - Accent1 12 3 2" xfId="42566"/>
    <cellStyle name="Normal 5 19 4 2" xfId="42567"/>
    <cellStyle name="20% - Accent5 10 3 2" xfId="42568"/>
    <cellStyle name="Comma 18 4 2" xfId="42569"/>
    <cellStyle name="Comma 20 4 2" xfId="42570"/>
    <cellStyle name="Comma 221 2" xfId="42571"/>
    <cellStyle name="Normal 5 18 4 2" xfId="42572"/>
    <cellStyle name="Comma 5 15 3 2" xfId="42573"/>
    <cellStyle name="20% - Accent1 6 4 2" xfId="42574"/>
    <cellStyle name="Comma 5 21 3 2" xfId="42575"/>
    <cellStyle name="20% - Accent2 11 3 2" xfId="42576"/>
    <cellStyle name="Comma 14 4 2" xfId="42577"/>
    <cellStyle name="20% - Accent2 13 3 2" xfId="42578"/>
    <cellStyle name="40% - Accent4 14 3 2" xfId="42579"/>
    <cellStyle name="20% - Accent5 7 3 2" xfId="42580"/>
    <cellStyle name="20% - Accent4 6 4 2" xfId="42581"/>
    <cellStyle name="20% - Accent1 9 3 2" xfId="42582"/>
    <cellStyle name="Percent 194 2" xfId="42583"/>
    <cellStyle name="40% - Accent6 10 3 2" xfId="42584"/>
    <cellStyle name="20% - Accent4 14 3 2" xfId="42585"/>
    <cellStyle name="20% - Accent2 7 3 2" xfId="42586"/>
    <cellStyle name="20% - Accent3 11 3 2" xfId="42587"/>
    <cellStyle name="40% - Accent5 12 3 2" xfId="42588"/>
    <cellStyle name="20% - Accent2 6 4 2" xfId="42589"/>
    <cellStyle name="Comma 5 20 3 2" xfId="42590"/>
    <cellStyle name="Normal 5 17 4 2" xfId="42591"/>
    <cellStyle name="40% - Accent2 8 3 2" xfId="42592"/>
    <cellStyle name="40% - Accent6 7 3 2" xfId="42593"/>
    <cellStyle name="40% - Accent1 14 3 2" xfId="42594"/>
    <cellStyle name="40% - Accent3 13 3 2" xfId="42595"/>
    <cellStyle name="20% - Accent4 7 3 2" xfId="42596"/>
    <cellStyle name="Percent 5 26 3 2" xfId="42597"/>
    <cellStyle name="20% - Accent4 10 3 2" xfId="42598"/>
    <cellStyle name="Percent 5 13 3 2" xfId="42599"/>
    <cellStyle name="20% - Accent3 8 3 2" xfId="42600"/>
    <cellStyle name="40% - Accent5 11 3 2" xfId="42601"/>
    <cellStyle name="Comma 5 26 3 2" xfId="42602"/>
    <cellStyle name="20% - Accent3 12 3 2" xfId="42603"/>
    <cellStyle name="Normal 5 12 4 2" xfId="42604"/>
    <cellStyle name="40% - Accent5 10 3 2" xfId="42605"/>
    <cellStyle name="20% - Accent3 15 3 2" xfId="42606"/>
    <cellStyle name="20% - Accent4 12 3 2" xfId="42607"/>
    <cellStyle name="Note 2 15 3 2" xfId="42608"/>
    <cellStyle name="20% - Accent5 8 3 2" xfId="42609"/>
    <cellStyle name="40% - Accent2 10 3 2" xfId="42610"/>
    <cellStyle name="Percent 196 2" xfId="42611"/>
    <cellStyle name="Comma 23 4 2" xfId="42612"/>
    <cellStyle name="40% - Accent3 6 4 2" xfId="42613"/>
    <cellStyle name="20% - Accent3 7 3 2" xfId="42614"/>
    <cellStyle name="Normal 10 2 5 2" xfId="42615"/>
    <cellStyle name="40% - Accent6 15 3 2" xfId="42616"/>
    <cellStyle name="40% - Accent1 11 3 2" xfId="42617"/>
    <cellStyle name="Comma 5 18 3 2" xfId="42618"/>
    <cellStyle name="Comma 5 6 4 2" xfId="42619"/>
    <cellStyle name="20% - Accent4 8 3 2" xfId="42620"/>
    <cellStyle name="Comma 11 8 2" xfId="42621"/>
    <cellStyle name="20% - Accent1 8 3 2" xfId="42622"/>
    <cellStyle name="Comma 16 4 2" xfId="42623"/>
    <cellStyle name="Comma 3 31 2" xfId="42624"/>
    <cellStyle name="Percent 3 32 2" xfId="42625"/>
    <cellStyle name="Currency 3 32 2" xfId="42626"/>
    <cellStyle name="20% - Accent1 17 2" xfId="42627"/>
    <cellStyle name="40% - Accent1 17 2" xfId="42628"/>
    <cellStyle name="20% - Accent2 17 2" xfId="42629"/>
    <cellStyle name="40% - Accent2 17 2" xfId="42630"/>
    <cellStyle name="20% - Accent3 17 2" xfId="42631"/>
    <cellStyle name="40% - Accent3 17 2" xfId="42632"/>
    <cellStyle name="20% - Accent4 17 2" xfId="42633"/>
    <cellStyle name="40% - Accent4 17 2" xfId="42634"/>
    <cellStyle name="20% - Accent5 17 2" xfId="42635"/>
    <cellStyle name="40% - Accent5 17 2" xfId="42636"/>
    <cellStyle name="20% - Accent6 17 2" xfId="42637"/>
    <cellStyle name="40% - Accent6 17 2" xfId="42638"/>
    <cellStyle name="Normal 3 3 12 2" xfId="42639"/>
    <cellStyle name="Comma 2 3 9 2" xfId="42640"/>
    <cellStyle name="Percent 2 3 8 2" xfId="42641"/>
    <cellStyle name="Normal 10 2 6 2" xfId="42642"/>
    <cellStyle name="Comma 4 31 2" xfId="42643"/>
    <cellStyle name="Comma 5 31 2" xfId="42644"/>
    <cellStyle name="Comma 6 15 2" xfId="42645"/>
    <cellStyle name="Comma 7 10 2" xfId="42646"/>
    <cellStyle name="Comma 8 8 2" xfId="42647"/>
    <cellStyle name="Comma 10 8 2" xfId="42648"/>
    <cellStyle name="Comma 9 9 2" xfId="42649"/>
    <cellStyle name="Comma 11 9 2" xfId="42650"/>
    <cellStyle name="Comma 14 5 2" xfId="42651"/>
    <cellStyle name="Comma 12 6 2" xfId="42652"/>
    <cellStyle name="Comma 13 5 2" xfId="42653"/>
    <cellStyle name="Comma 15 5 2" xfId="42654"/>
    <cellStyle name="Comma 16 5 2" xfId="42655"/>
    <cellStyle name="Comma 17 5 2" xfId="42656"/>
    <cellStyle name="Comma 22 5 2" xfId="42657"/>
    <cellStyle name="Comma 18 5 2" xfId="42658"/>
    <cellStyle name="Comma 19 5 2" xfId="42659"/>
    <cellStyle name="Comma 20 5 2" xfId="42660"/>
    <cellStyle name="Comma 21 5 2" xfId="42661"/>
    <cellStyle name="Comma 23 5 2" xfId="42662"/>
    <cellStyle name="Normal 5 3 9 2" xfId="42663"/>
    <cellStyle name="Note 2 18 2" xfId="42664"/>
    <cellStyle name="Comma 5 2 12 2" xfId="42665"/>
    <cellStyle name="Percent 5 2 13 2" xfId="42666"/>
    <cellStyle name="Normal 5 4 9 2" xfId="42667"/>
    <cellStyle name="Comma 5 3 10 2" xfId="42668"/>
    <cellStyle name="Percent 5 3 11 2" xfId="42669"/>
    <cellStyle name="Normal 5 5 9 2" xfId="42670"/>
    <cellStyle name="Comma 5 4 5 2" xfId="42671"/>
    <cellStyle name="Percent 5 4 8 2" xfId="42672"/>
    <cellStyle name="Normal 5 6 9 2" xfId="42673"/>
    <cellStyle name="Comma 5 5 6 2" xfId="42674"/>
    <cellStyle name="Percent 5 5 5 2" xfId="42675"/>
    <cellStyle name="Normal 5 7 9 2" xfId="42676"/>
    <cellStyle name="Comma 5 6 5 2" xfId="42677"/>
    <cellStyle name="Percent 5 6 7 2" xfId="42678"/>
    <cellStyle name="Normal 5 8 5 2" xfId="42679"/>
    <cellStyle name="Comma 5 7 8 2" xfId="42680"/>
    <cellStyle name="Percent 5 7 6 2" xfId="42681"/>
    <cellStyle name="Normal 5 9 5 2" xfId="42682"/>
    <cellStyle name="Comma 5 8 5 2" xfId="42683"/>
    <cellStyle name="Percent 5 8 5 2" xfId="42684"/>
    <cellStyle name="Normal 5 10 5 2" xfId="42685"/>
    <cellStyle name="Comma 5 9 7 2" xfId="42686"/>
    <cellStyle name="Percent 5 9 5 2" xfId="42687"/>
    <cellStyle name="Normal 5 11 5 2" xfId="42688"/>
    <cellStyle name="Comma 5 10 6 2" xfId="42689"/>
    <cellStyle name="Percent 5 10 4 2" xfId="42690"/>
    <cellStyle name="Normal 5 12 5 2" xfId="42691"/>
    <cellStyle name="Comma 5 11 5 2" xfId="42692"/>
    <cellStyle name="Percent 5 11 4 2" xfId="42693"/>
    <cellStyle name="Normal 5 13 5 2" xfId="42694"/>
    <cellStyle name="Comma 5 12 4 2" xfId="42695"/>
    <cellStyle name="Percent 5 12 4 2" xfId="42696"/>
    <cellStyle name="Normal 5 14 5 2" xfId="42697"/>
    <cellStyle name="Comma 5 13 4 2" xfId="42698"/>
    <cellStyle name="Percent 5 13 4 2" xfId="42699"/>
    <cellStyle name="Normal 5 15 5 2" xfId="42700"/>
    <cellStyle name="Comma 5 14 4 2" xfId="42701"/>
    <cellStyle name="Percent 5 14 4 2" xfId="42702"/>
    <cellStyle name="20% - Accent1 2 8 2" xfId="42703"/>
    <cellStyle name="40% - Accent1 2 8 2" xfId="42704"/>
    <cellStyle name="20% - Accent2 2 8 2" xfId="42705"/>
    <cellStyle name="40% - Accent2 2 8 2" xfId="42706"/>
    <cellStyle name="20% - Accent3 2 8 2" xfId="42707"/>
    <cellStyle name="40% - Accent3 2 8 2" xfId="42708"/>
    <cellStyle name="20% - Accent4 2 8 2" xfId="42709"/>
    <cellStyle name="40% - Accent4 2 8 2" xfId="42710"/>
    <cellStyle name="20% - Accent5 2 8 2" xfId="42711"/>
    <cellStyle name="40% - Accent5 2 8 2" xfId="42712"/>
    <cellStyle name="20% - Accent6 2 8 2" xfId="42713"/>
    <cellStyle name="40% - Accent6 2 8 2" xfId="42714"/>
    <cellStyle name="Normal 5 16 5 2" xfId="42715"/>
    <cellStyle name="Note 2 2 7 2" xfId="42716"/>
    <cellStyle name="Comma 5 15 4 2" xfId="42717"/>
    <cellStyle name="Percent 5 15 4 2" xfId="42718"/>
    <cellStyle name="20% - Accent1 3 8 2" xfId="42719"/>
    <cellStyle name="40% - Accent1 3 8 2" xfId="42720"/>
    <cellStyle name="20% - Accent2 3 8 2" xfId="42721"/>
    <cellStyle name="40% - Accent2 3 8 2" xfId="42722"/>
    <cellStyle name="20% - Accent3 3 8 2" xfId="42723"/>
    <cellStyle name="40% - Accent3 3 8 2" xfId="42724"/>
    <cellStyle name="20% - Accent4 3 8 2" xfId="42725"/>
    <cellStyle name="40% - Accent4 3 8 2" xfId="42726"/>
    <cellStyle name="20% - Accent5 3 8 2" xfId="42727"/>
    <cellStyle name="40% - Accent5 3 8 2" xfId="42728"/>
    <cellStyle name="20% - Accent6 3 8 2" xfId="42729"/>
    <cellStyle name="40% - Accent6 3 8 2" xfId="42730"/>
    <cellStyle name="Normal 5 17 5 2" xfId="42731"/>
    <cellStyle name="Note 2 3 6 2" xfId="42732"/>
    <cellStyle name="Comma 5 16 4 2" xfId="42733"/>
    <cellStyle name="Percent 5 16 4 2" xfId="42734"/>
    <cellStyle name="20% - Accent1 4 8 2" xfId="42735"/>
    <cellStyle name="40% - Accent1 4 8 2" xfId="42736"/>
    <cellStyle name="20% - Accent2 4 8 2" xfId="42737"/>
    <cellStyle name="40% - Accent2 4 8 2" xfId="42738"/>
    <cellStyle name="20% - Accent3 4 8 2" xfId="42739"/>
    <cellStyle name="40% - Accent3 4 8 2" xfId="42740"/>
    <cellStyle name="20% - Accent4 4 8 2" xfId="42741"/>
    <cellStyle name="40% - Accent4 4 8 2" xfId="42742"/>
    <cellStyle name="20% - Accent5 4 8 2" xfId="42743"/>
    <cellStyle name="40% - Accent5 4 8 2" xfId="42744"/>
    <cellStyle name="20% - Accent6 4 8 2" xfId="42745"/>
    <cellStyle name="40% - Accent6 4 8 2" xfId="42746"/>
    <cellStyle name="Normal 5 18 5 2" xfId="42747"/>
    <cellStyle name="Note 2 4 5 2" xfId="42748"/>
    <cellStyle name="Comma 5 17 4 2" xfId="42749"/>
    <cellStyle name="Percent 5 17 4 2" xfId="42750"/>
    <cellStyle name="20% - Accent1 5 9 2" xfId="42751"/>
    <cellStyle name="40% - Accent1 5 9 2" xfId="42752"/>
    <cellStyle name="20% - Accent2 5 9 2" xfId="42753"/>
    <cellStyle name="40% - Accent2 5 5 2" xfId="42754"/>
    <cellStyle name="20% - Accent3 5 9 2" xfId="42755"/>
    <cellStyle name="40% - Accent3 5 9 2" xfId="42756"/>
    <cellStyle name="20% - Accent4 5 9 2" xfId="42757"/>
    <cellStyle name="40% - Accent4 5 9 2" xfId="42758"/>
    <cellStyle name="20% - Accent5 5 5 2" xfId="42759"/>
    <cellStyle name="40% - Accent5 5 5 2" xfId="42760"/>
    <cellStyle name="20% - Accent6 5 5 2" xfId="42761"/>
    <cellStyle name="40% - Accent6 5 9 2" xfId="42762"/>
    <cellStyle name="Normal 5 19 5 2" xfId="42763"/>
    <cellStyle name="Note 2 5 4 2" xfId="42764"/>
    <cellStyle name="Comma 5 18 4 2" xfId="42765"/>
    <cellStyle name="Percent 5 18 4 2" xfId="42766"/>
    <cellStyle name="20% - Accent1 6 5 2" xfId="42767"/>
    <cellStyle name="40% - Accent1 6 5 2" xfId="42768"/>
    <cellStyle name="20% - Accent2 6 5 2" xfId="42769"/>
    <cellStyle name="40% - Accent2 6 4 2" xfId="42770"/>
    <cellStyle name="20% - Accent3 6 5 2" xfId="42771"/>
    <cellStyle name="40% - Accent3 6 5 2" xfId="42772"/>
    <cellStyle name="20% - Accent4 6 5 2" xfId="42773"/>
    <cellStyle name="40% - Accent4 6 5 2" xfId="42774"/>
    <cellStyle name="20% - Accent5 6 4 2" xfId="42775"/>
    <cellStyle name="40% - Accent5 6 4 2" xfId="42776"/>
    <cellStyle name="20% - Accent6 6 4 2" xfId="42777"/>
    <cellStyle name="40% - Accent6 6 5 2" xfId="42778"/>
    <cellStyle name="Normal 5 20 5 2" xfId="42779"/>
    <cellStyle name="Note 2 6 4 2" xfId="42780"/>
    <cellStyle name="Comma 5 19 4 2" xfId="42781"/>
    <cellStyle name="Percent 5 19 4 2" xfId="42782"/>
    <cellStyle name="20% - Accent1 7 4 2" xfId="42783"/>
    <cellStyle name="40% - Accent1 7 4 2" xfId="42784"/>
    <cellStyle name="20% - Accent2 7 4 2" xfId="42785"/>
    <cellStyle name="40% - Accent2 7 4 2" xfId="42786"/>
    <cellStyle name="20% - Accent3 7 4 2" xfId="42787"/>
    <cellStyle name="40% - Accent3 7 4 2" xfId="42788"/>
    <cellStyle name="20% - Accent4 7 4 2" xfId="42789"/>
    <cellStyle name="40% - Accent4 7 4 2" xfId="42790"/>
    <cellStyle name="20% - Accent5 7 4 2" xfId="42791"/>
    <cellStyle name="40% - Accent5 7 4 2" xfId="42792"/>
    <cellStyle name="20% - Accent6 7 4 2" xfId="42793"/>
    <cellStyle name="40% - Accent6 7 4 2" xfId="42794"/>
    <cellStyle name="Normal 5 21 5 2" xfId="42795"/>
    <cellStyle name="Note 2 7 4 2" xfId="42796"/>
    <cellStyle name="Comma 5 20 4 2" xfId="42797"/>
    <cellStyle name="Percent 5 20 4 2" xfId="42798"/>
    <cellStyle name="20% - Accent1 8 4 2" xfId="42799"/>
    <cellStyle name="40% - Accent1 8 4 2" xfId="42800"/>
    <cellStyle name="20% - Accent2 8 4 2" xfId="42801"/>
    <cellStyle name="40% - Accent2 8 4 2" xfId="42802"/>
    <cellStyle name="20% - Accent3 8 4 2" xfId="42803"/>
    <cellStyle name="40% - Accent3 8 4 2" xfId="42804"/>
    <cellStyle name="20% - Accent4 8 4 2" xfId="42805"/>
    <cellStyle name="40% - Accent4 8 4 2" xfId="42806"/>
    <cellStyle name="20% - Accent5 8 4 2" xfId="42807"/>
    <cellStyle name="40% - Accent5 8 4 2" xfId="42808"/>
    <cellStyle name="20% - Accent6 8 4 2" xfId="42809"/>
    <cellStyle name="40% - Accent6 8 4 2" xfId="42810"/>
    <cellStyle name="Normal 5 22 5 2" xfId="42811"/>
    <cellStyle name="Note 2 8 4 2" xfId="42812"/>
    <cellStyle name="Comma 5 21 4 2" xfId="42813"/>
    <cellStyle name="Percent 5 21 4 2" xfId="42814"/>
    <cellStyle name="20% - Accent1 9 4 2" xfId="42815"/>
    <cellStyle name="40% - Accent1 9 4 2" xfId="42816"/>
    <cellStyle name="20% - Accent2 9 4 2" xfId="42817"/>
    <cellStyle name="40% - Accent2 9 4 2" xfId="42818"/>
    <cellStyle name="20% - Accent3 9 4 2" xfId="42819"/>
    <cellStyle name="40% - Accent3 9 4 2" xfId="42820"/>
    <cellStyle name="20% - Accent4 9 4 2" xfId="42821"/>
    <cellStyle name="40% - Accent4 9 4 2" xfId="42822"/>
    <cellStyle name="20% - Accent5 9 4 2" xfId="42823"/>
    <cellStyle name="40% - Accent5 9 4 2" xfId="42824"/>
    <cellStyle name="20% - Accent6 9 4 2" xfId="42825"/>
    <cellStyle name="40% - Accent6 9 4 2" xfId="42826"/>
    <cellStyle name="Normal 5 23 5 2" xfId="42827"/>
    <cellStyle name="Note 2 9 4 2" xfId="42828"/>
    <cellStyle name="Comma 5 22 4 2" xfId="42829"/>
    <cellStyle name="Percent 5 22 4 2" xfId="42830"/>
    <cellStyle name="20% - Accent1 10 4 2" xfId="42831"/>
    <cellStyle name="40% - Accent1 10 4 2" xfId="42832"/>
    <cellStyle name="20% - Accent2 10 4 2" xfId="42833"/>
    <cellStyle name="40% - Accent2 10 4 2" xfId="42834"/>
    <cellStyle name="20% - Accent3 10 4 2" xfId="42835"/>
    <cellStyle name="40% - Accent3 10 4 2" xfId="42836"/>
    <cellStyle name="20% - Accent4 10 4 2" xfId="42837"/>
    <cellStyle name="40% - Accent4 10 4 2" xfId="42838"/>
    <cellStyle name="20% - Accent5 10 4 2" xfId="42839"/>
    <cellStyle name="40% - Accent5 10 4 2" xfId="42840"/>
    <cellStyle name="20% - Accent6 10 4 2" xfId="42841"/>
    <cellStyle name="40% - Accent6 10 4 2" xfId="42842"/>
    <cellStyle name="Normal 5 24 8 2" xfId="42843"/>
    <cellStyle name="Note 2 10 4 2" xfId="42844"/>
    <cellStyle name="Comma 5 23 4 2" xfId="42845"/>
    <cellStyle name="Percent 5 23 4 2" xfId="42846"/>
    <cellStyle name="20% - Accent1 11 4 2" xfId="42847"/>
    <cellStyle name="40% - Accent1 11 4 2" xfId="42848"/>
    <cellStyle name="20% - Accent2 11 4 2" xfId="42849"/>
    <cellStyle name="40% - Accent2 11 4 2" xfId="42850"/>
    <cellStyle name="20% - Accent3 11 4 2" xfId="42851"/>
    <cellStyle name="40% - Accent3 11 4 2" xfId="42852"/>
    <cellStyle name="20% - Accent4 11 4 2" xfId="42853"/>
    <cellStyle name="40% - Accent4 11 4 2" xfId="42854"/>
    <cellStyle name="20% - Accent5 11 4 2" xfId="42855"/>
    <cellStyle name="40% - Accent5 11 4 2" xfId="42856"/>
    <cellStyle name="20% - Accent6 11 4 2" xfId="42857"/>
    <cellStyle name="40% - Accent6 11 4 2" xfId="42858"/>
    <cellStyle name="Normal 5 25 5 2" xfId="42859"/>
    <cellStyle name="Note 2 11 4 2" xfId="42860"/>
    <cellStyle name="Comma 5 24 4 2" xfId="42861"/>
    <cellStyle name="Percent 5 24 4 2" xfId="42862"/>
    <cellStyle name="20% - Accent1 12 4 2" xfId="42863"/>
    <cellStyle name="40% - Accent1 12 4 2" xfId="42864"/>
    <cellStyle name="20% - Accent2 12 4 2" xfId="42865"/>
    <cellStyle name="40% - Accent2 12 4 2" xfId="42866"/>
    <cellStyle name="20% - Accent3 12 4 2" xfId="42867"/>
    <cellStyle name="40% - Accent3 12 4 2" xfId="42868"/>
    <cellStyle name="20% - Accent4 12 4 2" xfId="42869"/>
    <cellStyle name="40% - Accent4 12 4 2" xfId="42870"/>
    <cellStyle name="20% - Accent5 12 4 2" xfId="42871"/>
    <cellStyle name="40% - Accent5 12 4 2" xfId="42872"/>
    <cellStyle name="20% - Accent6 12 4 2" xfId="42873"/>
    <cellStyle name="40% - Accent6 12 4 2" xfId="42874"/>
    <cellStyle name="Normal 5 26 5 2" xfId="42875"/>
    <cellStyle name="Note 2 12 4 2" xfId="42876"/>
    <cellStyle name="Comma 5 25 4 2" xfId="42877"/>
    <cellStyle name="Percent 5 25 4 2" xfId="42878"/>
    <cellStyle name="20% - Accent1 13 4 2" xfId="42879"/>
    <cellStyle name="40% - Accent1 13 4 2" xfId="42880"/>
    <cellStyle name="20% - Accent2 13 4 2" xfId="42881"/>
    <cellStyle name="40% - Accent2 13 4 2" xfId="42882"/>
    <cellStyle name="20% - Accent3 13 4 2" xfId="42883"/>
    <cellStyle name="40% - Accent3 13 4 2" xfId="42884"/>
    <cellStyle name="20% - Accent4 13 4 2" xfId="42885"/>
    <cellStyle name="40% - Accent4 13 4 2" xfId="42886"/>
    <cellStyle name="20% - Accent5 13 4 2" xfId="42887"/>
    <cellStyle name="40% - Accent5 13 4 2" xfId="42888"/>
    <cellStyle name="20% - Accent6 13 4 2" xfId="42889"/>
    <cellStyle name="40% - Accent6 13 4 2" xfId="42890"/>
    <cellStyle name="Normal 5 27 5 2" xfId="42891"/>
    <cellStyle name="Note 2 13 4 2" xfId="42892"/>
    <cellStyle name="Comma 5 26 4 2" xfId="42893"/>
    <cellStyle name="Percent 5 26 4 2" xfId="42894"/>
    <cellStyle name="20% - Accent1 14 4 2" xfId="42895"/>
    <cellStyle name="40% - Accent1 14 4 2" xfId="42896"/>
    <cellStyle name="20% - Accent2 14 4 2" xfId="42897"/>
    <cellStyle name="40% - Accent2 14 4 2" xfId="42898"/>
    <cellStyle name="20% - Accent3 14 4 2" xfId="42899"/>
    <cellStyle name="40% - Accent3 14 4 2" xfId="42900"/>
    <cellStyle name="20% - Accent4 14 4 2" xfId="42901"/>
    <cellStyle name="40% - Accent4 14 4 2" xfId="42902"/>
    <cellStyle name="20% - Accent5 14 4 2" xfId="42903"/>
    <cellStyle name="40% - Accent5 14 4 2" xfId="42904"/>
    <cellStyle name="20% - Accent6 14 4 2" xfId="42905"/>
    <cellStyle name="40% - Accent6 14 4 2" xfId="42906"/>
    <cellStyle name="Normal 5 28 8 2" xfId="42907"/>
    <cellStyle name="Note 2 14 4 2" xfId="42908"/>
    <cellStyle name="Comma 5 27 4 2" xfId="42909"/>
    <cellStyle name="Percent 5 27 4 2" xfId="42910"/>
    <cellStyle name="20% - Accent1 15 4 2" xfId="42911"/>
    <cellStyle name="40% - Accent1 15 4 2" xfId="42912"/>
    <cellStyle name="20% - Accent2 15 4 2" xfId="42913"/>
    <cellStyle name="40% - Accent2 15 4 2" xfId="42914"/>
    <cellStyle name="20% - Accent3 15 4 2" xfId="42915"/>
    <cellStyle name="40% - Accent3 15 4 2" xfId="42916"/>
    <cellStyle name="20% - Accent4 15 4 2" xfId="42917"/>
    <cellStyle name="40% - Accent4 15 4 2" xfId="42918"/>
    <cellStyle name="20% - Accent5 15 4 2" xfId="42919"/>
    <cellStyle name="40% - Accent5 15 4 2" xfId="42920"/>
    <cellStyle name="20% - Accent6 15 4 2" xfId="42921"/>
    <cellStyle name="40% - Accent6 15 4 2" xfId="42922"/>
    <cellStyle name="Normal 5 29 5 2" xfId="42923"/>
    <cellStyle name="Note 2 15 4 2" xfId="42924"/>
    <cellStyle name="Comma 5 28 4 2" xfId="42925"/>
    <cellStyle name="Percent 5 28 4 2" xfId="42926"/>
    <cellStyle name="Comma 3 32 2" xfId="42927"/>
    <cellStyle name="Percent 3 33 2" xfId="42928"/>
    <cellStyle name="Currency 3 33 2" xfId="42929"/>
    <cellStyle name="20% - Accent1 18 2" xfId="42930"/>
    <cellStyle name="40% - Accent1 18 2" xfId="42931"/>
    <cellStyle name="20% - Accent2 18 2" xfId="42932"/>
    <cellStyle name="40% - Accent2 18 2" xfId="42933"/>
    <cellStyle name="20% - Accent3 18 2" xfId="42934"/>
    <cellStyle name="40% - Accent3 18 2" xfId="42935"/>
    <cellStyle name="20% - Accent4 18 2" xfId="42936"/>
    <cellStyle name="40% - Accent4 18 2" xfId="42937"/>
    <cellStyle name="20% - Accent5 18 2" xfId="42938"/>
    <cellStyle name="40% - Accent5 18 2" xfId="42939"/>
    <cellStyle name="20% - Accent6 18 2" xfId="42940"/>
    <cellStyle name="40% - Accent6 18 2" xfId="42941"/>
    <cellStyle name="Normal 3 3 13 2" xfId="42942"/>
    <cellStyle name="Comma 2 3 10 2" xfId="42943"/>
    <cellStyle name="Percent 2 3 9 2" xfId="42944"/>
    <cellStyle name="Normal 10 2 7 2" xfId="42945"/>
    <cellStyle name="Comma 4 32 2" xfId="42946"/>
    <cellStyle name="Comma 5 32 2" xfId="42947"/>
    <cellStyle name="Comma 6 16 2" xfId="42948"/>
    <cellStyle name="Comma 7 11 2" xfId="42949"/>
    <cellStyle name="Comma 8 9 2" xfId="42950"/>
    <cellStyle name="Comma 10 9 2" xfId="42951"/>
    <cellStyle name="Comma 9 10 2" xfId="42952"/>
    <cellStyle name="Comma 11 10 2" xfId="42953"/>
    <cellStyle name="Comma 14 6 2" xfId="42954"/>
    <cellStyle name="Comma 12 7 2" xfId="42955"/>
    <cellStyle name="Comma 13 6 2" xfId="42956"/>
    <cellStyle name="Comma 15 6 2" xfId="42957"/>
    <cellStyle name="Comma 16 6 2" xfId="42958"/>
    <cellStyle name="Comma 17 6 2" xfId="42959"/>
    <cellStyle name="Comma 22 6 2" xfId="42960"/>
    <cellStyle name="Comma 18 6 2" xfId="42961"/>
    <cellStyle name="Comma 19 6 2" xfId="42962"/>
    <cellStyle name="Comma 20 6 2" xfId="42963"/>
    <cellStyle name="Comma 21 6 2" xfId="42964"/>
    <cellStyle name="Comma 23 6 2" xfId="42965"/>
    <cellStyle name="Normal 5 3 10 2" xfId="42966"/>
    <cellStyle name="Note 2 19 2" xfId="42967"/>
    <cellStyle name="Comma 5 2 13 2" xfId="42968"/>
    <cellStyle name="Percent 5 2 14 2" xfId="42969"/>
    <cellStyle name="Normal 5 4 10 2" xfId="42970"/>
    <cellStyle name="Comma 5 3 11 2" xfId="42971"/>
    <cellStyle name="Percent 5 3 12 2" xfId="42972"/>
    <cellStyle name="Normal 5 5 10 2" xfId="42973"/>
    <cellStyle name="Comma 5 4 6 2" xfId="42974"/>
    <cellStyle name="Percent 5 4 9 2" xfId="42975"/>
    <cellStyle name="Normal 5 6 10 2" xfId="42976"/>
    <cellStyle name="Comma 5 5 7 2" xfId="42977"/>
    <cellStyle name="Percent 5 5 6 2" xfId="42978"/>
    <cellStyle name="Normal 5 7 10 2" xfId="42979"/>
    <cellStyle name="Comma 5 6 6 2" xfId="42980"/>
    <cellStyle name="Percent 5 6 8 2" xfId="42981"/>
    <cellStyle name="Normal 5 8 6 2" xfId="42982"/>
    <cellStyle name="Comma 5 7 9 2" xfId="42983"/>
    <cellStyle name="Percent 5 7 7 2" xfId="42984"/>
    <cellStyle name="Normal 5 9 6 2" xfId="42985"/>
    <cellStyle name="Comma 5 8 6 2" xfId="42986"/>
    <cellStyle name="Percent 5 8 6 2" xfId="42987"/>
    <cellStyle name="Normal 5 10 6 2" xfId="42988"/>
    <cellStyle name="Comma 5 9 8 2" xfId="42989"/>
    <cellStyle name="Percent 5 9 6 2" xfId="42990"/>
    <cellStyle name="Normal 5 11 6 2" xfId="42991"/>
    <cellStyle name="Comma 5 10 7 2" xfId="42992"/>
    <cellStyle name="Percent 5 10 5 2" xfId="42993"/>
    <cellStyle name="Normal 5 12 6 2" xfId="42994"/>
    <cellStyle name="Comma 5 11 6 2" xfId="42995"/>
    <cellStyle name="Percent 5 11 5 2" xfId="42996"/>
    <cellStyle name="Normal 5 13 6 2" xfId="42997"/>
    <cellStyle name="Comma 5 12 5 2" xfId="42998"/>
    <cellStyle name="Percent 5 12 5 2" xfId="42999"/>
    <cellStyle name="Normal 5 14 6 2" xfId="43000"/>
    <cellStyle name="Comma 5 13 5 2" xfId="43001"/>
    <cellStyle name="Percent 5 13 5 2" xfId="43002"/>
    <cellStyle name="Normal 5 15 6 2" xfId="43003"/>
    <cellStyle name="Comma 5 14 5 2" xfId="43004"/>
    <cellStyle name="Percent 5 14 5 2" xfId="43005"/>
    <cellStyle name="20% - Accent1 2 9 2" xfId="43006"/>
    <cellStyle name="40% - Accent1 2 9 2" xfId="43007"/>
    <cellStyle name="20% - Accent2 2 9 2" xfId="43008"/>
    <cellStyle name="40% - Accent2 2 9 2" xfId="43009"/>
    <cellStyle name="20% - Accent3 2 9 2" xfId="43010"/>
    <cellStyle name="40% - Accent3 2 9 2" xfId="43011"/>
    <cellStyle name="20% - Accent4 2 9 2" xfId="43012"/>
    <cellStyle name="40% - Accent4 2 9 2" xfId="43013"/>
    <cellStyle name="20% - Accent5 2 9 2" xfId="43014"/>
    <cellStyle name="40% - Accent5 2 9 2" xfId="43015"/>
    <cellStyle name="20% - Accent6 2 9 2" xfId="43016"/>
    <cellStyle name="40% - Accent6 2 9 2" xfId="43017"/>
    <cellStyle name="Normal 5 16 6 2" xfId="43018"/>
    <cellStyle name="Note 2 2 8 2" xfId="43019"/>
    <cellStyle name="Comma 5 15 5 2" xfId="43020"/>
    <cellStyle name="Percent 5 15 5 2" xfId="43021"/>
    <cellStyle name="20% - Accent1 3 9 2" xfId="43022"/>
    <cellStyle name="40% - Accent1 3 9 2" xfId="43023"/>
    <cellStyle name="20% - Accent2 3 9 2" xfId="43024"/>
    <cellStyle name="40% - Accent2 3 9 2" xfId="43025"/>
    <cellStyle name="20% - Accent3 3 9 2" xfId="43026"/>
    <cellStyle name="40% - Accent3 3 9 2" xfId="43027"/>
    <cellStyle name="20% - Accent4 3 9 2" xfId="43028"/>
    <cellStyle name="40% - Accent4 3 9 2" xfId="43029"/>
    <cellStyle name="20% - Accent5 3 9 2" xfId="43030"/>
    <cellStyle name="40% - Accent5 3 9 2" xfId="43031"/>
    <cellStyle name="20% - Accent6 3 9 2" xfId="43032"/>
    <cellStyle name="40% - Accent6 3 9 2" xfId="43033"/>
    <cellStyle name="Normal 5 17 6 2" xfId="43034"/>
    <cellStyle name="Note 2 3 7 2" xfId="43035"/>
    <cellStyle name="Comma 5 16 5 2" xfId="43036"/>
    <cellStyle name="Percent 5 16 5 2" xfId="43037"/>
    <cellStyle name="20% - Accent1 4 9 2" xfId="43038"/>
    <cellStyle name="40% - Accent1 4 9 2" xfId="43039"/>
    <cellStyle name="20% - Accent2 4 9 2" xfId="43040"/>
    <cellStyle name="40% - Accent2 4 9 2" xfId="43041"/>
    <cellStyle name="20% - Accent3 4 9 2" xfId="43042"/>
    <cellStyle name="40% - Accent3 4 9 2" xfId="43043"/>
    <cellStyle name="20% - Accent4 4 9 2" xfId="43044"/>
    <cellStyle name="40% - Accent4 4 9 2" xfId="43045"/>
    <cellStyle name="20% - Accent5 4 9 2" xfId="43046"/>
    <cellStyle name="40% - Accent5 4 9 2" xfId="43047"/>
    <cellStyle name="20% - Accent6 4 9 2" xfId="43048"/>
    <cellStyle name="40% - Accent6 4 9 2" xfId="43049"/>
    <cellStyle name="Normal 5 18 6 2" xfId="43050"/>
    <cellStyle name="Note 2 4 6 2" xfId="43051"/>
    <cellStyle name="Comma 5 17 5 2" xfId="43052"/>
    <cellStyle name="Percent 5 17 5 2" xfId="43053"/>
    <cellStyle name="20% - Accent1 5 10 2" xfId="43054"/>
    <cellStyle name="40% - Accent1 5 10 2" xfId="43055"/>
    <cellStyle name="20% - Accent2 5 10 2" xfId="43056"/>
    <cellStyle name="40% - Accent2 5 6 2" xfId="43057"/>
    <cellStyle name="20% - Accent3 5 10 2" xfId="43058"/>
    <cellStyle name="40% - Accent3 5 10 2" xfId="43059"/>
    <cellStyle name="20% - Accent4 5 10 2" xfId="43060"/>
    <cellStyle name="40% - Accent4 5 10 2" xfId="43061"/>
    <cellStyle name="20% - Accent5 5 6 2" xfId="43062"/>
    <cellStyle name="40% - Accent5 5 6 2" xfId="43063"/>
    <cellStyle name="20% - Accent6 5 6 2" xfId="43064"/>
    <cellStyle name="40% - Accent6 5 10 2" xfId="43065"/>
    <cellStyle name="Normal 5 19 6 2" xfId="43066"/>
    <cellStyle name="Note 2 5 5 2" xfId="43067"/>
    <cellStyle name="Comma 5 18 5 2" xfId="43068"/>
    <cellStyle name="Percent 5 18 5 2" xfId="43069"/>
    <cellStyle name="20% - Accent1 6 6 2" xfId="43070"/>
    <cellStyle name="40% - Accent1 6 6 2" xfId="43071"/>
    <cellStyle name="20% - Accent2 6 6 2" xfId="43072"/>
    <cellStyle name="40% - Accent2 6 5 2" xfId="43073"/>
    <cellStyle name="20% - Accent3 6 6 2" xfId="43074"/>
    <cellStyle name="40% - Accent3 6 6 2" xfId="43075"/>
    <cellStyle name="20% - Accent4 6 6 2" xfId="43076"/>
    <cellStyle name="40% - Accent4 6 6 2" xfId="43077"/>
    <cellStyle name="20% - Accent5 6 5 2" xfId="43078"/>
    <cellStyle name="40% - Accent5 6 5 2" xfId="43079"/>
    <cellStyle name="20% - Accent6 6 5 2" xfId="43080"/>
    <cellStyle name="40% - Accent6 6 6 2" xfId="43081"/>
    <cellStyle name="Normal 5 20 6 2" xfId="43082"/>
    <cellStyle name="Note 2 6 5 2" xfId="43083"/>
    <cellStyle name="Comma 5 19 5 2" xfId="43084"/>
    <cellStyle name="Percent 5 19 5 2" xfId="43085"/>
    <cellStyle name="20% - Accent1 7 5 2" xfId="43086"/>
    <cellStyle name="40% - Accent1 7 5 2" xfId="43087"/>
    <cellStyle name="20% - Accent2 7 5 2" xfId="43088"/>
    <cellStyle name="40% - Accent2 7 5 2" xfId="43089"/>
    <cellStyle name="20% - Accent3 7 5 2" xfId="43090"/>
    <cellStyle name="40% - Accent3 7 5 2" xfId="43091"/>
    <cellStyle name="20% - Accent4 7 5 2" xfId="43092"/>
    <cellStyle name="40% - Accent4 7 5 2" xfId="43093"/>
    <cellStyle name="20% - Accent5 7 5 2" xfId="43094"/>
    <cellStyle name="40% - Accent5 7 5 2" xfId="43095"/>
    <cellStyle name="20% - Accent6 7 5 2" xfId="43096"/>
    <cellStyle name="40% - Accent6 7 5 2" xfId="43097"/>
    <cellStyle name="Normal 5 21 6 2" xfId="43098"/>
    <cellStyle name="Note 2 7 5 2" xfId="43099"/>
    <cellStyle name="Comma 5 20 5 2" xfId="43100"/>
    <cellStyle name="Percent 5 20 5 2" xfId="43101"/>
    <cellStyle name="20% - Accent1 8 5 2" xfId="43102"/>
    <cellStyle name="40% - Accent1 8 5 2" xfId="43103"/>
    <cellStyle name="20% - Accent2 8 5 2" xfId="43104"/>
    <cellStyle name="40% - Accent2 8 5 2" xfId="43105"/>
    <cellStyle name="20% - Accent3 8 5 2" xfId="43106"/>
    <cellStyle name="40% - Accent3 8 5 2" xfId="43107"/>
    <cellStyle name="20% - Accent4 8 5 2" xfId="43108"/>
    <cellStyle name="40% - Accent4 8 5 2" xfId="43109"/>
    <cellStyle name="20% - Accent5 8 5 2" xfId="43110"/>
    <cellStyle name="40% - Accent5 8 5 2" xfId="43111"/>
    <cellStyle name="20% - Accent6 8 5 2" xfId="43112"/>
    <cellStyle name="40% - Accent6 8 5 2" xfId="43113"/>
    <cellStyle name="Normal 5 22 6 2" xfId="43114"/>
    <cellStyle name="Note 2 8 5 2" xfId="43115"/>
    <cellStyle name="Comma 5 21 5 2" xfId="43116"/>
    <cellStyle name="Percent 5 21 5 2" xfId="43117"/>
    <cellStyle name="20% - Accent1 9 5 2" xfId="43118"/>
    <cellStyle name="40% - Accent1 9 5 2" xfId="43119"/>
    <cellStyle name="20% - Accent2 9 5 2" xfId="43120"/>
    <cellStyle name="40% - Accent2 9 5 2" xfId="43121"/>
    <cellStyle name="20% - Accent3 9 5 2" xfId="43122"/>
    <cellStyle name="40% - Accent3 9 5 2" xfId="43123"/>
    <cellStyle name="20% - Accent4 9 5 2" xfId="43124"/>
    <cellStyle name="40% - Accent4 9 5 2" xfId="43125"/>
    <cellStyle name="20% - Accent5 9 5 2" xfId="43126"/>
    <cellStyle name="40% - Accent5 9 5 2" xfId="43127"/>
    <cellStyle name="20% - Accent6 9 5 2" xfId="43128"/>
    <cellStyle name="40% - Accent6 9 5 2" xfId="43129"/>
    <cellStyle name="Normal 5 23 6 2" xfId="43130"/>
    <cellStyle name="Note 2 9 5 2" xfId="43131"/>
    <cellStyle name="Comma 5 22 5 2" xfId="43132"/>
    <cellStyle name="Percent 5 22 5 2" xfId="43133"/>
    <cellStyle name="20% - Accent1 10 5 2" xfId="43134"/>
    <cellStyle name="40% - Accent1 10 5 2" xfId="43135"/>
    <cellStyle name="20% - Accent2 10 5 2" xfId="43136"/>
    <cellStyle name="40% - Accent2 10 5 2" xfId="43137"/>
    <cellStyle name="20% - Accent3 10 5 2" xfId="43138"/>
    <cellStyle name="40% - Accent3 10 5 2" xfId="43139"/>
    <cellStyle name="20% - Accent4 10 5 2" xfId="43140"/>
    <cellStyle name="40% - Accent4 10 5 2" xfId="43141"/>
    <cellStyle name="20% - Accent5 10 5 2" xfId="43142"/>
    <cellStyle name="40% - Accent5 10 5 2" xfId="43143"/>
    <cellStyle name="20% - Accent6 10 5 2" xfId="43144"/>
    <cellStyle name="40% - Accent6 10 5 2" xfId="43145"/>
    <cellStyle name="Normal 5 24 9 2" xfId="43146"/>
    <cellStyle name="Note 2 10 5 2" xfId="43147"/>
    <cellStyle name="Comma 5 23 5 2" xfId="43148"/>
    <cellStyle name="Percent 5 23 5 2" xfId="43149"/>
    <cellStyle name="20% - Accent1 11 5 2" xfId="43150"/>
    <cellStyle name="40% - Accent1 11 5 2" xfId="43151"/>
    <cellStyle name="20% - Accent2 11 5 2" xfId="43152"/>
    <cellStyle name="40% - Accent2 11 5 2" xfId="43153"/>
    <cellStyle name="20% - Accent3 11 5 2" xfId="43154"/>
    <cellStyle name="40% - Accent3 11 5 2" xfId="43155"/>
    <cellStyle name="20% - Accent4 11 5 2" xfId="43156"/>
    <cellStyle name="40% - Accent4 11 5 2" xfId="43157"/>
    <cellStyle name="20% - Accent5 11 5 2" xfId="43158"/>
    <cellStyle name="40% - Accent5 11 5 2" xfId="43159"/>
    <cellStyle name="20% - Accent6 11 5 2" xfId="43160"/>
    <cellStyle name="40% - Accent6 11 5 2" xfId="43161"/>
    <cellStyle name="Normal 5 25 6 2" xfId="43162"/>
    <cellStyle name="Note 2 11 5 2" xfId="43163"/>
    <cellStyle name="Comma 5 24 5 2" xfId="43164"/>
    <cellStyle name="Percent 5 24 5 2" xfId="43165"/>
    <cellStyle name="20% - Accent1 12 5 2" xfId="43166"/>
    <cellStyle name="40% - Accent1 12 5 2" xfId="43167"/>
    <cellStyle name="20% - Accent2 12 5 2" xfId="43168"/>
    <cellStyle name="40% - Accent2 12 5 2" xfId="43169"/>
    <cellStyle name="20% - Accent3 12 5 2" xfId="43170"/>
    <cellStyle name="40% - Accent3 12 5 2" xfId="43171"/>
    <cellStyle name="20% - Accent4 12 5 2" xfId="43172"/>
    <cellStyle name="40% - Accent4 12 5 2" xfId="43173"/>
    <cellStyle name="20% - Accent5 12 5 2" xfId="43174"/>
    <cellStyle name="40% - Accent5 12 5 2" xfId="43175"/>
    <cellStyle name="20% - Accent6 12 5 2" xfId="43176"/>
    <cellStyle name="40% - Accent6 12 5 2" xfId="43177"/>
    <cellStyle name="Normal 5 26 6 2" xfId="43178"/>
    <cellStyle name="Note 2 12 5 2" xfId="43179"/>
    <cellStyle name="Comma 5 25 5 2" xfId="43180"/>
    <cellStyle name="Percent 5 25 5 2" xfId="43181"/>
    <cellStyle name="20% - Accent1 13 5 2" xfId="43182"/>
    <cellStyle name="40% - Accent1 13 5 2" xfId="43183"/>
    <cellStyle name="20% - Accent2 13 5 2" xfId="43184"/>
    <cellStyle name="40% - Accent2 13 5 2" xfId="43185"/>
    <cellStyle name="20% - Accent3 13 5 2" xfId="43186"/>
    <cellStyle name="40% - Accent3 13 5 2" xfId="43187"/>
    <cellStyle name="20% - Accent4 13 5 2" xfId="43188"/>
    <cellStyle name="40% - Accent4 13 5 2" xfId="43189"/>
    <cellStyle name="20% - Accent5 13 5 2" xfId="43190"/>
    <cellStyle name="40% - Accent5 13 5 2" xfId="43191"/>
    <cellStyle name="20% - Accent6 13 5 2" xfId="43192"/>
    <cellStyle name="40% - Accent6 13 5 2" xfId="43193"/>
    <cellStyle name="Normal 5 27 6 2" xfId="43194"/>
    <cellStyle name="Note 2 13 5 2" xfId="43195"/>
    <cellStyle name="Comma 5 26 5 2" xfId="43196"/>
    <cellStyle name="Percent 5 26 5 2" xfId="43197"/>
    <cellStyle name="20% - Accent1 14 5 2" xfId="43198"/>
    <cellStyle name="40% - Accent1 14 5 2" xfId="43199"/>
    <cellStyle name="20% - Accent2 14 5 2" xfId="43200"/>
    <cellStyle name="40% - Accent2 14 5 2" xfId="43201"/>
    <cellStyle name="20% - Accent3 14 5 2" xfId="43202"/>
    <cellStyle name="40% - Accent3 14 5 2" xfId="43203"/>
    <cellStyle name="20% - Accent4 14 5 2" xfId="43204"/>
    <cellStyle name="40% - Accent4 14 5 2" xfId="43205"/>
    <cellStyle name="20% - Accent5 14 5 2" xfId="43206"/>
    <cellStyle name="40% - Accent5 14 5 2" xfId="43207"/>
    <cellStyle name="20% - Accent6 14 5 2" xfId="43208"/>
    <cellStyle name="40% - Accent6 14 5 2" xfId="43209"/>
    <cellStyle name="Normal 5 28 9 2" xfId="43210"/>
    <cellStyle name="Note 2 14 5 2" xfId="43211"/>
    <cellStyle name="Comma 5 27 5 2" xfId="43212"/>
    <cellStyle name="Percent 5 27 5 2" xfId="43213"/>
    <cellStyle name="20% - Accent1 15 5 2" xfId="43214"/>
    <cellStyle name="40% - Accent1 15 5 2" xfId="43215"/>
    <cellStyle name="20% - Accent2 15 5 2" xfId="43216"/>
    <cellStyle name="40% - Accent2 15 5 2" xfId="43217"/>
    <cellStyle name="20% - Accent3 15 5 2" xfId="43218"/>
    <cellStyle name="40% - Accent3 15 5 2" xfId="43219"/>
    <cellStyle name="20% - Accent4 15 5 2" xfId="43220"/>
    <cellStyle name="40% - Accent4 15 5 2" xfId="43221"/>
    <cellStyle name="20% - Accent5 15 5 2" xfId="43222"/>
    <cellStyle name="40% - Accent5 15 5 2" xfId="43223"/>
    <cellStyle name="20% - Accent6 15 5 2" xfId="43224"/>
    <cellStyle name="40% - Accent6 15 5 2" xfId="43225"/>
    <cellStyle name="Normal 5 29 6 2" xfId="43226"/>
    <cellStyle name="Note 2 15 5 2" xfId="43227"/>
    <cellStyle name="Comma 5 28 5 2" xfId="43228"/>
    <cellStyle name="Percent 5 28 5 2" xfId="43229"/>
    <cellStyle name="Normal 61" xfId="43230"/>
    <cellStyle name="Comma 229" xfId="43231"/>
    <cellStyle name="Normal 62" xfId="43232"/>
    <cellStyle name="Comma 230" xfId="43233"/>
    <cellStyle name="Normal 63" xfId="43234"/>
    <cellStyle name="Comma 231" xfId="43235"/>
    <cellStyle name="Normal 64" xfId="43236"/>
    <cellStyle name="Comma 232" xfId="43237"/>
    <cellStyle name="Normal 65" xfId="43238"/>
    <cellStyle name="Comma 233" xfId="43239"/>
    <cellStyle name="Normal 66" xfId="43240"/>
    <cellStyle name="Comma 234" xfId="43241"/>
    <cellStyle name="Normal 67" xfId="43242"/>
    <cellStyle name="Comma 235" xfId="43243"/>
  </cellStyles>
  <dxfs count="41">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rgb="FFFF0000"/>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29"/>
        </patternFill>
      </fill>
      <border/>
    </dxf>
    <dxf>
      <fill>
        <patternFill>
          <bgColor indexed="13"/>
        </patternFill>
      </fill>
      <border/>
    </dxf>
    <dxf>
      <fill>
        <patternFill>
          <bgColor indexed="13"/>
        </patternFill>
      </fill>
      <border/>
    </dxf>
    <dxf>
      <fill>
        <patternFill>
          <bgColor indexed="29"/>
        </patternFill>
      </fill>
      <border/>
    </dxf>
    <dxf>
      <fill>
        <patternFill>
          <bgColor indexed="29"/>
        </patternFill>
      </fill>
      <border/>
    </dxf>
    <dxf>
      <fill>
        <patternFill>
          <bgColor theme="2" tint="-0.24993999302387238"/>
        </patternFill>
      </fill>
    </dxf>
    <dxf>
      <fill>
        <patternFill>
          <bgColor theme="2" tint="-0.24993999302387238"/>
        </patternFill>
      </fill>
    </dxf>
    <dxf>
      <fill>
        <patternFill>
          <bgColor theme="2" tint="-0.09994000196456909"/>
        </patternFill>
      </fill>
      <border>
        <left style="thin">
          <color theme="2" tint="-0.24993999302387238"/>
        </left>
        <right style="thin">
          <color theme="2" tint="-0.24993999302387238"/>
        </right>
        <top style="thin">
          <color theme="2" tint="-0.24993999302387238"/>
        </top>
        <bottom style="thin">
          <color theme="2" tint="-0.24993999302387238"/>
        </bottom>
      </border>
    </dxf>
    <dxf>
      <fill>
        <patternFill>
          <bgColor theme="8" tint="0.5999600291252136"/>
        </patternFill>
      </fill>
    </dxf>
    <dxf>
      <fill>
        <patternFill>
          <bgColor theme="8" tint="0.7999799847602844"/>
        </patternFill>
      </fill>
      <border>
        <left style="thin">
          <color theme="8" tint="0.5999600291252136"/>
        </left>
        <right style="thin">
          <color theme="8" tint="0.5999600291252136"/>
        </right>
        <top style="thin">
          <color theme="8" tint="0.5999600291252136"/>
        </top>
        <bottom style="thin">
          <color theme="8" tint="0.5999600291252136"/>
        </bottom>
      </border>
    </dxf>
  </dxfs>
  <tableStyles count="2" defaultTableStyle="TableStyleMedium9" defaultPivotStyle="PivotStyleLight16">
    <tableStyle name="Table Style 1" pivot="0" count="2">
      <tableStyleElement type="wholeTable" dxfId="40"/>
      <tableStyleElement type="headerRow" dxfId="39"/>
    </tableStyle>
    <tableStyle name="Table Style 2" pivot="0" count="3">
      <tableStyleElement type="wholeTable" dxfId="38"/>
      <tableStyleElement type="headerRow" dxfId="37"/>
      <tableStyleElement type="total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6</xdr:row>
      <xdr:rowOff>28575</xdr:rowOff>
    </xdr:from>
    <xdr:ext cx="200025" cy="428625"/>
    <xdr:sp macro="" textlink="">
      <xdr:nvSpPr>
        <xdr:cNvPr id="1111" name="AutoShape 15"/>
        <xdr:cNvSpPr>
          <a:spLocks/>
        </xdr:cNvSpPr>
      </xdr:nvSpPr>
      <xdr:spPr bwMode="auto">
        <a:xfrm>
          <a:off x="9648825" y="1095375"/>
          <a:ext cx="200025" cy="428625"/>
        </a:xfrm>
        <a:prstGeom prst="rightBrace">
          <a:avLst>
            <a:gd name="adj1" fmla="val 16270"/>
            <a:gd name="adj2" fmla="val 50000"/>
          </a:avLst>
        </a:prstGeom>
        <a:noFill/>
        <a:ln w="9525">
          <a:solidFill>
            <a:srgbClr val="000000"/>
          </a:solidFill>
          <a:round/>
          <a:headEnd type="none"/>
          <a:tailEnd type="none"/>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mm5747\Desktop\2019%20WA%20GRC\Settlement\NEW-AVA-WP-LIRAP-07-17-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Elec"/>
      <sheetName val="E Rev Conv"/>
      <sheetName val="Natural Gas"/>
      <sheetName val="G Rev Conv"/>
      <sheetName val="Forecast BD"/>
      <sheetName val="Prior Balances"/>
    </sheetNames>
    <sheetDataSet>
      <sheetData sheetId="0">
        <row r="22">
          <cell r="E22">
            <v>0.0142</v>
          </cell>
        </row>
      </sheetData>
      <sheetData sheetId="1"/>
      <sheetData sheetId="2" refreshError="1"/>
      <sheetData sheetId="3" refreshError="1"/>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R311"/>
  <sheetViews>
    <sheetView showGridLines="0" tabSelected="1" workbookViewId="0" topLeftCell="A1">
      <pane ySplit="5" topLeftCell="A120" activePane="bottomLeft" state="frozen"/>
      <selection pane="topLeft" activeCell="G120" sqref="G120"/>
      <selection pane="bottomLeft" activeCell="N9" sqref="N9"/>
    </sheetView>
  </sheetViews>
  <sheetFormatPr defaultColWidth="10.7109375" defaultRowHeight="12.75"/>
  <cols>
    <col min="1" max="1" width="9.7109375" style="1" customWidth="1"/>
    <col min="2" max="2" width="25.7109375" style="5" customWidth="1"/>
    <col min="3" max="4" width="11.7109375" style="5" customWidth="1"/>
    <col min="5" max="5" width="11.57421875" style="5" customWidth="1"/>
    <col min="6" max="7" width="11.7109375" style="5" customWidth="1"/>
    <col min="8" max="8" width="11.28125" style="5" customWidth="1"/>
    <col min="9" max="9" width="11.7109375" style="5" customWidth="1"/>
    <col min="10" max="10" width="10.7109375" style="5" customWidth="1"/>
    <col min="11" max="11" width="3.7109375" style="5" customWidth="1"/>
    <col min="12" max="12" width="13.28125" style="5" customWidth="1"/>
    <col min="13" max="13" width="3.7109375" style="5" customWidth="1"/>
    <col min="14" max="15" width="10.7109375" style="5" customWidth="1"/>
    <col min="16" max="16" width="35.7109375" style="5" customWidth="1"/>
    <col min="17" max="16384" width="10.7109375" style="5" customWidth="1"/>
  </cols>
  <sheetData>
    <row r="2" ht="22.5" customHeight="1">
      <c r="B2" s="316" t="str">
        <f>IF(Base1_Billing2=2,"BILLED","")</f>
        <v/>
      </c>
    </row>
    <row r="4" spans="1:9" s="2" customFormat="1" ht="12.75">
      <c r="A4" s="1" t="s">
        <v>0</v>
      </c>
      <c r="C4" s="2" t="s">
        <v>1</v>
      </c>
      <c r="D4" s="2" t="s">
        <v>2</v>
      </c>
      <c r="E4" s="2" t="s">
        <v>3</v>
      </c>
      <c r="F4" s="2" t="s">
        <v>4</v>
      </c>
      <c r="G4" s="2" t="s">
        <v>5</v>
      </c>
      <c r="H4" s="2" t="s">
        <v>6</v>
      </c>
      <c r="I4" s="2" t="s">
        <v>7</v>
      </c>
    </row>
    <row r="5" spans="1:16" s="2" customFormat="1" ht="12.75">
      <c r="A5" s="1" t="s">
        <v>8</v>
      </c>
      <c r="C5" s="3" t="s">
        <v>9</v>
      </c>
      <c r="D5" s="3" t="s">
        <v>700</v>
      </c>
      <c r="E5" s="3" t="s">
        <v>11</v>
      </c>
      <c r="F5" s="3" t="s">
        <v>12</v>
      </c>
      <c r="G5" s="3" t="s">
        <v>13</v>
      </c>
      <c r="H5" s="3" t="s">
        <v>14</v>
      </c>
      <c r="I5" s="3" t="s">
        <v>15</v>
      </c>
      <c r="P5" s="116" t="s">
        <v>228</v>
      </c>
    </row>
    <row r="6" spans="2:18" ht="11.25" customHeight="1">
      <c r="B6" s="4" t="s">
        <v>16</v>
      </c>
      <c r="K6" s="2"/>
      <c r="L6" s="114" t="s">
        <v>230</v>
      </c>
      <c r="M6" s="2"/>
      <c r="N6" s="2"/>
      <c r="P6" s="775" t="str">
        <f>"AVISTA UTILITIES
WASHINGTON ELECTRIC
PRO FORMA REVENUE UNDER PRESENT AND PROPOSED "&amp;N9&amp;" RATES
12 MONTHS ENDED DECEMBER 31, 2019"</f>
        <v>AVISTA UTILITIES
WASHINGTON ELECTRIC
PRO FORMA REVENUE UNDER PRESENT AND PROPOSED BASE TARIFF RATES
12 MONTHS ENDED DECEMBER 31, 2019</v>
      </c>
      <c r="Q6" s="775"/>
      <c r="R6" s="775"/>
    </row>
    <row r="7" spans="2:18" ht="12.75">
      <c r="B7" s="6" t="s">
        <v>17</v>
      </c>
      <c r="K7" s="115" t="s">
        <v>224</v>
      </c>
      <c r="L7" s="5" t="s">
        <v>363</v>
      </c>
      <c r="M7" s="2"/>
      <c r="N7" s="2"/>
      <c r="P7" s="775"/>
      <c r="Q7" s="775"/>
      <c r="R7" s="775"/>
    </row>
    <row r="8" spans="1:18" ht="12.75">
      <c r="A8" s="1" t="s">
        <v>830</v>
      </c>
      <c r="B8" s="5" t="s">
        <v>18</v>
      </c>
      <c r="C8" s="12"/>
      <c r="D8" s="12">
        <f>'Bill Determ'!$B$9</f>
        <v>1632639774.4875689</v>
      </c>
      <c r="E8" s="12">
        <f>'Bill Determ'!$B$17</f>
        <v>435979118.3898335</v>
      </c>
      <c r="F8" s="12">
        <f>'Bill Determ'!$B$28</f>
        <v>1229791151.80367</v>
      </c>
      <c r="G8" s="12">
        <f>'Bill Determ'!$B$37</f>
        <v>138000000</v>
      </c>
      <c r="H8" s="12">
        <f>SUM('Bill Determ'!$B$43:$C$43)</f>
        <v>46790737.71017</v>
      </c>
      <c r="I8" s="12"/>
      <c r="L8" s="2" t="s">
        <v>223</v>
      </c>
      <c r="N8" s="293">
        <v>1</v>
      </c>
      <c r="P8" s="775"/>
      <c r="Q8" s="775"/>
      <c r="R8" s="775"/>
    </row>
    <row r="9" spans="1:18" ht="12.75">
      <c r="A9" s="1" t="s">
        <v>830</v>
      </c>
      <c r="B9" s="5" t="s">
        <v>19</v>
      </c>
      <c r="C9" s="12"/>
      <c r="D9" s="12">
        <f>'Bill Determ'!$C$9</f>
        <v>504552667.9882521</v>
      </c>
      <c r="E9" s="12">
        <f>'Bill Determ'!$C$17</f>
        <v>191116384.1461664</v>
      </c>
      <c r="F9" s="12">
        <f>'Bill Determ'!$C$28</f>
        <v>146237824.45333</v>
      </c>
      <c r="G9" s="12">
        <f>'Bill Determ'!$C$37</f>
        <v>564644246.7149999</v>
      </c>
      <c r="H9" s="12">
        <f>'Bill Determ'!$D$43</f>
        <v>92769241.33183</v>
      </c>
      <c r="I9" s="12"/>
      <c r="K9" s="115" t="s">
        <v>225</v>
      </c>
      <c r="L9" s="5" t="s">
        <v>364</v>
      </c>
      <c r="N9" s="5" t="str">
        <f>CHOOSE(Base1_Billing2,L7,L9)</f>
        <v>BASE TARIFF</v>
      </c>
      <c r="P9" s="775"/>
      <c r="Q9" s="775"/>
      <c r="R9" s="775"/>
    </row>
    <row r="10" spans="1:18" ht="12.75">
      <c r="A10" s="1" t="s">
        <v>830</v>
      </c>
      <c r="B10" s="5" t="s">
        <v>20</v>
      </c>
      <c r="C10" s="12"/>
      <c r="D10" s="12">
        <f>'Bill Determ'!$D$9</f>
        <v>299072582.35517937</v>
      </c>
      <c r="E10" s="12"/>
      <c r="F10" s="12"/>
      <c r="G10" s="12">
        <f>'Bill Determ'!$D$37</f>
        <v>383257334.60000014</v>
      </c>
      <c r="H10" s="12"/>
      <c r="I10" s="12"/>
      <c r="N10" s="5" t="str">
        <f>CHOOSE(Base1_Billing2,"Base","Billing")</f>
        <v>Base</v>
      </c>
      <c r="P10" s="775"/>
      <c r="Q10" s="775"/>
      <c r="R10" s="775"/>
    </row>
    <row r="11" spans="2:18" ht="12.75">
      <c r="B11" s="5" t="s">
        <v>21</v>
      </c>
      <c r="C11" s="12"/>
      <c r="D11" s="12"/>
      <c r="E11" s="12"/>
      <c r="F11" s="12"/>
      <c r="G11" s="12"/>
      <c r="H11" s="12"/>
      <c r="I11" s="12"/>
      <c r="P11" s="775"/>
      <c r="Q11" s="775"/>
      <c r="R11" s="775"/>
    </row>
    <row r="12" spans="1:14" ht="12.75">
      <c r="A12" s="1" t="s">
        <v>831</v>
      </c>
      <c r="B12" s="5" t="s">
        <v>22</v>
      </c>
      <c r="C12" s="104"/>
      <c r="D12" s="104"/>
      <c r="E12" s="104"/>
      <c r="F12" s="104"/>
      <c r="G12" s="104"/>
      <c r="H12" s="104"/>
      <c r="I12" s="250">
        <f>'REVRUNS 12ME1219'!P287</f>
        <v>17961923.65997</v>
      </c>
      <c r="N12" s="12"/>
    </row>
    <row r="13" spans="3:14" ht="12.75">
      <c r="C13" s="12"/>
      <c r="D13" s="12"/>
      <c r="E13" s="12"/>
      <c r="F13" s="12"/>
      <c r="G13" s="12"/>
      <c r="H13" s="12"/>
      <c r="I13" s="105"/>
      <c r="N13" s="11"/>
    </row>
    <row r="14" spans="2:9" ht="12.75">
      <c r="B14" s="5" t="s">
        <v>23</v>
      </c>
      <c r="C14" s="12">
        <f>SUM(D14:I14)</f>
        <v>5682812987.640971</v>
      </c>
      <c r="D14" s="12">
        <f aca="true" t="shared" si="0" ref="D14:I14">SUM(D8:D12)</f>
        <v>2436265024.8310003</v>
      </c>
      <c r="E14" s="12">
        <f t="shared" si="0"/>
        <v>627095502.5359999</v>
      </c>
      <c r="F14" s="12">
        <f t="shared" si="0"/>
        <v>1376028976.257</v>
      </c>
      <c r="G14" s="12">
        <f t="shared" si="0"/>
        <v>1085901581.315</v>
      </c>
      <c r="H14" s="12">
        <f t="shared" si="0"/>
        <v>139559979.042</v>
      </c>
      <c r="I14" s="12">
        <f t="shared" si="0"/>
        <v>17961923.65997</v>
      </c>
    </row>
    <row r="15" spans="1:9" s="8" customFormat="1" ht="12.75">
      <c r="A15" s="1"/>
      <c r="B15" s="88"/>
      <c r="C15" s="12"/>
      <c r="D15" s="12"/>
      <c r="E15" s="12"/>
      <c r="F15" s="12"/>
      <c r="G15" s="12"/>
      <c r="H15" s="12"/>
      <c r="I15" s="12"/>
    </row>
    <row r="16" spans="3:9" ht="12.75">
      <c r="C16" s="107"/>
      <c r="D16" s="107"/>
      <c r="E16" s="107"/>
      <c r="F16" s="107"/>
      <c r="G16" s="107"/>
      <c r="H16" s="107"/>
      <c r="I16" s="107"/>
    </row>
    <row r="17" spans="2:9" ht="12.75">
      <c r="B17" s="5" t="s">
        <v>23</v>
      </c>
      <c r="C17" s="12">
        <f>SUM(D17:I17)</f>
        <v>5682812987.640971</v>
      </c>
      <c r="D17" s="12">
        <f aca="true" t="shared" si="1" ref="D17:I17">D14+D15</f>
        <v>2436265024.8310003</v>
      </c>
      <c r="E17" s="12">
        <f t="shared" si="1"/>
        <v>627095502.5359999</v>
      </c>
      <c r="F17" s="12">
        <f t="shared" si="1"/>
        <v>1376028976.257</v>
      </c>
      <c r="G17" s="12">
        <f t="shared" si="1"/>
        <v>1085901581.315</v>
      </c>
      <c r="H17" s="12">
        <f t="shared" si="1"/>
        <v>139559979.042</v>
      </c>
      <c r="I17" s="12">
        <f t="shared" si="1"/>
        <v>17961923.65997</v>
      </c>
    </row>
    <row r="18" spans="1:9" ht="12.75">
      <c r="A18" s="1" t="s">
        <v>830</v>
      </c>
      <c r="B18" s="5" t="s">
        <v>24</v>
      </c>
      <c r="C18" s="12">
        <f>SUM(D18:I18)</f>
        <v>0</v>
      </c>
      <c r="D18" s="12">
        <f>'Bill Determ'!$E$11</f>
        <v>0</v>
      </c>
      <c r="E18" s="12">
        <f>'Bill Determ'!$D$21</f>
        <v>0</v>
      </c>
      <c r="F18" s="12">
        <f>'Bill Determ'!$D$33</f>
        <v>0</v>
      </c>
      <c r="G18" s="110">
        <v>0</v>
      </c>
      <c r="H18" s="12">
        <f>'Bill Determ'!$E$45</f>
        <v>0</v>
      </c>
      <c r="I18" s="110">
        <v>0</v>
      </c>
    </row>
    <row r="19" spans="3:9" ht="12.75">
      <c r="C19" s="107"/>
      <c r="D19" s="107"/>
      <c r="E19" s="107"/>
      <c r="F19" s="107"/>
      <c r="G19" s="107"/>
      <c r="H19" s="107"/>
      <c r="I19" s="107"/>
    </row>
    <row r="20" spans="2:9" ht="12.75">
      <c r="B20" s="5" t="s">
        <v>25</v>
      </c>
      <c r="C20" s="12">
        <f>SUM(D20:I20)</f>
        <v>5682812987.640971</v>
      </c>
      <c r="D20" s="12">
        <f aca="true" t="shared" si="2" ref="D20:I20">D17+D18</f>
        <v>2436265024.8310003</v>
      </c>
      <c r="E20" s="12">
        <f t="shared" si="2"/>
        <v>627095502.5359999</v>
      </c>
      <c r="F20" s="12">
        <f t="shared" si="2"/>
        <v>1376028976.257</v>
      </c>
      <c r="G20" s="12">
        <f t="shared" si="2"/>
        <v>1085901581.315</v>
      </c>
      <c r="H20" s="12">
        <f t="shared" si="2"/>
        <v>139559979.042</v>
      </c>
      <c r="I20" s="12">
        <f t="shared" si="2"/>
        <v>17961923.65997</v>
      </c>
    </row>
    <row r="21" spans="1:9" s="8" customFormat="1" ht="12.75">
      <c r="A21" s="1" t="s">
        <v>832</v>
      </c>
      <c r="B21" s="88" t="s">
        <v>26</v>
      </c>
      <c r="C21" s="108">
        <f>SUM(D21:I21)</f>
        <v>-52372625</v>
      </c>
      <c r="D21" s="108">
        <f aca="true" t="shared" si="3" ref="D21:I21">D142+D145</f>
        <v>-40779500</v>
      </c>
      <c r="E21" s="108">
        <f t="shared" si="3"/>
        <v>-5197349</v>
      </c>
      <c r="F21" s="108">
        <f t="shared" si="3"/>
        <v>-6458850</v>
      </c>
      <c r="G21" s="198">
        <f t="shared" si="3"/>
        <v>0</v>
      </c>
      <c r="H21" s="108">
        <f t="shared" si="3"/>
        <v>63074</v>
      </c>
      <c r="I21" s="108">
        <f t="shared" si="3"/>
        <v>0</v>
      </c>
    </row>
    <row r="22" spans="3:12" ht="12.75">
      <c r="C22" s="107"/>
      <c r="D22" s="107"/>
      <c r="E22" s="107"/>
      <c r="F22" s="107"/>
      <c r="G22" s="107"/>
      <c r="H22" s="107"/>
      <c r="I22" s="107"/>
      <c r="L22" s="5" t="s">
        <v>1</v>
      </c>
    </row>
    <row r="23" spans="2:9" ht="12.75">
      <c r="B23" s="5" t="s">
        <v>27</v>
      </c>
      <c r="C23" s="12">
        <f>IF(ROUND(SUM(D23:I23),3)&lt;&gt;ROUND(SUM(C20:C21),3),#VALUE!,SUM(D23:I23))</f>
        <v>5630440362.640971</v>
      </c>
      <c r="D23" s="12">
        <f aca="true" t="shared" si="4" ref="D23:I23">D20+D21</f>
        <v>2395485524.8310003</v>
      </c>
      <c r="E23" s="12">
        <f t="shared" si="4"/>
        <v>621898153.5359999</v>
      </c>
      <c r="F23" s="12">
        <f t="shared" si="4"/>
        <v>1369570126.257</v>
      </c>
      <c r="G23" s="12">
        <f t="shared" si="4"/>
        <v>1085901581.315</v>
      </c>
      <c r="H23" s="12">
        <f t="shared" si="4"/>
        <v>139623053.042</v>
      </c>
      <c r="I23" s="12">
        <f t="shared" si="4"/>
        <v>17961923.65997</v>
      </c>
    </row>
    <row r="24" spans="3:9" ht="12.75">
      <c r="C24" s="12"/>
      <c r="D24" s="12"/>
      <c r="E24" s="12"/>
      <c r="F24" s="12"/>
      <c r="G24" s="12"/>
      <c r="H24" s="12"/>
      <c r="I24" s="12"/>
    </row>
    <row r="25" spans="1:9" ht="12.75">
      <c r="A25" s="1" t="s">
        <v>830</v>
      </c>
      <c r="B25" s="5" t="s">
        <v>28</v>
      </c>
      <c r="C25" s="12"/>
      <c r="D25" s="12">
        <f>'Bill Determ'!$F$9</f>
        <v>2619517</v>
      </c>
      <c r="E25" s="12">
        <f>'Bill Determ'!$F$17</f>
        <v>391801</v>
      </c>
      <c r="F25" s="12">
        <f>'Bill Determ'!$F$28</f>
        <v>22941</v>
      </c>
      <c r="G25" s="12">
        <f>'Bill Determ'!$G$37</f>
        <v>276</v>
      </c>
      <c r="H25" s="12">
        <f>'Bill Determ'!$F$41</f>
        <v>29492</v>
      </c>
      <c r="I25" s="12"/>
    </row>
    <row r="26" spans="2:9" ht="12.75">
      <c r="B26" s="5" t="s">
        <v>29</v>
      </c>
      <c r="C26" s="12"/>
      <c r="D26" s="12"/>
      <c r="E26" s="12"/>
      <c r="F26" s="12"/>
      <c r="G26" s="12"/>
      <c r="H26" s="12"/>
      <c r="I26" s="12"/>
    </row>
    <row r="27" spans="1:9" ht="12.75">
      <c r="A27" s="1" t="s">
        <v>830</v>
      </c>
      <c r="B27" s="5" t="s">
        <v>30</v>
      </c>
      <c r="C27" s="12"/>
      <c r="D27" s="12"/>
      <c r="E27" s="12">
        <f>'Bill Determ'!$E$17</f>
        <v>438307.97692307696</v>
      </c>
      <c r="F27" s="12">
        <f>'Bill Determ'!$E$28</f>
        <v>2648035.6015384616</v>
      </c>
      <c r="G27" s="12">
        <f>'Bill Determ'!$F$37+'Bill Determ'!F38</f>
        <v>1278599.155</v>
      </c>
      <c r="H27" s="12"/>
      <c r="I27" s="12"/>
    </row>
    <row r="28" spans="3:9" ht="12.75">
      <c r="C28" s="7"/>
      <c r="D28" s="7"/>
      <c r="E28" s="7"/>
      <c r="F28" s="7"/>
      <c r="G28" s="7"/>
      <c r="H28" s="7"/>
      <c r="I28" s="7"/>
    </row>
    <row r="29" ht="12.75">
      <c r="B29" s="4" t="s">
        <v>31</v>
      </c>
    </row>
    <row r="30" spans="1:2" s="14" customFormat="1" ht="12.75">
      <c r="A30" s="13"/>
      <c r="B30" s="6" t="s">
        <v>17</v>
      </c>
    </row>
    <row r="31" spans="2:9" ht="12.75">
      <c r="B31" s="5" t="s">
        <v>18</v>
      </c>
      <c r="C31" s="12"/>
      <c r="D31" s="12">
        <f aca="true" t="shared" si="5" ref="D31:I31">D8</f>
        <v>1632639774.4875689</v>
      </c>
      <c r="E31" s="12">
        <f t="shared" si="5"/>
        <v>435979118.3898335</v>
      </c>
      <c r="F31" s="12">
        <f t="shared" si="5"/>
        <v>1229791151.80367</v>
      </c>
      <c r="G31" s="12">
        <f t="shared" si="5"/>
        <v>138000000</v>
      </c>
      <c r="H31" s="12">
        <f t="shared" si="5"/>
        <v>46790737.71017</v>
      </c>
      <c r="I31" s="12">
        <f t="shared" si="5"/>
        <v>0</v>
      </c>
    </row>
    <row r="32" spans="2:9" ht="12.75">
      <c r="B32" s="5" t="s">
        <v>19</v>
      </c>
      <c r="C32" s="12"/>
      <c r="D32" s="12">
        <f aca="true" t="shared" si="6" ref="D32:I35">D9</f>
        <v>504552667.9882521</v>
      </c>
      <c r="E32" s="12">
        <f t="shared" si="6"/>
        <v>191116384.1461664</v>
      </c>
      <c r="F32" s="12">
        <f t="shared" si="6"/>
        <v>146237824.45333</v>
      </c>
      <c r="G32" s="12">
        <f>'Bill Determ'!$C$37</f>
        <v>564644246.7149999</v>
      </c>
      <c r="H32" s="12">
        <f t="shared" si="6"/>
        <v>92769241.33183</v>
      </c>
      <c r="I32" s="12">
        <f t="shared" si="6"/>
        <v>0</v>
      </c>
    </row>
    <row r="33" spans="2:9" ht="12.75">
      <c r="B33" s="5" t="s">
        <v>20</v>
      </c>
      <c r="C33" s="12"/>
      <c r="D33" s="12">
        <f t="shared" si="6"/>
        <v>299072582.35517937</v>
      </c>
      <c r="E33" s="12">
        <f t="shared" si="6"/>
        <v>0</v>
      </c>
      <c r="F33" s="12">
        <f t="shared" si="6"/>
        <v>0</v>
      </c>
      <c r="G33" s="12">
        <f>'Bill Determ'!$D$37</f>
        <v>383257334.60000014</v>
      </c>
      <c r="H33" s="12">
        <f t="shared" si="6"/>
        <v>0</v>
      </c>
      <c r="I33" s="12">
        <f t="shared" si="6"/>
        <v>0</v>
      </c>
    </row>
    <row r="34" spans="2:9" ht="12.75">
      <c r="B34" s="5" t="s">
        <v>21</v>
      </c>
      <c r="C34" s="12"/>
      <c r="D34" s="12">
        <f t="shared" si="6"/>
        <v>0</v>
      </c>
      <c r="E34" s="12">
        <f t="shared" si="6"/>
        <v>0</v>
      </c>
      <c r="F34" s="12">
        <f t="shared" si="6"/>
        <v>0</v>
      </c>
      <c r="G34" s="12">
        <f t="shared" si="6"/>
        <v>0</v>
      </c>
      <c r="H34" s="12">
        <f t="shared" si="6"/>
        <v>0</v>
      </c>
      <c r="I34" s="12">
        <f t="shared" si="6"/>
        <v>0</v>
      </c>
    </row>
    <row r="35" spans="2:9" ht="12.75">
      <c r="B35" s="5" t="s">
        <v>22</v>
      </c>
      <c r="C35" s="106"/>
      <c r="D35" s="12">
        <f t="shared" si="6"/>
        <v>0</v>
      </c>
      <c r="E35" s="12">
        <f t="shared" si="6"/>
        <v>0</v>
      </c>
      <c r="F35" s="12">
        <f t="shared" si="6"/>
        <v>0</v>
      </c>
      <c r="G35" s="12">
        <f t="shared" si="6"/>
        <v>0</v>
      </c>
      <c r="H35" s="12">
        <f t="shared" si="6"/>
        <v>0</v>
      </c>
      <c r="I35" s="12">
        <f>I12</f>
        <v>17961923.65997</v>
      </c>
    </row>
    <row r="36" spans="3:9" ht="12.75">
      <c r="C36" s="107"/>
      <c r="D36" s="107"/>
      <c r="E36" s="107"/>
      <c r="F36" s="107"/>
      <c r="G36" s="107"/>
      <c r="H36" s="107"/>
      <c r="I36" s="107"/>
    </row>
    <row r="37" spans="2:9" ht="12.75">
      <c r="B37" s="5" t="s">
        <v>23</v>
      </c>
      <c r="C37" s="12">
        <f>SUM(D37:I37)</f>
        <v>5682812987.640971</v>
      </c>
      <c r="D37" s="12">
        <f aca="true" t="shared" si="7" ref="D37:I37">SUM(D31:D35)</f>
        <v>2436265024.8310003</v>
      </c>
      <c r="E37" s="12">
        <f t="shared" si="7"/>
        <v>627095502.5359999</v>
      </c>
      <c r="F37" s="12">
        <f t="shared" si="7"/>
        <v>1376028976.257</v>
      </c>
      <c r="G37" s="12">
        <f t="shared" si="7"/>
        <v>1085901581.315</v>
      </c>
      <c r="H37" s="12">
        <f t="shared" si="7"/>
        <v>139559979.042</v>
      </c>
      <c r="I37" s="12">
        <f t="shared" si="7"/>
        <v>17961923.65997</v>
      </c>
    </row>
    <row r="38" spans="1:9" s="8" customFormat="1" ht="12.75">
      <c r="A38" s="34"/>
      <c r="B38" s="392"/>
      <c r="C38" s="12">
        <f>SUM(D38:I38)</f>
        <v>0</v>
      </c>
      <c r="D38" s="108">
        <f aca="true" t="shared" si="8" ref="D38:I38">D15</f>
        <v>0</v>
      </c>
      <c r="E38" s="108">
        <f t="shared" si="8"/>
        <v>0</v>
      </c>
      <c r="F38" s="108">
        <f t="shared" si="8"/>
        <v>0</v>
      </c>
      <c r="G38" s="108">
        <f t="shared" si="8"/>
        <v>0</v>
      </c>
      <c r="H38" s="108">
        <f t="shared" si="8"/>
        <v>0</v>
      </c>
      <c r="I38" s="108">
        <f t="shared" si="8"/>
        <v>0</v>
      </c>
    </row>
    <row r="39" spans="3:9" ht="12.75">
      <c r="C39" s="107"/>
      <c r="D39" s="107"/>
      <c r="E39" s="107"/>
      <c r="F39" s="107"/>
      <c r="G39" s="107"/>
      <c r="H39" s="107"/>
      <c r="I39" s="107"/>
    </row>
    <row r="40" spans="2:9" ht="12.75">
      <c r="B40" s="5" t="s">
        <v>23</v>
      </c>
      <c r="C40" s="12">
        <f>SUM(D40:I40)</f>
        <v>5682812987.640971</v>
      </c>
      <c r="D40" s="12">
        <f aca="true" t="shared" si="9" ref="D40:I40">D37+D38</f>
        <v>2436265024.8310003</v>
      </c>
      <c r="E40" s="12">
        <f t="shared" si="9"/>
        <v>627095502.5359999</v>
      </c>
      <c r="F40" s="12">
        <f t="shared" si="9"/>
        <v>1376028976.257</v>
      </c>
      <c r="G40" s="12">
        <f t="shared" si="9"/>
        <v>1085901581.315</v>
      </c>
      <c r="H40" s="12">
        <f t="shared" si="9"/>
        <v>139559979.042</v>
      </c>
      <c r="I40" s="12">
        <f t="shared" si="9"/>
        <v>17961923.65997</v>
      </c>
    </row>
    <row r="41" spans="2:9" ht="12.75">
      <c r="B41" s="5" t="s">
        <v>24</v>
      </c>
      <c r="C41" s="12">
        <f>SUM(D41:I41)</f>
        <v>0</v>
      </c>
      <c r="D41" s="12">
        <f aca="true" t="shared" si="10" ref="D41:I41">D18</f>
        <v>0</v>
      </c>
      <c r="E41" s="12">
        <f t="shared" si="10"/>
        <v>0</v>
      </c>
      <c r="F41" s="12">
        <f t="shared" si="10"/>
        <v>0</v>
      </c>
      <c r="G41" s="12">
        <f t="shared" si="10"/>
        <v>0</v>
      </c>
      <c r="H41" s="12">
        <f t="shared" si="10"/>
        <v>0</v>
      </c>
      <c r="I41" s="12">
        <f t="shared" si="10"/>
        <v>0</v>
      </c>
    </row>
    <row r="42" spans="3:9" ht="12.75">
      <c r="C42" s="107"/>
      <c r="D42" s="107"/>
      <c r="E42" s="107"/>
      <c r="F42" s="107"/>
      <c r="G42" s="107"/>
      <c r="H42" s="107"/>
      <c r="I42" s="107"/>
    </row>
    <row r="43" spans="2:9" ht="12.75">
      <c r="B43" s="5" t="s">
        <v>25</v>
      </c>
      <c r="C43" s="12">
        <f>SUM(D43:I43)</f>
        <v>5682812987.640971</v>
      </c>
      <c r="D43" s="12">
        <f aca="true" t="shared" si="11" ref="D43:I43">D40+D41</f>
        <v>2436265024.8310003</v>
      </c>
      <c r="E43" s="12">
        <f t="shared" si="11"/>
        <v>627095502.5359999</v>
      </c>
      <c r="F43" s="12">
        <f t="shared" si="11"/>
        <v>1376028976.257</v>
      </c>
      <c r="G43" s="12">
        <f t="shared" si="11"/>
        <v>1085901581.315</v>
      </c>
      <c r="H43" s="12">
        <f t="shared" si="11"/>
        <v>139559979.042</v>
      </c>
      <c r="I43" s="12">
        <f t="shared" si="11"/>
        <v>17961923.65997</v>
      </c>
    </row>
    <row r="44" spans="1:9" s="8" customFormat="1" ht="12.75">
      <c r="A44" s="34"/>
      <c r="B44" s="88" t="s">
        <v>26</v>
      </c>
      <c r="C44" s="108">
        <f>SUM(D44:I44)</f>
        <v>-52372625</v>
      </c>
      <c r="D44" s="108">
        <f aca="true" t="shared" si="12" ref="D44:I44">D21</f>
        <v>-40779500</v>
      </c>
      <c r="E44" s="108">
        <f t="shared" si="12"/>
        <v>-5197349</v>
      </c>
      <c r="F44" s="108">
        <f t="shared" si="12"/>
        <v>-6458850</v>
      </c>
      <c r="G44" s="108">
        <f t="shared" si="12"/>
        <v>0</v>
      </c>
      <c r="H44" s="108">
        <f t="shared" si="12"/>
        <v>63074</v>
      </c>
      <c r="I44" s="108">
        <f t="shared" si="12"/>
        <v>0</v>
      </c>
    </row>
    <row r="45" spans="3:9" ht="12.75">
      <c r="C45" s="107"/>
      <c r="D45" s="107"/>
      <c r="E45" s="107"/>
      <c r="F45" s="107"/>
      <c r="G45" s="107"/>
      <c r="H45" s="107"/>
      <c r="I45" s="107"/>
    </row>
    <row r="46" spans="2:9" ht="12.75">
      <c r="B46" s="5" t="s">
        <v>27</v>
      </c>
      <c r="C46" s="12">
        <f>IF(ROUND(SUM(D46:I46),3)&lt;&gt;ROUND(SUM(C43:C44),3),#VALUE!,SUM(D46:I46))</f>
        <v>5630440362.640971</v>
      </c>
      <c r="D46" s="12">
        <f aca="true" t="shared" si="13" ref="D46:I46">D43+D44</f>
        <v>2395485524.8310003</v>
      </c>
      <c r="E46" s="12">
        <f t="shared" si="13"/>
        <v>621898153.5359999</v>
      </c>
      <c r="F46" s="12">
        <f t="shared" si="13"/>
        <v>1369570126.257</v>
      </c>
      <c r="G46" s="12">
        <f t="shared" si="13"/>
        <v>1085901581.315</v>
      </c>
      <c r="H46" s="12">
        <f t="shared" si="13"/>
        <v>139623053.042</v>
      </c>
      <c r="I46" s="12">
        <f t="shared" si="13"/>
        <v>17961923.65997</v>
      </c>
    </row>
    <row r="47" spans="3:9" ht="12.75">
      <c r="C47" s="12"/>
      <c r="D47" s="12"/>
      <c r="E47" s="12"/>
      <c r="F47" s="12"/>
      <c r="G47" s="12"/>
      <c r="H47" s="12"/>
      <c r="I47" s="12"/>
    </row>
    <row r="48" spans="2:9" ht="12.75">
      <c r="B48" s="5" t="s">
        <v>28</v>
      </c>
      <c r="C48" s="12"/>
      <c r="D48" s="12">
        <f>D25</f>
        <v>2619517</v>
      </c>
      <c r="E48" s="12">
        <f>E25</f>
        <v>391801</v>
      </c>
      <c r="F48" s="12">
        <f>F25</f>
        <v>22941</v>
      </c>
      <c r="G48" s="12">
        <f>G25</f>
        <v>276</v>
      </c>
      <c r="H48" s="12">
        <f>H25</f>
        <v>29492</v>
      </c>
      <c r="I48" s="12"/>
    </row>
    <row r="49" spans="2:9" ht="12.75">
      <c r="B49" s="5" t="s">
        <v>29</v>
      </c>
      <c r="C49" s="12"/>
      <c r="D49" s="12"/>
      <c r="E49" s="12"/>
      <c r="F49" s="12"/>
      <c r="G49" s="12"/>
      <c r="H49" s="12"/>
      <c r="I49" s="12"/>
    </row>
    <row r="50" spans="2:9" ht="12.75">
      <c r="B50" s="5" t="s">
        <v>30</v>
      </c>
      <c r="C50" s="12"/>
      <c r="D50" s="12"/>
      <c r="E50" s="12">
        <f>E27</f>
        <v>438307.97692307696</v>
      </c>
      <c r="F50" s="12">
        <f>F27</f>
        <v>2648035.6015384616</v>
      </c>
      <c r="G50" s="12">
        <f>G27</f>
        <v>1278599.155</v>
      </c>
      <c r="H50" s="12"/>
      <c r="I50" s="12"/>
    </row>
    <row r="51" spans="1:9" s="2" customFormat="1" ht="12.75">
      <c r="A51" s="1"/>
      <c r="C51" s="7"/>
      <c r="D51" s="7"/>
      <c r="E51" s="7"/>
      <c r="F51" s="7"/>
      <c r="G51" s="7"/>
      <c r="H51" s="7"/>
      <c r="I51" s="7"/>
    </row>
    <row r="52" spans="1:9" s="2" customFormat="1" ht="12.75">
      <c r="A52" s="1"/>
      <c r="C52" s="7"/>
      <c r="D52" s="7"/>
      <c r="E52" s="7"/>
      <c r="F52" s="7"/>
      <c r="G52" s="7"/>
      <c r="H52" s="7"/>
      <c r="I52" s="7"/>
    </row>
    <row r="53" spans="1:9" s="2" customFormat="1" ht="27.75" customHeight="1">
      <c r="A53" s="1"/>
      <c r="C53" s="7"/>
      <c r="D53" s="7"/>
      <c r="E53" s="7"/>
      <c r="F53" s="7"/>
      <c r="G53" s="7"/>
      <c r="H53" s="7"/>
      <c r="I53" s="7"/>
    </row>
    <row r="54" spans="1:9" s="2" customFormat="1" ht="12.75">
      <c r="A54" s="1"/>
      <c r="C54" s="7"/>
      <c r="D54" s="7"/>
      <c r="E54" s="7"/>
      <c r="F54" s="7"/>
      <c r="G54" s="7"/>
      <c r="H54" s="7"/>
      <c r="I54" s="7"/>
    </row>
    <row r="55" spans="1:12" s="2" customFormat="1" ht="12.75">
      <c r="A55" s="1"/>
      <c r="C55" s="7"/>
      <c r="D55" s="119">
        <v>1</v>
      </c>
      <c r="E55" s="119">
        <v>2</v>
      </c>
      <c r="F55" s="119">
        <v>3</v>
      </c>
      <c r="G55" s="119">
        <v>4</v>
      </c>
      <c r="H55" s="119">
        <v>5</v>
      </c>
      <c r="I55" s="119">
        <v>6</v>
      </c>
      <c r="L55" s="120">
        <f>SUMPRODUCT(--(ISBLANK(D55:I55)))</f>
        <v>0</v>
      </c>
    </row>
    <row r="56" spans="1:12" s="2" customFormat="1" ht="12.75">
      <c r="A56" s="1" t="s">
        <v>0</v>
      </c>
      <c r="C56" s="2" t="s">
        <v>1</v>
      </c>
      <c r="D56" s="2" t="s">
        <v>2</v>
      </c>
      <c r="E56" s="2" t="s">
        <v>3</v>
      </c>
      <c r="F56" s="2" t="s">
        <v>4</v>
      </c>
      <c r="G56" s="2" t="s">
        <v>5</v>
      </c>
      <c r="H56" s="2" t="s">
        <v>6</v>
      </c>
      <c r="I56" s="2" t="s">
        <v>7</v>
      </c>
      <c r="L56" s="5" t="str">
        <f ca="1">"selected in cell "&amp;CELL("address",Base1_Billing2)&amp;":"</f>
        <v>selected in cell $N$8:</v>
      </c>
    </row>
    <row r="57" spans="1:12" s="2" customFormat="1" ht="12.75">
      <c r="A57" s="1" t="s">
        <v>8</v>
      </c>
      <c r="C57" s="3" t="s">
        <v>9</v>
      </c>
      <c r="D57" s="3" t="s">
        <v>10</v>
      </c>
      <c r="E57" s="3" t="s">
        <v>11</v>
      </c>
      <c r="F57" s="3" t="s">
        <v>12</v>
      </c>
      <c r="G57" s="3" t="s">
        <v>13</v>
      </c>
      <c r="H57" s="3" t="s">
        <v>14</v>
      </c>
      <c r="I57" s="3" t="s">
        <v>15</v>
      </c>
      <c r="L57" s="14" t="str">
        <f>N10</f>
        <v>Base</v>
      </c>
    </row>
    <row r="58" spans="2:14" ht="12.75">
      <c r="B58" s="4" t="s">
        <v>32</v>
      </c>
      <c r="L58" s="5" t="str">
        <f>"Rates_"&amp;$L$57&amp;"_Present"</f>
        <v>Rates_Base_Present</v>
      </c>
      <c r="N58" s="135" t="s">
        <v>235</v>
      </c>
    </row>
    <row r="59" spans="1:14" ht="12.75">
      <c r="A59" s="1" t="s">
        <v>833</v>
      </c>
      <c r="B59" s="5" t="s">
        <v>33</v>
      </c>
      <c r="D59" s="136">
        <f aca="true" t="shared" si="14" ref="D59:I59">INDEX(INDIRECT($L$58),$K59,D$55)</f>
        <v>9</v>
      </c>
      <c r="E59" s="136">
        <f ca="1" t="shared" si="14"/>
        <v>20</v>
      </c>
      <c r="F59" s="136">
        <f ca="1" t="shared" si="14"/>
        <v>0</v>
      </c>
      <c r="G59" s="136">
        <f ca="1" t="shared" si="14"/>
        <v>0</v>
      </c>
      <c r="H59" s="136">
        <f ca="1" t="shared" si="14"/>
        <v>20</v>
      </c>
      <c r="I59" s="136">
        <f ca="1" t="shared" si="14"/>
        <v>0</v>
      </c>
      <c r="K59" s="118">
        <v>1</v>
      </c>
      <c r="L59" s="5" t="str">
        <f>"Rates_"&amp;$L$57&amp;"_Proposed"</f>
        <v>Rates_Base_Proposed</v>
      </c>
      <c r="N59" s="135" t="s">
        <v>236</v>
      </c>
    </row>
    <row r="60" spans="2:4" ht="12.75">
      <c r="B60" s="5" t="s">
        <v>34</v>
      </c>
      <c r="D60" s="9"/>
    </row>
    <row r="62" spans="1:11" ht="12.75">
      <c r="A62" s="1" t="s">
        <v>833</v>
      </c>
      <c r="B62" s="5" t="s">
        <v>35</v>
      </c>
      <c r="D62" s="137">
        <f aca="true" t="shared" si="15" ref="D62:I64">INDEX(INDIRECT($L$58),$K62,D$55)</f>
        <v>8.103</v>
      </c>
      <c r="E62" s="137">
        <f ca="1" t="shared" si="15"/>
        <v>11.686</v>
      </c>
      <c r="F62" s="137">
        <f ca="1" t="shared" si="15"/>
        <v>7.535</v>
      </c>
      <c r="G62" s="137">
        <f ca="1" t="shared" si="15"/>
        <v>5.505</v>
      </c>
      <c r="H62" s="137">
        <f ca="1" t="shared" si="15"/>
        <v>10.292</v>
      </c>
      <c r="I62" s="137">
        <f ca="1" t="shared" si="15"/>
        <v>0</v>
      </c>
      <c r="K62" s="118">
        <v>2</v>
      </c>
    </row>
    <row r="63" spans="1:11" ht="12.75">
      <c r="A63" s="1" t="s">
        <v>833</v>
      </c>
      <c r="B63" s="5" t="s">
        <v>36</v>
      </c>
      <c r="D63" s="137">
        <f ca="1" t="shared" si="15"/>
        <v>9.427</v>
      </c>
      <c r="E63" s="137">
        <f ca="1" t="shared" si="15"/>
        <v>8.588</v>
      </c>
      <c r="F63" s="137">
        <f ca="1" t="shared" si="15"/>
        <v>6.742</v>
      </c>
      <c r="G63" s="137">
        <f ca="1" t="shared" si="15"/>
        <v>4.953</v>
      </c>
      <c r="H63" s="137">
        <f ca="1" t="shared" si="15"/>
        <v>7.35</v>
      </c>
      <c r="I63" s="137">
        <f ca="1" t="shared" si="15"/>
        <v>0</v>
      </c>
      <c r="K63" s="118">
        <v>3</v>
      </c>
    </row>
    <row r="64" spans="1:11" ht="12.75">
      <c r="A64" s="1" t="s">
        <v>833</v>
      </c>
      <c r="B64" s="5" t="s">
        <v>37</v>
      </c>
      <c r="D64" s="137">
        <f ca="1" t="shared" si="15"/>
        <v>11.053</v>
      </c>
      <c r="E64" s="137">
        <f ca="1" t="shared" si="15"/>
        <v>0</v>
      </c>
      <c r="F64" s="137">
        <f ca="1" t="shared" si="15"/>
        <v>0</v>
      </c>
      <c r="G64" s="137">
        <f ca="1" t="shared" si="15"/>
        <v>4.235</v>
      </c>
      <c r="H64" s="137">
        <f ca="1" t="shared" si="15"/>
        <v>0</v>
      </c>
      <c r="I64" s="137">
        <f ca="1" t="shared" si="15"/>
        <v>0</v>
      </c>
      <c r="K64" s="118">
        <v>4</v>
      </c>
    </row>
    <row r="65" spans="2:11" ht="12.75">
      <c r="B65" s="5" t="s">
        <v>38</v>
      </c>
      <c r="D65" s="10"/>
      <c r="E65" s="10"/>
      <c r="F65" s="10"/>
      <c r="G65" s="10"/>
      <c r="H65" s="10"/>
      <c r="I65" s="10"/>
      <c r="K65" s="118">
        <v>5</v>
      </c>
    </row>
    <row r="66" spans="4:9" ht="12.75">
      <c r="D66" s="10"/>
      <c r="E66" s="10"/>
      <c r="F66" s="10"/>
      <c r="G66" s="10"/>
      <c r="H66" s="10"/>
      <c r="I66" s="10"/>
    </row>
    <row r="67" spans="2:9" ht="12.75">
      <c r="B67" s="5" t="s">
        <v>39</v>
      </c>
      <c r="D67" s="137">
        <f ca="1">(D124-D111)/D14*100</f>
        <v>8.739339575125635</v>
      </c>
      <c r="E67" s="137">
        <f ca="1">(E124-E111-SUM(E117:E120))/E14*100</f>
        <v>10.74183989162527</v>
      </c>
      <c r="F67" s="137">
        <f ca="1">(F124-F111-SUM(F117:F120))/F14*100</f>
        <v>7.450723725955294</v>
      </c>
      <c r="G67" s="137"/>
      <c r="H67" s="137">
        <f ca="1">(H124-H111-SUM(H117:H120))/H14*100</f>
        <v>8.3363741166074</v>
      </c>
      <c r="I67" s="137"/>
    </row>
    <row r="68" spans="4:9" ht="12.75">
      <c r="D68" s="10"/>
      <c r="E68" s="10"/>
      <c r="F68" s="10"/>
      <c r="G68" s="10"/>
      <c r="H68" s="10"/>
      <c r="I68" s="10"/>
    </row>
    <row r="69" spans="1:11" s="9" customFormat="1" ht="12.75">
      <c r="A69" s="1" t="s">
        <v>833</v>
      </c>
      <c r="B69" s="9" t="s">
        <v>40</v>
      </c>
      <c r="D69" s="136">
        <f aca="true" t="shared" si="16" ref="D69:I70">INDEX(INDIRECT($L$58),$K69,D$55)</f>
        <v>0</v>
      </c>
      <c r="E69" s="136">
        <f ca="1" t="shared" si="16"/>
        <v>0</v>
      </c>
      <c r="F69" s="136">
        <f ca="1" t="shared" si="16"/>
        <v>550</v>
      </c>
      <c r="G69" s="136">
        <f ca="1" t="shared" si="16"/>
        <v>30650</v>
      </c>
      <c r="H69" s="136">
        <f ca="1" t="shared" si="16"/>
        <v>0</v>
      </c>
      <c r="I69" s="136">
        <f ca="1" t="shared" si="16"/>
        <v>0</v>
      </c>
      <c r="K69" s="118">
        <v>6</v>
      </c>
    </row>
    <row r="70" spans="1:11" s="9" customFormat="1" ht="12.75">
      <c r="A70" s="1" t="s">
        <v>833</v>
      </c>
      <c r="B70" s="9" t="s">
        <v>41</v>
      </c>
      <c r="D70" s="136">
        <f ca="1" t="shared" si="16"/>
        <v>0</v>
      </c>
      <c r="E70" s="136">
        <f ca="1" t="shared" si="16"/>
        <v>7</v>
      </c>
      <c r="F70" s="136">
        <f ca="1" t="shared" si="16"/>
        <v>7</v>
      </c>
      <c r="G70" s="136">
        <f ca="1" t="shared" si="16"/>
        <v>8.3</v>
      </c>
      <c r="H70" s="136">
        <f ca="1" t="shared" si="16"/>
        <v>0</v>
      </c>
      <c r="I70" s="136">
        <f ca="1" t="shared" si="16"/>
        <v>0</v>
      </c>
      <c r="K70" s="118">
        <v>7</v>
      </c>
    </row>
    <row r="71" spans="4:9" ht="12.75">
      <c r="D71" s="10"/>
      <c r="E71" s="10"/>
      <c r="F71" s="10"/>
      <c r="G71" s="10"/>
      <c r="H71" s="10"/>
      <c r="I71" s="10"/>
    </row>
    <row r="72" spans="4:9" ht="12.75">
      <c r="D72" s="10"/>
      <c r="E72" s="10"/>
      <c r="F72" s="10"/>
      <c r="G72" s="10"/>
      <c r="H72" s="10"/>
      <c r="I72" s="10"/>
    </row>
    <row r="73" spans="4:9" ht="12.75">
      <c r="D73" s="10"/>
      <c r="E73" s="10"/>
      <c r="F73" s="10"/>
      <c r="G73" s="10"/>
      <c r="H73" s="10"/>
      <c r="I73" s="10"/>
    </row>
    <row r="74" spans="4:9" ht="12.75">
      <c r="D74" s="10"/>
      <c r="E74" s="10"/>
      <c r="F74" s="10"/>
      <c r="G74" s="10"/>
      <c r="H74" s="10"/>
      <c r="I74" s="10"/>
    </row>
    <row r="75" ht="12.75">
      <c r="B75" s="4" t="s">
        <v>42</v>
      </c>
    </row>
    <row r="76" spans="2:12" ht="12.75">
      <c r="B76" s="5" t="s">
        <v>33</v>
      </c>
      <c r="D76" s="136">
        <f ca="1">INDEX(INDIRECT($L$59),$K76,D$55)</f>
        <v>9</v>
      </c>
      <c r="E76" s="136">
        <f ca="1">INDEX(INDIRECT($L$59),$K76,E$55)</f>
        <v>20</v>
      </c>
      <c r="F76" s="136"/>
      <c r="G76" s="136"/>
      <c r="H76" s="136">
        <f ca="1">INDEX(INDIRECT($L$59),$K76,H$55)</f>
        <v>20</v>
      </c>
      <c r="I76" s="136"/>
      <c r="K76" s="118">
        <v>1</v>
      </c>
      <c r="L76" s="103"/>
    </row>
    <row r="77" spans="2:4" ht="12.75">
      <c r="B77" s="5" t="s">
        <v>34</v>
      </c>
      <c r="D77" s="9"/>
    </row>
    <row r="79" spans="2:11" ht="12.75">
      <c r="B79" s="5" t="s">
        <v>35</v>
      </c>
      <c r="C79" s="223"/>
      <c r="D79" s="137">
        <f aca="true" t="shared" si="17" ref="D79:H81">INDEX(INDIRECT($L$59),$K79,D$55)</f>
        <v>8.103</v>
      </c>
      <c r="E79" s="137">
        <f ca="1" t="shared" si="17"/>
        <v>11.686</v>
      </c>
      <c r="F79" s="137">
        <f ca="1" t="shared" si="17"/>
        <v>7.535</v>
      </c>
      <c r="G79" s="137">
        <f ca="1" t="shared" si="17"/>
        <v>5.505</v>
      </c>
      <c r="H79" s="137">
        <f ca="1" t="shared" si="17"/>
        <v>10.292</v>
      </c>
      <c r="I79" s="137"/>
      <c r="K79" s="118">
        <v>2</v>
      </c>
    </row>
    <row r="80" spans="2:11" ht="12.75">
      <c r="B80" s="5" t="s">
        <v>36</v>
      </c>
      <c r="C80" s="223"/>
      <c r="D80" s="137">
        <f ca="1" t="shared" si="17"/>
        <v>9.427</v>
      </c>
      <c r="E80" s="137">
        <f ca="1" t="shared" si="17"/>
        <v>8.588</v>
      </c>
      <c r="F80" s="137">
        <f ca="1" t="shared" si="17"/>
        <v>6.742</v>
      </c>
      <c r="G80" s="137">
        <f ca="1" t="shared" si="17"/>
        <v>4.953</v>
      </c>
      <c r="H80" s="137">
        <f ca="1" t="shared" si="17"/>
        <v>7.35</v>
      </c>
      <c r="I80" s="137"/>
      <c r="K80" s="118">
        <v>3</v>
      </c>
    </row>
    <row r="81" spans="2:11" ht="12.75">
      <c r="B81" s="5" t="s">
        <v>37</v>
      </c>
      <c r="C81" s="223"/>
      <c r="D81" s="137">
        <f ca="1" t="shared" si="17"/>
        <v>11.053</v>
      </c>
      <c r="E81" s="137"/>
      <c r="F81" s="137"/>
      <c r="G81" s="137">
        <f ca="1" t="shared" si="17"/>
        <v>4.235</v>
      </c>
      <c r="H81" s="137"/>
      <c r="I81" s="137"/>
      <c r="K81" s="118">
        <v>4</v>
      </c>
    </row>
    <row r="82" spans="2:11" ht="12.75">
      <c r="B82" s="5" t="s">
        <v>38</v>
      </c>
      <c r="D82" s="10"/>
      <c r="E82" s="10"/>
      <c r="F82" s="10"/>
      <c r="G82" s="10"/>
      <c r="H82" s="10"/>
      <c r="I82" s="10"/>
      <c r="K82" s="118">
        <v>5</v>
      </c>
    </row>
    <row r="83" spans="4:9" ht="12.75">
      <c r="D83" s="10"/>
      <c r="E83" s="10"/>
      <c r="F83" s="10"/>
      <c r="G83" s="10"/>
      <c r="H83" s="10"/>
      <c r="I83" s="10"/>
    </row>
    <row r="84" spans="2:9" ht="12.75">
      <c r="B84" s="5" t="s">
        <v>39</v>
      </c>
      <c r="D84" s="137">
        <f ca="1">(D177-D164)/D37*100</f>
        <v>8.739339575125635</v>
      </c>
      <c r="E84" s="137">
        <f ca="1">(E177-E164-SUM(E170:E173))/E37*100</f>
        <v>10.74183989162527</v>
      </c>
      <c r="F84" s="137">
        <f ca="1">(F177-F164-SUM(F170:F173))/F37*100</f>
        <v>7.450723725955292</v>
      </c>
      <c r="G84" s="137"/>
      <c r="H84" s="137">
        <f ca="1">(H177-H164-SUM(H170:H173))/H37*100</f>
        <v>8.3363741166074</v>
      </c>
      <c r="I84" s="137"/>
    </row>
    <row r="85" spans="4:9" ht="12.75">
      <c r="D85" s="10"/>
      <c r="E85" s="10"/>
      <c r="F85" s="10"/>
      <c r="G85" s="10"/>
      <c r="H85" s="10"/>
      <c r="I85" s="10"/>
    </row>
    <row r="86" spans="1:11" s="9" customFormat="1" ht="12.75">
      <c r="A86" s="1"/>
      <c r="B86" s="9" t="s">
        <v>40</v>
      </c>
      <c r="D86" s="136"/>
      <c r="E86" s="136"/>
      <c r="F86" s="136">
        <f ca="1">INDEX(INDIRECT($L$59),$K86,F$55)</f>
        <v>550</v>
      </c>
      <c r="G86" s="136">
        <f ca="1">INDEX(INDIRECT($L$59),$K86,G$55)</f>
        <v>30650</v>
      </c>
      <c r="H86" s="136"/>
      <c r="I86" s="136"/>
      <c r="K86" s="118">
        <v>6</v>
      </c>
    </row>
    <row r="87" spans="1:11" s="9" customFormat="1" ht="12.75">
      <c r="A87" s="1"/>
      <c r="B87" s="9" t="s">
        <v>41</v>
      </c>
      <c r="D87" s="136"/>
      <c r="E87" s="136">
        <f ca="1">INDEX(INDIRECT($L$59),$K87,E$55)</f>
        <v>7</v>
      </c>
      <c r="F87" s="136">
        <f ca="1">INDEX(INDIRECT($L$59),$K87,F$55)</f>
        <v>7</v>
      </c>
      <c r="G87" s="136">
        <f ca="1">INDEX(INDIRECT($L$59),$K87,G$55)</f>
        <v>8.3</v>
      </c>
      <c r="H87" s="136"/>
      <c r="I87" s="136"/>
      <c r="K87" s="118">
        <v>7</v>
      </c>
    </row>
    <row r="88" spans="1:4" s="9" customFormat="1" ht="12.75">
      <c r="A88" s="1"/>
      <c r="D88" s="5"/>
    </row>
    <row r="89" spans="1:4" s="9" customFormat="1" ht="12.75">
      <c r="A89" s="1"/>
      <c r="D89" s="5"/>
    </row>
    <row r="90" spans="1:4" s="9" customFormat="1" ht="12.75">
      <c r="A90" s="1"/>
      <c r="D90" s="5"/>
    </row>
    <row r="91" spans="1:4" s="9" customFormat="1" ht="12.75">
      <c r="A91" s="1"/>
      <c r="D91" s="5"/>
    </row>
    <row r="92" spans="1:4" s="9" customFormat="1" ht="12.75">
      <c r="A92" s="1"/>
      <c r="D92" s="5"/>
    </row>
    <row r="93" spans="1:4" s="9" customFormat="1" ht="12.75">
      <c r="A93" s="1"/>
      <c r="D93" s="5"/>
    </row>
    <row r="94" spans="1:4" s="9" customFormat="1" ht="12.75">
      <c r="A94" s="1"/>
      <c r="D94" s="5"/>
    </row>
    <row r="95" spans="1:8" s="9" customFormat="1" ht="12.75">
      <c r="A95" s="1"/>
      <c r="B95" s="776" t="str">
        <f>CHOOSE(Base1_Billing2,"Note: Rates do not include BPA Residential Exchange Program Schedule 59, , Decoupling Schedule 75, Public Purpose Adjustment Schedules 89,91,92, REC Revenue Adjustment Schedule 98 or Power Cost Surcharge Schedule 93.","")</f>
        <v>Note: Rates do not include BPA Residential Exchange Program Schedule 59, , Decoupling Schedule 75, Public Purpose Adjustment Schedules 89,91,92, REC Revenue Adjustment Schedule 98 or Power Cost Surcharge Schedule 93.</v>
      </c>
      <c r="C95" s="777"/>
      <c r="D95" s="777"/>
      <c r="E95" s="777"/>
      <c r="F95" s="777"/>
      <c r="G95" s="777"/>
      <c r="H95" s="777"/>
    </row>
    <row r="96" spans="1:8" s="9" customFormat="1" ht="12.75">
      <c r="A96" s="1"/>
      <c r="B96" s="777"/>
      <c r="C96" s="777"/>
      <c r="D96" s="777"/>
      <c r="E96" s="777"/>
      <c r="F96" s="777"/>
      <c r="G96" s="777"/>
      <c r="H96" s="777"/>
    </row>
    <row r="97" spans="1:4" s="9" customFormat="1" ht="12.75">
      <c r="A97" s="1"/>
      <c r="D97" s="5"/>
    </row>
    <row r="98" spans="1:4" s="9" customFormat="1" ht="12.75">
      <c r="A98" s="1"/>
      <c r="D98" s="5"/>
    </row>
    <row r="99" spans="1:4" s="9" customFormat="1" ht="12.75">
      <c r="A99" s="1"/>
      <c r="D99" s="5"/>
    </row>
    <row r="100" spans="1:4" s="9" customFormat="1" ht="12.75">
      <c r="A100" s="1"/>
      <c r="D100" s="5"/>
    </row>
    <row r="101" spans="1:4" s="9" customFormat="1" ht="12.75">
      <c r="A101" s="1"/>
      <c r="D101" s="5"/>
    </row>
    <row r="102" spans="1:4" s="9" customFormat="1" ht="12.75">
      <c r="A102" s="1"/>
      <c r="D102" s="5"/>
    </row>
    <row r="103" spans="1:4" s="9" customFormat="1" ht="12.75">
      <c r="A103" s="1"/>
      <c r="D103" s="5"/>
    </row>
    <row r="104" spans="1:4" s="9" customFormat="1" ht="12.75">
      <c r="A104" s="1"/>
      <c r="D104" s="5"/>
    </row>
    <row r="105" spans="1:4" s="9" customFormat="1" ht="12.75">
      <c r="A105" s="1"/>
      <c r="D105" s="5"/>
    </row>
    <row r="106" spans="1:4" s="9" customFormat="1" ht="12.75">
      <c r="A106" s="1"/>
      <c r="D106" s="5"/>
    </row>
    <row r="107" spans="1:9" s="2" customFormat="1" ht="12.75">
      <c r="A107" s="1" t="s">
        <v>0</v>
      </c>
      <c r="C107" s="2" t="s">
        <v>1</v>
      </c>
      <c r="D107" s="2" t="s">
        <v>2</v>
      </c>
      <c r="E107" s="2" t="s">
        <v>3</v>
      </c>
      <c r="F107" s="2" t="s">
        <v>4</v>
      </c>
      <c r="G107" s="2" t="s">
        <v>5</v>
      </c>
      <c r="H107" s="2" t="s">
        <v>6</v>
      </c>
      <c r="I107" s="2" t="s">
        <v>7</v>
      </c>
    </row>
    <row r="108" spans="1:9" s="2" customFormat="1" ht="12.75">
      <c r="A108" s="1" t="s">
        <v>8</v>
      </c>
      <c r="C108" s="3" t="s">
        <v>9</v>
      </c>
      <c r="D108" s="3" t="s">
        <v>10</v>
      </c>
      <c r="E108" s="3" t="s">
        <v>11</v>
      </c>
      <c r="F108" s="3" t="s">
        <v>12</v>
      </c>
      <c r="G108" s="3" t="s">
        <v>13</v>
      </c>
      <c r="H108" s="3" t="s">
        <v>14</v>
      </c>
      <c r="I108" s="3" t="s">
        <v>15</v>
      </c>
    </row>
    <row r="109" spans="2:9" ht="12.75">
      <c r="B109" s="4" t="s">
        <v>43</v>
      </c>
      <c r="C109" s="11"/>
      <c r="D109" s="11"/>
      <c r="E109" s="11"/>
      <c r="F109" s="11"/>
      <c r="G109" s="11"/>
      <c r="H109" s="11"/>
      <c r="I109" s="11"/>
    </row>
    <row r="110" spans="2:9" ht="12.75">
      <c r="B110" s="5" t="str">
        <f>UPPER(CHOOSE(Base1_Billing2,$N$9,$N$10))&amp;" REVENUE"</f>
        <v>BASE TARIFF REVENUE</v>
      </c>
      <c r="C110" s="11"/>
      <c r="D110" s="11"/>
      <c r="E110" s="11"/>
      <c r="F110" s="11"/>
      <c r="G110" s="11"/>
      <c r="H110" s="11"/>
      <c r="I110" s="11"/>
    </row>
    <row r="111" spans="2:9" ht="12.75">
      <c r="B111" s="89" t="s">
        <v>33</v>
      </c>
      <c r="C111" s="11">
        <f aca="true" t="shared" si="18" ref="C111:C122">SUM(D111:I111)</f>
        <v>32001513</v>
      </c>
      <c r="D111" s="11">
        <f ca="1">D25*D59</f>
        <v>23575653</v>
      </c>
      <c r="E111" s="11">
        <f ca="1">E25*E59</f>
        <v>7836020</v>
      </c>
      <c r="F111" s="11"/>
      <c r="G111" s="11"/>
      <c r="H111" s="11">
        <f ca="1">H25*H59</f>
        <v>589840</v>
      </c>
      <c r="I111" s="11"/>
    </row>
    <row r="112" spans="2:9" ht="12.75">
      <c r="B112" s="89" t="s">
        <v>34</v>
      </c>
      <c r="C112" s="12">
        <f t="shared" si="18"/>
        <v>0</v>
      </c>
      <c r="D112" s="12"/>
      <c r="E112" s="12"/>
      <c r="F112" s="12"/>
      <c r="G112" s="12"/>
      <c r="H112" s="12"/>
      <c r="I112" s="12"/>
    </row>
    <row r="113" spans="2:9" ht="12.75">
      <c r="B113" s="89" t="s">
        <v>18</v>
      </c>
      <c r="C113" s="12">
        <f ca="1" t="shared" si="18"/>
        <v>288318686.73</v>
      </c>
      <c r="D113" s="12">
        <f aca="true" t="shared" si="19" ref="D113:H115">ROUND(D8*D62/100,2)</f>
        <v>132292800.93</v>
      </c>
      <c r="E113" s="12">
        <f ca="1" t="shared" si="19"/>
        <v>50948519.78</v>
      </c>
      <c r="F113" s="12">
        <f ca="1" t="shared" si="19"/>
        <v>92664763.29</v>
      </c>
      <c r="G113" s="12">
        <f ca="1">ROUND(G8*G62/100,2)</f>
        <v>7596900</v>
      </c>
      <c r="H113" s="12">
        <f ca="1" t="shared" si="19"/>
        <v>4815702.73</v>
      </c>
      <c r="I113" s="12"/>
    </row>
    <row r="114" spans="2:9" ht="12.75">
      <c r="B114" s="89" t="s">
        <v>19</v>
      </c>
      <c r="C114" s="12">
        <f ca="1" t="shared" si="18"/>
        <v>108621977.98</v>
      </c>
      <c r="D114" s="12">
        <f ca="1" t="shared" si="19"/>
        <v>47564180.01</v>
      </c>
      <c r="E114" s="12">
        <f ca="1" t="shared" si="19"/>
        <v>16413075.07</v>
      </c>
      <c r="F114" s="12">
        <f ca="1" t="shared" si="19"/>
        <v>9859354.12</v>
      </c>
      <c r="G114" s="12">
        <f ca="1" t="shared" si="19"/>
        <v>27966829.54</v>
      </c>
      <c r="H114" s="12">
        <f ca="1" t="shared" si="19"/>
        <v>6818539.24</v>
      </c>
      <c r="I114" s="12"/>
    </row>
    <row r="115" spans="2:9" ht="12.75">
      <c r="B115" s="89" t="s">
        <v>20</v>
      </c>
      <c r="C115" s="12">
        <f ca="1" t="shared" si="18"/>
        <v>49287440.65</v>
      </c>
      <c r="D115" s="12">
        <f ca="1">ROUND(D10*D64/100,2)</f>
        <v>33056492.53</v>
      </c>
      <c r="E115" s="12"/>
      <c r="F115" s="12"/>
      <c r="G115" s="12">
        <f ca="1" t="shared" si="19"/>
        <v>16230948.12</v>
      </c>
      <c r="H115" s="12"/>
      <c r="I115" s="12"/>
    </row>
    <row r="116" spans="2:9" ht="12.75">
      <c r="B116" s="89" t="s">
        <v>21</v>
      </c>
      <c r="C116" s="12">
        <f t="shared" si="18"/>
        <v>0</v>
      </c>
      <c r="D116" s="12"/>
      <c r="E116" s="12"/>
      <c r="F116" s="12"/>
      <c r="G116" s="12"/>
      <c r="H116" s="12"/>
      <c r="I116" s="12"/>
    </row>
    <row r="117" spans="2:9" ht="12.75">
      <c r="B117" s="89" t="s">
        <v>40</v>
      </c>
      <c r="C117" s="12">
        <f ca="1" t="shared" si="18"/>
        <v>21076950</v>
      </c>
      <c r="D117" s="12"/>
      <c r="E117" s="12"/>
      <c r="F117" s="12">
        <f ca="1">F25*F69</f>
        <v>12617550</v>
      </c>
      <c r="G117" s="12">
        <f ca="1">G25*G69</f>
        <v>8459400</v>
      </c>
      <c r="H117" s="12"/>
      <c r="I117" s="12"/>
    </row>
    <row r="118" spans="2:9" ht="12.75">
      <c r="B118" s="89" t="s">
        <v>41</v>
      </c>
      <c r="C118" s="12">
        <f ca="1" t="shared" si="18"/>
        <v>32216778.03573077</v>
      </c>
      <c r="D118" s="12"/>
      <c r="E118" s="12">
        <f ca="1">E27*E70</f>
        <v>3068155.838461539</v>
      </c>
      <c r="F118" s="12">
        <f ca="1">F27*F70</f>
        <v>18536249.210769232</v>
      </c>
      <c r="G118" s="12">
        <f ca="1">G27*G70</f>
        <v>10612372.9865</v>
      </c>
      <c r="H118" s="12"/>
      <c r="I118" s="12"/>
    </row>
    <row r="119" spans="1:9" ht="12.75">
      <c r="A119" s="343" t="s">
        <v>834</v>
      </c>
      <c r="B119" s="89" t="s">
        <v>211</v>
      </c>
      <c r="C119" s="12">
        <f t="shared" si="18"/>
        <v>126292.44</v>
      </c>
      <c r="D119" s="12"/>
      <c r="E119" s="539">
        <f>'Bill Determ'!G17*0.5</f>
        <v>0</v>
      </c>
      <c r="F119" s="539">
        <f>('Bill Determ'!G28)*0.5</f>
        <v>126292.44</v>
      </c>
      <c r="G119" s="539"/>
      <c r="H119" s="539">
        <f>'Bill Determ'!G41*0.5</f>
        <v>0</v>
      </c>
      <c r="I119" s="112"/>
    </row>
    <row r="120" spans="1:9" ht="12.75">
      <c r="A120" s="343" t="s">
        <v>835</v>
      </c>
      <c r="B120" s="89" t="s">
        <v>212</v>
      </c>
      <c r="C120" s="12">
        <f t="shared" si="18"/>
        <v>-1683452.7991</v>
      </c>
      <c r="D120" s="12"/>
      <c r="E120" s="112"/>
      <c r="F120" s="539">
        <f>'REVRUNS 12ME1219'!P360+'REVRUNS 12ME1219'!P367</f>
        <v>-65169.21000000001</v>
      </c>
      <c r="G120" s="112">
        <f>'WA Sch 25'!P116</f>
        <v>-1618283.5891</v>
      </c>
      <c r="H120" s="112"/>
      <c r="I120" s="112"/>
    </row>
    <row r="121" spans="1:9" ht="12.75">
      <c r="A121" s="338"/>
      <c r="B121" s="89" t="s">
        <v>213</v>
      </c>
      <c r="C121" s="12">
        <f t="shared" si="18"/>
        <v>0</v>
      </c>
      <c r="D121" s="12"/>
      <c r="E121" s="112"/>
      <c r="F121" s="112"/>
      <c r="G121" s="112">
        <f>'WA Sch 25'!T147</f>
        <v>0</v>
      </c>
      <c r="H121" s="112"/>
      <c r="I121" s="112"/>
    </row>
    <row r="122" spans="1:9" ht="12.75">
      <c r="A122" s="339" t="s">
        <v>836</v>
      </c>
      <c r="B122" s="89" t="s">
        <v>214</v>
      </c>
      <c r="C122" s="104">
        <f t="shared" si="18"/>
        <v>6628562.281992</v>
      </c>
      <c r="D122" s="248"/>
      <c r="E122" s="249"/>
      <c r="F122" s="249"/>
      <c r="G122" s="249"/>
      <c r="H122" s="249"/>
      <c r="I122" s="250">
        <f>'Lighting summary'!D19</f>
        <v>6628562.281992</v>
      </c>
    </row>
    <row r="123" spans="3:9" ht="12.75">
      <c r="C123" s="11"/>
      <c r="D123" s="11"/>
      <c r="E123" s="11"/>
      <c r="F123" s="11"/>
      <c r="G123" s="11"/>
      <c r="H123" s="11"/>
      <c r="I123" s="11"/>
    </row>
    <row r="124" spans="2:9" ht="12.75">
      <c r="B124" s="5" t="s">
        <v>23</v>
      </c>
      <c r="C124" s="11">
        <f ca="1">IF(ROUND(SUM(C111:C122),3)&lt;&gt;ROUND(SUM(D124:I124),3),#VALUE!,SUM(D124:I124))</f>
        <v>536594748.31862277</v>
      </c>
      <c r="D124" s="11">
        <f aca="true" t="shared" si="20" ref="D124:I124">SUM(D111:D122)</f>
        <v>236489126.47</v>
      </c>
      <c r="E124" s="11">
        <f ca="1" t="shared" si="20"/>
        <v>78265770.68846153</v>
      </c>
      <c r="F124" s="11">
        <f ca="1" t="shared" si="20"/>
        <v>133739039.85076925</v>
      </c>
      <c r="G124" s="11">
        <f ca="1" t="shared" si="20"/>
        <v>69248167.05739999</v>
      </c>
      <c r="H124" s="11">
        <f ca="1" t="shared" si="20"/>
        <v>12224081.97</v>
      </c>
      <c r="I124" s="11">
        <f t="shared" si="20"/>
        <v>6628562.281992</v>
      </c>
    </row>
    <row r="125" spans="2:9" ht="12.75">
      <c r="B125" s="88"/>
      <c r="C125" s="104">
        <f ca="1">SUM(D125:I125)</f>
        <v>0</v>
      </c>
      <c r="D125" s="104">
        <f ca="1">ROUND(D15*D67/100,2)</f>
        <v>0</v>
      </c>
      <c r="E125" s="104">
        <f ca="1">ROUND(E15*E67/100,2)</f>
        <v>0</v>
      </c>
      <c r="F125" s="104">
        <f ca="1">ROUND(F15*F67/100,2)</f>
        <v>0</v>
      </c>
      <c r="G125" s="104">
        <f ca="1">ROUND(G15*G63/100,2)</f>
        <v>0</v>
      </c>
      <c r="H125" s="104">
        <f ca="1">ROUND(H15*H67/100,2)</f>
        <v>0</v>
      </c>
      <c r="I125" s="104"/>
    </row>
    <row r="126" spans="3:9" ht="12.75">
      <c r="C126" s="11"/>
      <c r="D126" s="11"/>
      <c r="E126" s="11"/>
      <c r="F126" s="11"/>
      <c r="G126" s="11"/>
      <c r="H126" s="11"/>
      <c r="I126" s="11"/>
    </row>
    <row r="127" spans="2:9" ht="12.75">
      <c r="B127" s="5" t="s">
        <v>23</v>
      </c>
      <c r="C127" s="11">
        <f ca="1">SUM(D127:I127)</f>
        <v>536594748.31862277</v>
      </c>
      <c r="D127" s="11">
        <f aca="true" t="shared" si="21" ref="D127:I127">D124+D125</f>
        <v>236489126.47</v>
      </c>
      <c r="E127" s="11">
        <f ca="1" t="shared" si="21"/>
        <v>78265770.68846153</v>
      </c>
      <c r="F127" s="11">
        <f ca="1" t="shared" si="21"/>
        <v>133739039.85076925</v>
      </c>
      <c r="G127" s="11">
        <f ca="1" t="shared" si="21"/>
        <v>69248167.05739999</v>
      </c>
      <c r="H127" s="11">
        <f ca="1" t="shared" si="21"/>
        <v>12224081.97</v>
      </c>
      <c r="I127" s="11">
        <f t="shared" si="21"/>
        <v>6628562.281992</v>
      </c>
    </row>
    <row r="128" spans="2:9" ht="12.75">
      <c r="B128" s="5" t="s">
        <v>44</v>
      </c>
      <c r="C128" s="104">
        <f ca="1">SUM(D128:I128)</f>
        <v>0</v>
      </c>
      <c r="D128" s="104">
        <f aca="true" t="shared" si="22" ref="D128:I128">ROUND(D18*D67/100,2)</f>
        <v>0</v>
      </c>
      <c r="E128" s="104">
        <f ca="1" t="shared" si="22"/>
        <v>0</v>
      </c>
      <c r="F128" s="104">
        <f ca="1" t="shared" si="22"/>
        <v>0</v>
      </c>
      <c r="G128" s="104">
        <f t="shared" si="22"/>
        <v>0</v>
      </c>
      <c r="H128" s="104">
        <f ca="1" t="shared" si="22"/>
        <v>0</v>
      </c>
      <c r="I128" s="104">
        <f t="shared" si="22"/>
        <v>0</v>
      </c>
    </row>
    <row r="129" spans="3:9" ht="12.75">
      <c r="C129" s="11"/>
      <c r="D129" s="11"/>
      <c r="E129" s="11"/>
      <c r="F129" s="11"/>
      <c r="G129" s="11"/>
      <c r="H129" s="11"/>
      <c r="I129" s="11"/>
    </row>
    <row r="130" spans="2:9" ht="12.75">
      <c r="B130" s="5" t="str">
        <f>"TOTAL "&amp;UPPER(CHOOSE(Base1_Billing2,$N$9,$N$10))&amp;" REVENUE"</f>
        <v>TOTAL BASE TARIFF REVENUE</v>
      </c>
      <c r="C130" s="11">
        <f ca="1">IF(ROUND(SUM(D130:I130),3)&lt;&gt;ROUND(SUM(C127:C128),3),#VALUE!,SUM(D130:I130))</f>
        <v>536594748.31862277</v>
      </c>
      <c r="D130" s="11">
        <f aca="true" t="shared" si="23" ref="D130:I130">D127+D128</f>
        <v>236489126.47</v>
      </c>
      <c r="E130" s="11">
        <f ca="1" t="shared" si="23"/>
        <v>78265770.68846153</v>
      </c>
      <c r="F130" s="11">
        <f ca="1" t="shared" si="23"/>
        <v>133739039.85076925</v>
      </c>
      <c r="G130" s="11">
        <f ca="1" t="shared" si="23"/>
        <v>69248167.05739999</v>
      </c>
      <c r="H130" s="11">
        <f ca="1" t="shared" si="23"/>
        <v>12224081.97</v>
      </c>
      <c r="I130" s="11">
        <f t="shared" si="23"/>
        <v>6628562.281992</v>
      </c>
    </row>
    <row r="131" spans="3:9" ht="12.75">
      <c r="C131" s="11"/>
      <c r="D131" s="11"/>
      <c r="E131" s="11"/>
      <c r="F131" s="11"/>
      <c r="G131" s="11"/>
      <c r="H131" s="11"/>
      <c r="I131" s="11"/>
    </row>
    <row r="132" spans="2:9" ht="12.75">
      <c r="B132" s="5" t="s">
        <v>45</v>
      </c>
      <c r="C132" s="11"/>
      <c r="D132" s="11"/>
      <c r="E132" s="11"/>
      <c r="F132" s="11"/>
      <c r="G132" s="11"/>
      <c r="H132" s="11"/>
      <c r="I132" s="11"/>
    </row>
    <row r="133" spans="2:16" ht="12.75">
      <c r="B133" s="193" t="s">
        <v>46</v>
      </c>
      <c r="C133" s="11"/>
      <c r="D133" s="11"/>
      <c r="E133" s="11"/>
      <c r="F133" s="11"/>
      <c r="G133" s="11"/>
      <c r="H133" s="11"/>
      <c r="I133" s="11"/>
      <c r="L133" s="450">
        <f>D8/$D$14</f>
        <v>0.6701404641314925</v>
      </c>
      <c r="N133" s="8">
        <f>$D$134*L133</f>
        <v>-3298050.0545311156</v>
      </c>
      <c r="P133" s="451">
        <f ca="1">N133*(D62/100)</f>
        <v>-267240.9959186563</v>
      </c>
    </row>
    <row r="134" spans="1:16" s="12" customFormat="1" ht="12.75">
      <c r="A134" s="340" t="s">
        <v>837</v>
      </c>
      <c r="B134" s="90" t="s">
        <v>437</v>
      </c>
      <c r="C134" s="12">
        <f>SUM(D134:I134)</f>
        <v>-9617800</v>
      </c>
      <c r="D134" s="539">
        <f>'REVRUNS 12ME1219'!P322</f>
        <v>-4921431</v>
      </c>
      <c r="E134" s="539">
        <f>'REVRUNS 12ME1219'!P323</f>
        <v>-1087941</v>
      </c>
      <c r="F134" s="539">
        <f>'REVRUNS 12ME1219'!P324</f>
        <v>-3671502</v>
      </c>
      <c r="G134" s="539"/>
      <c r="H134" s="539">
        <f>'REVRUNS 12ME1219'!P326</f>
        <v>63074</v>
      </c>
      <c r="I134" s="387"/>
      <c r="L134" s="450">
        <f>D9/$D$14</f>
        <v>0.20710089536472007</v>
      </c>
      <c r="M134" s="5"/>
      <c r="N134" s="8">
        <f>$D$134*L134</f>
        <v>-1019232.7665756897</v>
      </c>
      <c r="O134" s="5"/>
      <c r="P134" s="451">
        <f ca="1">N134*(D63/100)</f>
        <v>-96083.07290509026</v>
      </c>
    </row>
    <row r="135" spans="1:16" s="10" customFormat="1" ht="12.75">
      <c r="A135" s="342" t="s">
        <v>838</v>
      </c>
      <c r="B135" s="91" t="s">
        <v>438</v>
      </c>
      <c r="D135" s="10">
        <f ca="1">D67</f>
        <v>8.739339575125635</v>
      </c>
      <c r="E135" s="10">
        <f ca="1">E67</f>
        <v>10.74183989162527</v>
      </c>
      <c r="F135" s="10">
        <f ca="1">F67</f>
        <v>7.450723725955294</v>
      </c>
      <c r="H135" s="194">
        <f ca="1">H67</f>
        <v>8.3363741166074</v>
      </c>
      <c r="L135" s="455">
        <f>D10/$D$14</f>
        <v>0.12275864050378736</v>
      </c>
      <c r="M135" s="12"/>
      <c r="N135" s="453">
        <f>$D$134*L135</f>
        <v>-604148.1788931948</v>
      </c>
      <c r="O135" s="106"/>
      <c r="P135" s="454">
        <f ca="1">N135*(D64/100)</f>
        <v>-66776.49821306481</v>
      </c>
    </row>
    <row r="136" spans="1:16" s="11" customFormat="1" ht="12.75">
      <c r="A136" s="342"/>
      <c r="B136" s="92" t="s">
        <v>439</v>
      </c>
      <c r="C136" s="11">
        <f ca="1">SUM(D136:I136)</f>
        <v>-815260.84</v>
      </c>
      <c r="D136" s="195">
        <f ca="1">ROUND(D134*D135/100,2)</f>
        <v>-430100.57</v>
      </c>
      <c r="E136" s="195">
        <f ca="1">ROUND(E134*E135/100,2)</f>
        <v>-116864.88</v>
      </c>
      <c r="F136" s="195">
        <f ca="1">ROUND(F134*F135/100,2)</f>
        <v>-273553.47</v>
      </c>
      <c r="G136" s="195"/>
      <c r="H136" s="195">
        <f ca="1">ROUND(H134*H135/100,2)</f>
        <v>5258.08</v>
      </c>
      <c r="I136" s="195"/>
      <c r="L136" s="450">
        <f>SUM(L133:L135)</f>
        <v>1</v>
      </c>
      <c r="M136" s="10"/>
      <c r="N136" s="8">
        <f>SUM(N133:N135)</f>
        <v>-4921431</v>
      </c>
      <c r="O136" s="10"/>
      <c r="P136" s="451">
        <f ca="1">SUM(P133:P135)</f>
        <v>-430100.5670368113</v>
      </c>
    </row>
    <row r="137" spans="1:2" s="11" customFormat="1" ht="12.75">
      <c r="A137" s="342"/>
      <c r="B137" s="92"/>
    </row>
    <row r="138" spans="1:9" s="8" customFormat="1" ht="11.25" customHeight="1">
      <c r="A138" s="342" t="s">
        <v>839</v>
      </c>
      <c r="B138" s="92" t="s">
        <v>215</v>
      </c>
      <c r="C138" s="108">
        <f>SUM(D138:I138)</f>
        <v>0</v>
      </c>
      <c r="D138" s="324">
        <v>0</v>
      </c>
      <c r="E138" s="324">
        <v>0</v>
      </c>
      <c r="F138" s="324">
        <v>0</v>
      </c>
      <c r="G138" s="109"/>
      <c r="H138" s="109"/>
      <c r="I138" s="109"/>
    </row>
    <row r="139" spans="1:6" s="10" customFormat="1" ht="11.25" customHeight="1">
      <c r="A139" s="342" t="s">
        <v>838</v>
      </c>
      <c r="B139" s="91" t="s">
        <v>216</v>
      </c>
      <c r="D139" s="194">
        <f ca="1">I226</f>
        <v>9.774612048828981</v>
      </c>
      <c r="E139" s="194">
        <f ca="1">I245</f>
        <v>8.588</v>
      </c>
      <c r="F139" s="10">
        <f ca="1">G278</f>
        <v>7.1628323614999605</v>
      </c>
    </row>
    <row r="140" spans="1:9" s="11" customFormat="1" ht="11.25" customHeight="1">
      <c r="A140" s="342"/>
      <c r="B140" s="92" t="s">
        <v>217</v>
      </c>
      <c r="C140" s="11">
        <f ca="1">SUM(D140:I140)</f>
        <v>0</v>
      </c>
      <c r="D140" s="197">
        <f ca="1">ROUND(D138*D139/100,2)</f>
        <v>0</v>
      </c>
      <c r="E140" s="197">
        <f ca="1">ROUND(E138*E139/100,2)</f>
        <v>0</v>
      </c>
      <c r="F140" s="197">
        <f ca="1">ROUND(F138*F139/100,2)</f>
        <v>0</v>
      </c>
      <c r="G140" s="195"/>
      <c r="H140" s="195"/>
      <c r="I140" s="195"/>
    </row>
    <row r="141" spans="1:5" s="11" customFormat="1" ht="11.25" customHeight="1">
      <c r="A141" s="342"/>
      <c r="B141" s="92"/>
      <c r="D141" s="113"/>
      <c r="E141" s="113"/>
    </row>
    <row r="142" spans="1:9" s="7" customFormat="1" ht="12.75">
      <c r="A142" s="340" t="s">
        <v>837</v>
      </c>
      <c r="B142" s="93" t="s">
        <v>218</v>
      </c>
      <c r="C142" s="12">
        <f>IF(ROUND(C134+C138,3)&lt;&gt;ROUND(SUM(D142:I142),3),#VALUE!,C134+C138)</f>
        <v>-9617800</v>
      </c>
      <c r="D142" s="112">
        <f>D134+D138</f>
        <v>-4921431</v>
      </c>
      <c r="E142" s="112">
        <f>E134+E138</f>
        <v>-1087941</v>
      </c>
      <c r="F142" s="12">
        <f>F134+F138</f>
        <v>-3671502</v>
      </c>
      <c r="G142" s="12"/>
      <c r="H142" s="12">
        <f>H134+H138</f>
        <v>63074</v>
      </c>
      <c r="I142" s="12">
        <f>I134+I138</f>
        <v>0</v>
      </c>
    </row>
    <row r="143" spans="1:8" s="11" customFormat="1" ht="12.75">
      <c r="A143" s="342"/>
      <c r="B143" s="92" t="s">
        <v>219</v>
      </c>
      <c r="C143" s="11">
        <f ca="1">IF(ROUND(C136+C140,3)&lt;&gt;ROUND(SUM(D143:I143),3),#VALUE!,C136+C140)</f>
        <v>-815260.84</v>
      </c>
      <c r="D143" s="113">
        <f ca="1">D136+D140</f>
        <v>-430100.57</v>
      </c>
      <c r="E143" s="113">
        <f ca="1">E136+E140</f>
        <v>-116864.88</v>
      </c>
      <c r="F143" s="11">
        <f ca="1">F136+F140</f>
        <v>-273553.47</v>
      </c>
      <c r="H143" s="11">
        <f ca="1">H136+H140</f>
        <v>5258.08</v>
      </c>
    </row>
    <row r="144" spans="1:9" ht="12.75">
      <c r="A144" s="341"/>
      <c r="B144" s="193" t="s">
        <v>47</v>
      </c>
      <c r="C144" s="11"/>
      <c r="D144" s="113"/>
      <c r="E144" s="113"/>
      <c r="F144" s="11"/>
      <c r="G144" s="11"/>
      <c r="H144" s="11"/>
      <c r="I144" s="11"/>
    </row>
    <row r="145" spans="1:9" s="8" customFormat="1" ht="12.75">
      <c r="A145" s="340" t="s">
        <v>839</v>
      </c>
      <c r="B145" s="91" t="s">
        <v>215</v>
      </c>
      <c r="C145" s="8">
        <f>SUM(D145:I145)</f>
        <v>-42754825</v>
      </c>
      <c r="D145" s="774">
        <v>-35858069</v>
      </c>
      <c r="E145" s="774">
        <v>-4109408</v>
      </c>
      <c r="F145" s="774">
        <v>-2787348</v>
      </c>
      <c r="G145" s="617"/>
      <c r="H145" s="617"/>
      <c r="I145" s="100"/>
    </row>
    <row r="146" spans="1:6" s="10" customFormat="1" ht="12.75">
      <c r="A146" s="342" t="s">
        <v>838</v>
      </c>
      <c r="B146" s="91" t="s">
        <v>216</v>
      </c>
      <c r="C146" s="18"/>
      <c r="D146" s="10">
        <f ca="1">I226</f>
        <v>9.774612048828981</v>
      </c>
      <c r="E146" s="10">
        <f ca="1">I245</f>
        <v>8.588</v>
      </c>
      <c r="F146" s="10">
        <f ca="1">G278</f>
        <v>7.1628323614999605</v>
      </c>
    </row>
    <row r="147" spans="1:9" s="11" customFormat="1" ht="12.75">
      <c r="A147" s="1"/>
      <c r="B147" s="92" t="s">
        <v>217</v>
      </c>
      <c r="C147" s="11">
        <f ca="1">SUM(D147:I147)</f>
        <v>-4057556.15</v>
      </c>
      <c r="D147" s="195">
        <f ca="1">ROUND(D145*D146/100,2)</f>
        <v>-3504987.13</v>
      </c>
      <c r="E147" s="195">
        <f ca="1">ROUND(E145*E146/100,2)</f>
        <v>-352915.96</v>
      </c>
      <c r="F147" s="195">
        <f ca="1">ROUND(F145*F146/100,2)</f>
        <v>-199653.06</v>
      </c>
      <c r="G147" s="195"/>
      <c r="H147" s="195"/>
      <c r="I147" s="195"/>
    </row>
    <row r="148" spans="3:9" ht="12.75">
      <c r="C148" s="11"/>
      <c r="D148" s="11"/>
      <c r="E148" s="11"/>
      <c r="F148" s="11"/>
      <c r="G148" s="11"/>
      <c r="H148" s="11"/>
      <c r="I148" s="11"/>
    </row>
    <row r="149" spans="2:9" ht="12.75">
      <c r="B149" s="5" t="s">
        <v>48</v>
      </c>
      <c r="C149" s="11">
        <f ca="1">IF(ROUND(C143+C147,3)&lt;&gt;ROUND(SUM(D149:I149),3),#VALUE!,C143+C147)</f>
        <v>-4872816.99</v>
      </c>
      <c r="D149" s="11">
        <f ca="1">D147+D143</f>
        <v>-3935087.6999999997</v>
      </c>
      <c r="E149" s="11">
        <f ca="1">E147+E143</f>
        <v>-469780.84</v>
      </c>
      <c r="F149" s="11">
        <f ca="1">F147+F143</f>
        <v>-473206.52999999997</v>
      </c>
      <c r="G149" s="11"/>
      <c r="H149" s="11">
        <f ca="1">H147+H143</f>
        <v>5258.08</v>
      </c>
      <c r="I149" s="11"/>
    </row>
    <row r="150" spans="2:9" ht="12.75">
      <c r="B150" s="5" t="str">
        <f>B130</f>
        <v>TOTAL BASE TARIFF REVENUE</v>
      </c>
      <c r="C150" s="12">
        <f aca="true" t="shared" si="24" ref="C150:I150">C130</f>
        <v>536594748.31862277</v>
      </c>
      <c r="D150" s="12">
        <f ca="1" t="shared" si="24"/>
        <v>236489126.47</v>
      </c>
      <c r="E150" s="12">
        <f ca="1" t="shared" si="24"/>
        <v>78265770.68846153</v>
      </c>
      <c r="F150" s="12">
        <f ca="1" t="shared" si="24"/>
        <v>133739039.85076925</v>
      </c>
      <c r="G150" s="12">
        <f ca="1" t="shared" si="24"/>
        <v>69248167.05739999</v>
      </c>
      <c r="H150" s="12">
        <f ca="1" t="shared" si="24"/>
        <v>12224081.97</v>
      </c>
      <c r="I150" s="12">
        <f t="shared" si="24"/>
        <v>6628562.281992</v>
      </c>
    </row>
    <row r="151" spans="3:9" ht="12.75">
      <c r="C151" s="195"/>
      <c r="D151" s="195"/>
      <c r="E151" s="195"/>
      <c r="F151" s="195"/>
      <c r="G151" s="195"/>
      <c r="H151" s="195"/>
      <c r="I151" s="195"/>
    </row>
    <row r="152" spans="2:9" ht="12.75">
      <c r="B152" s="5" t="s">
        <v>49</v>
      </c>
      <c r="C152" s="11">
        <f ca="1">IF(ROUND(C149+C150,3)&lt;&gt;ROUND(SUM(D152:I152),3),#VALUE!,SUM(D152:I152))</f>
        <v>531721931.3286228</v>
      </c>
      <c r="D152" s="11">
        <f aca="true" t="shared" si="25" ref="D152:I152">D149+D150</f>
        <v>232554038.77</v>
      </c>
      <c r="E152" s="11">
        <f ca="1" t="shared" si="25"/>
        <v>77795989.84846152</v>
      </c>
      <c r="F152" s="11">
        <f ca="1" t="shared" si="25"/>
        <v>133265833.32076925</v>
      </c>
      <c r="G152" s="11">
        <f ca="1" t="shared" si="25"/>
        <v>69248167.05739999</v>
      </c>
      <c r="H152" s="11">
        <f ca="1" t="shared" si="25"/>
        <v>12229340.05</v>
      </c>
      <c r="I152" s="11">
        <f t="shared" si="25"/>
        <v>6628562.281992</v>
      </c>
    </row>
    <row r="153" spans="3:9" ht="12.75">
      <c r="C153" s="11"/>
      <c r="D153" s="11"/>
      <c r="E153" s="220"/>
      <c r="F153" s="11"/>
      <c r="G153" s="11"/>
      <c r="H153" s="11"/>
      <c r="I153" s="11"/>
    </row>
    <row r="154" spans="3:9" ht="12.75">
      <c r="C154" s="11"/>
      <c r="D154" s="11"/>
      <c r="E154" s="11"/>
      <c r="F154" s="11"/>
      <c r="G154" s="11"/>
      <c r="H154" s="11"/>
      <c r="I154" s="11"/>
    </row>
    <row r="155" spans="3:9" ht="12.75">
      <c r="C155" s="677"/>
      <c r="D155" s="11"/>
      <c r="E155" s="11"/>
      <c r="F155" s="11"/>
      <c r="G155" s="11"/>
      <c r="H155" s="11"/>
      <c r="I155" s="11"/>
    </row>
    <row r="156" spans="3:9" ht="12.75">
      <c r="C156" s="11"/>
      <c r="D156" s="11"/>
      <c r="E156" s="11"/>
      <c r="F156" s="11"/>
      <c r="G156" s="11"/>
      <c r="H156" s="11"/>
      <c r="I156" s="11"/>
    </row>
    <row r="157" spans="3:9" ht="12.75">
      <c r="C157" s="11"/>
      <c r="D157" s="11"/>
      <c r="E157" s="11"/>
      <c r="F157" s="11"/>
      <c r="G157" s="11"/>
      <c r="H157" s="11"/>
      <c r="I157" s="11"/>
    </row>
    <row r="158" spans="3:9" ht="12.75">
      <c r="C158" s="11"/>
      <c r="D158" s="11"/>
      <c r="E158" s="11"/>
      <c r="F158" s="11"/>
      <c r="G158" s="11"/>
      <c r="H158" s="11"/>
      <c r="I158" s="11"/>
    </row>
    <row r="159" spans="3:9" ht="12.75">
      <c r="C159" s="11"/>
      <c r="D159" s="11"/>
      <c r="E159" s="11"/>
      <c r="F159" s="11"/>
      <c r="G159" s="11"/>
      <c r="H159" s="11"/>
      <c r="I159" s="11"/>
    </row>
    <row r="160" spans="1:9" s="2" customFormat="1" ht="12.75">
      <c r="A160" s="1" t="s">
        <v>0</v>
      </c>
      <c r="C160" s="2" t="s">
        <v>1</v>
      </c>
      <c r="D160" s="2" t="s">
        <v>2</v>
      </c>
      <c r="E160" s="2" t="s">
        <v>3</v>
      </c>
      <c r="F160" s="2" t="s">
        <v>4</v>
      </c>
      <c r="G160" s="2" t="s">
        <v>5</v>
      </c>
      <c r="H160" s="2" t="s">
        <v>6</v>
      </c>
      <c r="I160" s="2" t="s">
        <v>7</v>
      </c>
    </row>
    <row r="161" spans="1:9" s="2" customFormat="1" ht="12.75">
      <c r="A161" s="1" t="s">
        <v>8</v>
      </c>
      <c r="C161" s="3" t="s">
        <v>9</v>
      </c>
      <c r="D161" s="3" t="s">
        <v>10</v>
      </c>
      <c r="E161" s="3" t="s">
        <v>11</v>
      </c>
      <c r="F161" s="3" t="s">
        <v>12</v>
      </c>
      <c r="G161" s="3" t="s">
        <v>13</v>
      </c>
      <c r="H161" s="3" t="s">
        <v>14</v>
      </c>
      <c r="I161" s="3" t="s">
        <v>15</v>
      </c>
    </row>
    <row r="162" spans="2:9" ht="12.75">
      <c r="B162" s="4" t="s">
        <v>50</v>
      </c>
      <c r="C162" s="11"/>
      <c r="D162" s="11"/>
      <c r="E162" s="11"/>
      <c r="F162" s="11"/>
      <c r="G162" s="11"/>
      <c r="H162" s="11"/>
      <c r="I162" s="11"/>
    </row>
    <row r="163" spans="2:9" ht="12.75">
      <c r="B163" s="5" t="str">
        <f>UPPER(CHOOSE(Base1_Billing2,$N$9,$N$10))&amp;" REVENUE"</f>
        <v>BASE TARIFF REVENUE</v>
      </c>
      <c r="C163" s="11"/>
      <c r="D163" s="11"/>
      <c r="E163" s="11"/>
      <c r="F163" s="11"/>
      <c r="G163" s="11"/>
      <c r="H163" s="11"/>
      <c r="I163" s="11"/>
    </row>
    <row r="164" spans="2:9" ht="12.75">
      <c r="B164" s="89" t="s">
        <v>33</v>
      </c>
      <c r="C164" s="11">
        <f aca="true" t="shared" si="26" ref="C164:C175">SUM(D164:I164)</f>
        <v>32001513</v>
      </c>
      <c r="D164" s="11">
        <f ca="1">D48*D76</f>
        <v>23575653</v>
      </c>
      <c r="E164" s="11">
        <f ca="1">E48*E76</f>
        <v>7836020</v>
      </c>
      <c r="F164" s="11"/>
      <c r="G164" s="11"/>
      <c r="H164" s="11">
        <f ca="1">H48*H76</f>
        <v>589840</v>
      </c>
      <c r="I164" s="11"/>
    </row>
    <row r="165" spans="2:9" ht="12.75">
      <c r="B165" s="89" t="s">
        <v>34</v>
      </c>
      <c r="C165" s="12">
        <f t="shared" si="26"/>
        <v>0</v>
      </c>
      <c r="D165" s="12">
        <f>D49*D77</f>
        <v>0</v>
      </c>
      <c r="E165" s="12"/>
      <c r="F165" s="12"/>
      <c r="G165" s="12"/>
      <c r="H165" s="12"/>
      <c r="I165" s="12"/>
    </row>
    <row r="166" spans="2:9" ht="12.75">
      <c r="B166" s="89" t="s">
        <v>18</v>
      </c>
      <c r="C166" s="12">
        <f ca="1" t="shared" si="26"/>
        <v>288318686.73</v>
      </c>
      <c r="D166" s="12">
        <f aca="true" t="shared" si="27" ref="D166:H168">ROUND(D31*D79/100,2)</f>
        <v>132292800.93</v>
      </c>
      <c r="E166" s="12">
        <f ca="1" t="shared" si="27"/>
        <v>50948519.78</v>
      </c>
      <c r="F166" s="12">
        <f ca="1" t="shared" si="27"/>
        <v>92664763.29</v>
      </c>
      <c r="G166" s="12">
        <f ca="1" t="shared" si="27"/>
        <v>7596900</v>
      </c>
      <c r="H166" s="12">
        <f ca="1">ROUND(H31*H79/100,2)</f>
        <v>4815702.73</v>
      </c>
      <c r="I166" s="12"/>
    </row>
    <row r="167" spans="2:9" ht="12.75">
      <c r="B167" s="89" t="s">
        <v>19</v>
      </c>
      <c r="C167" s="12">
        <f ca="1" t="shared" si="26"/>
        <v>108621977.98</v>
      </c>
      <c r="D167" s="12">
        <f ca="1" t="shared" si="27"/>
        <v>47564180.01</v>
      </c>
      <c r="E167" s="12">
        <f ca="1" t="shared" si="27"/>
        <v>16413075.07</v>
      </c>
      <c r="F167" s="12">
        <f ca="1" t="shared" si="27"/>
        <v>9859354.12</v>
      </c>
      <c r="G167" s="12">
        <f ca="1" t="shared" si="27"/>
        <v>27966829.54</v>
      </c>
      <c r="H167" s="12">
        <f ca="1" t="shared" si="27"/>
        <v>6818539.24</v>
      </c>
      <c r="I167" s="12"/>
    </row>
    <row r="168" spans="2:9" ht="12.75">
      <c r="B168" s="89" t="s">
        <v>20</v>
      </c>
      <c r="C168" s="12">
        <f ca="1" t="shared" si="26"/>
        <v>49287440.65</v>
      </c>
      <c r="D168" s="12">
        <f ca="1">ROUND(D33*D81/100,2)</f>
        <v>33056492.53</v>
      </c>
      <c r="E168" s="12"/>
      <c r="F168" s="12"/>
      <c r="G168" s="12">
        <f ca="1" t="shared" si="27"/>
        <v>16230948.12</v>
      </c>
      <c r="H168" s="12"/>
      <c r="I168" s="12"/>
    </row>
    <row r="169" spans="2:9" ht="12.75">
      <c r="B169" s="89" t="s">
        <v>21</v>
      </c>
      <c r="C169" s="12">
        <f t="shared" si="26"/>
        <v>0</v>
      </c>
      <c r="D169" s="12">
        <f>ROUND(D34*D82/100,2)</f>
        <v>0</v>
      </c>
      <c r="E169" s="12"/>
      <c r="F169" s="12"/>
      <c r="G169" s="12"/>
      <c r="H169" s="12"/>
      <c r="I169" s="12"/>
    </row>
    <row r="170" spans="2:9" ht="12.75">
      <c r="B170" s="89" t="s">
        <v>40</v>
      </c>
      <c r="C170" s="12">
        <f ca="1" t="shared" si="26"/>
        <v>21076950</v>
      </c>
      <c r="D170" s="12"/>
      <c r="E170" s="12"/>
      <c r="F170" s="12">
        <f ca="1">ROUND(F48*F86,2)</f>
        <v>12617550</v>
      </c>
      <c r="G170" s="12">
        <f ca="1">ROUND(G48*G86,2)</f>
        <v>8459400</v>
      </c>
      <c r="H170" s="12"/>
      <c r="I170" s="12"/>
    </row>
    <row r="171" spans="2:9" ht="12.75">
      <c r="B171" s="89" t="s">
        <v>41</v>
      </c>
      <c r="C171" s="12">
        <f ca="1" t="shared" si="26"/>
        <v>32216778.04</v>
      </c>
      <c r="D171" s="12"/>
      <c r="E171" s="12">
        <f ca="1">ROUND(E50*E87,2)</f>
        <v>3068155.84</v>
      </c>
      <c r="F171" s="12">
        <f ca="1">ROUND(F50*F87,2)</f>
        <v>18536249.21</v>
      </c>
      <c r="G171" s="12">
        <f ca="1">ROUND(G50*G87,2)</f>
        <v>10612372.99</v>
      </c>
      <c r="H171" s="12"/>
      <c r="I171" s="12"/>
    </row>
    <row r="172" spans="2:9" ht="12.75">
      <c r="B172" s="89" t="s">
        <v>211</v>
      </c>
      <c r="C172" s="12">
        <f t="shared" si="26"/>
        <v>126292.44</v>
      </c>
      <c r="D172" s="12"/>
      <c r="E172" s="12">
        <f>E119</f>
        <v>0</v>
      </c>
      <c r="F172" s="12">
        <f>F119</f>
        <v>126292.44</v>
      </c>
      <c r="G172" s="12"/>
      <c r="H172" s="12">
        <f>H119</f>
        <v>0</v>
      </c>
      <c r="I172" s="12"/>
    </row>
    <row r="173" spans="2:9" ht="12.75">
      <c r="B173" s="89" t="s">
        <v>212</v>
      </c>
      <c r="C173" s="12">
        <f t="shared" si="26"/>
        <v>-1683452.7991</v>
      </c>
      <c r="D173" s="12"/>
      <c r="E173" s="12"/>
      <c r="F173" s="12">
        <f>F120</f>
        <v>-65169.21000000001</v>
      </c>
      <c r="G173" s="112">
        <f>'WA Sch 25'!P121</f>
        <v>-1618283.5891</v>
      </c>
      <c r="H173" s="12"/>
      <c r="I173" s="12"/>
    </row>
    <row r="174" spans="2:9" ht="12.75">
      <c r="B174" s="89" t="s">
        <v>213</v>
      </c>
      <c r="C174" s="12">
        <f t="shared" si="26"/>
        <v>0</v>
      </c>
      <c r="D174" s="12"/>
      <c r="E174" s="12"/>
      <c r="F174" s="12"/>
      <c r="G174" s="12">
        <v>0</v>
      </c>
      <c r="H174" s="12"/>
      <c r="I174" s="12"/>
    </row>
    <row r="175" spans="1:9" ht="12.75">
      <c r="A175" s="343" t="s">
        <v>836</v>
      </c>
      <c r="B175" s="89" t="s">
        <v>214</v>
      </c>
      <c r="C175" s="104">
        <f t="shared" si="26"/>
        <v>6628565.761991999</v>
      </c>
      <c r="D175" s="104"/>
      <c r="E175" s="248"/>
      <c r="F175" s="248"/>
      <c r="G175" s="248"/>
      <c r="H175" s="248"/>
      <c r="I175" s="250">
        <f>'Lighting summary'!G19</f>
        <v>6628565.761991999</v>
      </c>
    </row>
    <row r="176" spans="3:9" ht="12.75">
      <c r="C176" s="11"/>
      <c r="D176" s="11"/>
      <c r="E176" s="11"/>
      <c r="F176" s="11"/>
      <c r="G176" s="11"/>
      <c r="H176" s="11"/>
      <c r="I176" s="11"/>
    </row>
    <row r="177" spans="2:9" ht="12.75">
      <c r="B177" s="5" t="s">
        <v>23</v>
      </c>
      <c r="C177" s="11">
        <f ca="1">IF(ROUND(SUM(C164:C175),3)&lt;&gt;ROUND(SUM(D177:I177),3),#VALUE!,SUM(D177:I177))</f>
        <v>536594751.80289197</v>
      </c>
      <c r="D177" s="11">
        <f aca="true" t="shared" si="28" ref="D177:I177">SUM(D164:D175)</f>
        <v>236489126.47</v>
      </c>
      <c r="E177" s="11">
        <f ca="1" t="shared" si="28"/>
        <v>78265770.69</v>
      </c>
      <c r="F177" s="11">
        <f ca="1" t="shared" si="28"/>
        <v>133739039.85000001</v>
      </c>
      <c r="G177" s="11">
        <f ca="1" t="shared" si="28"/>
        <v>69248167.06089999</v>
      </c>
      <c r="H177" s="11">
        <f ca="1" t="shared" si="28"/>
        <v>12224081.97</v>
      </c>
      <c r="I177" s="11">
        <f t="shared" si="28"/>
        <v>6628565.761991999</v>
      </c>
    </row>
    <row r="178" spans="2:9" ht="12.75">
      <c r="B178" s="88"/>
      <c r="C178" s="104">
        <f ca="1">SUM(D178:I178)</f>
        <v>0</v>
      </c>
      <c r="D178" s="104">
        <f ca="1">ROUND(D38*D84/100,2)</f>
        <v>0</v>
      </c>
      <c r="E178" s="104">
        <f ca="1">ROUND(E38*E84/100,2)</f>
        <v>0</v>
      </c>
      <c r="F178" s="104">
        <f ca="1">ROUND(F38*F84/100,2)</f>
        <v>0</v>
      </c>
      <c r="G178" s="104">
        <f ca="1">ROUND(G38*G80/100,2)</f>
        <v>0</v>
      </c>
      <c r="H178" s="104">
        <f ca="1">ROUND(H38*H84/100,2)</f>
        <v>0</v>
      </c>
      <c r="I178" s="104">
        <v>0</v>
      </c>
    </row>
    <row r="179" spans="3:9" ht="12.75">
      <c r="C179" s="11"/>
      <c r="D179" s="11"/>
      <c r="E179" s="94"/>
      <c r="F179" s="94"/>
      <c r="G179" s="11"/>
      <c r="H179" s="11"/>
      <c r="I179" s="11"/>
    </row>
    <row r="180" spans="2:9" ht="12.75">
      <c r="B180" s="5" t="s">
        <v>23</v>
      </c>
      <c r="C180" s="11">
        <f ca="1">SUM(D180:I180)</f>
        <v>536594751.80289197</v>
      </c>
      <c r="D180" s="11">
        <f aca="true" t="shared" si="29" ref="D180:I180">D177+D178</f>
        <v>236489126.47</v>
      </c>
      <c r="E180" s="11">
        <f ca="1" t="shared" si="29"/>
        <v>78265770.69</v>
      </c>
      <c r="F180" s="11">
        <f ca="1" t="shared" si="29"/>
        <v>133739039.85000001</v>
      </c>
      <c r="G180" s="11">
        <f ca="1" t="shared" si="29"/>
        <v>69248167.06089999</v>
      </c>
      <c r="H180" s="11">
        <f ca="1" t="shared" si="29"/>
        <v>12224081.97</v>
      </c>
      <c r="I180" s="11">
        <f t="shared" si="29"/>
        <v>6628565.761991999</v>
      </c>
    </row>
    <row r="181" spans="2:9" ht="12.75">
      <c r="B181" s="5" t="s">
        <v>44</v>
      </c>
      <c r="C181" s="12">
        <f ca="1">SUM(D181:I181)</f>
        <v>0</v>
      </c>
      <c r="D181" s="12">
        <f aca="true" t="shared" si="30" ref="D181:I181">ROUND(D41*D84/100,2)</f>
        <v>0</v>
      </c>
      <c r="E181" s="12">
        <f ca="1" t="shared" si="30"/>
        <v>0</v>
      </c>
      <c r="F181" s="12">
        <f ca="1" t="shared" si="30"/>
        <v>0</v>
      </c>
      <c r="G181" s="12">
        <f t="shared" si="30"/>
        <v>0</v>
      </c>
      <c r="H181" s="12">
        <f ca="1" t="shared" si="30"/>
        <v>0</v>
      </c>
      <c r="I181" s="12">
        <f t="shared" si="30"/>
        <v>0</v>
      </c>
    </row>
    <row r="182" spans="3:9" ht="12.75">
      <c r="C182" s="195"/>
      <c r="D182" s="195"/>
      <c r="E182" s="195"/>
      <c r="F182" s="195"/>
      <c r="G182" s="195"/>
      <c r="H182" s="195"/>
      <c r="I182" s="195"/>
    </row>
    <row r="183" spans="2:9" ht="12.75">
      <c r="B183" s="5" t="str">
        <f>"SUBTOTAL "&amp;UPPER(CHOOSE(Base1_Billing2,$N$9,$N$10))&amp;" REVENUE"</f>
        <v>SUBTOTAL BASE TARIFF REVENUE</v>
      </c>
      <c r="C183" s="11">
        <f ca="1">IF(ROUND(SUM(D183:I183),3)&lt;&gt;ROUND(SUM(C180:C181),3),#VALUE!,SUM(D183:I183))</f>
        <v>536594751.80289197</v>
      </c>
      <c r="D183" s="11">
        <f aca="true" t="shared" si="31" ref="D183:I183">D180+D181</f>
        <v>236489126.47</v>
      </c>
      <c r="E183" s="11">
        <f ca="1" t="shared" si="31"/>
        <v>78265770.69</v>
      </c>
      <c r="F183" s="11">
        <f ca="1" t="shared" si="31"/>
        <v>133739039.85000001</v>
      </c>
      <c r="G183" s="11">
        <f ca="1" t="shared" si="31"/>
        <v>69248167.06089999</v>
      </c>
      <c r="H183" s="11">
        <f ca="1" t="shared" si="31"/>
        <v>12224081.97</v>
      </c>
      <c r="I183" s="11">
        <f t="shared" si="31"/>
        <v>6628565.761991999</v>
      </c>
    </row>
    <row r="184" spans="3:9" ht="12.75">
      <c r="C184" s="11"/>
      <c r="D184" s="11"/>
      <c r="E184" s="11"/>
      <c r="F184" s="11"/>
      <c r="G184" s="11"/>
      <c r="H184" s="11"/>
      <c r="I184" s="11"/>
    </row>
    <row r="185" spans="2:9" ht="12.75">
      <c r="B185" s="5" t="s">
        <v>45</v>
      </c>
      <c r="C185" s="11"/>
      <c r="D185" s="11"/>
      <c r="E185" s="11"/>
      <c r="F185" s="11"/>
      <c r="G185" s="11"/>
      <c r="H185" s="11"/>
      <c r="I185" s="11"/>
    </row>
    <row r="186" spans="2:9" ht="12.75">
      <c r="B186" s="193" t="s">
        <v>46</v>
      </c>
      <c r="C186" s="11"/>
      <c r="D186" s="11"/>
      <c r="E186" s="11"/>
      <c r="F186" s="11"/>
      <c r="G186" s="11"/>
      <c r="H186" s="11"/>
      <c r="I186" s="11"/>
    </row>
    <row r="187" spans="1:9" s="8" customFormat="1" ht="12.75">
      <c r="A187" s="1"/>
      <c r="B187" s="91" t="s">
        <v>437</v>
      </c>
      <c r="C187" s="108">
        <f>SUM(D187:I187)</f>
        <v>-9617800</v>
      </c>
      <c r="D187" s="12">
        <f>D134</f>
        <v>-4921431</v>
      </c>
      <c r="E187" s="12">
        <f>E134</f>
        <v>-1087941</v>
      </c>
      <c r="F187" s="12">
        <f>F134</f>
        <v>-3671502</v>
      </c>
      <c r="G187" s="12"/>
      <c r="H187" s="12">
        <f>H134</f>
        <v>63074</v>
      </c>
      <c r="I187" s="108"/>
    </row>
    <row r="188" spans="1:8" s="10" customFormat="1" ht="12.75">
      <c r="A188" s="1"/>
      <c r="B188" s="91" t="s">
        <v>438</v>
      </c>
      <c r="D188" s="10">
        <f ca="1">D84</f>
        <v>8.739339575125635</v>
      </c>
      <c r="E188" s="10">
        <f ca="1">E84</f>
        <v>10.74183989162527</v>
      </c>
      <c r="F188" s="10">
        <f ca="1">F84</f>
        <v>7.450723725955292</v>
      </c>
      <c r="H188" s="194">
        <f ca="1">H84</f>
        <v>8.3363741166074</v>
      </c>
    </row>
    <row r="189" spans="1:9" s="11" customFormat="1" ht="12.75">
      <c r="A189" s="1"/>
      <c r="B189" s="91" t="s">
        <v>439</v>
      </c>
      <c r="C189" s="11">
        <f ca="1">SUM(D189:I189)</f>
        <v>-815260.84</v>
      </c>
      <c r="D189" s="195">
        <f ca="1">ROUND(D187*D188/100,2)</f>
        <v>-430100.57</v>
      </c>
      <c r="E189" s="195">
        <f ca="1">ROUND(E187*E188/100,2)</f>
        <v>-116864.88</v>
      </c>
      <c r="F189" s="195">
        <f ca="1">ROUND(F187*F188/100,2)</f>
        <v>-273553.47</v>
      </c>
      <c r="G189" s="195"/>
      <c r="H189" s="195">
        <f ca="1">ROUND(H187*H188/100,2)</f>
        <v>5258.08</v>
      </c>
      <c r="I189" s="195"/>
    </row>
    <row r="190" spans="1:2" s="11" customFormat="1" ht="12.75">
      <c r="A190" s="1"/>
      <c r="B190" s="91"/>
    </row>
    <row r="191" spans="1:9" s="8" customFormat="1" ht="12.75">
      <c r="A191" s="1"/>
      <c r="B191" s="91" t="s">
        <v>215</v>
      </c>
      <c r="C191" s="108">
        <f>SUM(D191:I191)</f>
        <v>0</v>
      </c>
      <c r="D191" s="108">
        <f>D138</f>
        <v>0</v>
      </c>
      <c r="E191" s="108">
        <f>E138</f>
        <v>0</v>
      </c>
      <c r="F191" s="108">
        <f>F138</f>
        <v>0</v>
      </c>
      <c r="G191" s="108"/>
      <c r="H191" s="108"/>
      <c r="I191" s="108"/>
    </row>
    <row r="192" spans="1:6" s="10" customFormat="1" ht="12.75">
      <c r="A192" s="1"/>
      <c r="B192" s="91" t="s">
        <v>216</v>
      </c>
      <c r="D192" s="10">
        <f ca="1">I235</f>
        <v>9.774612048828981</v>
      </c>
      <c r="E192" s="10">
        <f ca="1">I253</f>
        <v>8.588</v>
      </c>
      <c r="F192" s="10">
        <f ca="1">G286</f>
        <v>7.1628323614999605</v>
      </c>
    </row>
    <row r="193" spans="1:9" s="11" customFormat="1" ht="12.75">
      <c r="A193" s="1"/>
      <c r="B193" s="91" t="s">
        <v>217</v>
      </c>
      <c r="C193" s="11">
        <f ca="1">SUM(D193:I193)</f>
        <v>0</v>
      </c>
      <c r="D193" s="195">
        <f ca="1">ROUND(D191*D192/100,2)</f>
        <v>0</v>
      </c>
      <c r="E193" s="195">
        <f ca="1">ROUND(E191*E192/100,2)</f>
        <v>0</v>
      </c>
      <c r="F193" s="195">
        <f ca="1">ROUND(F191*F192/100,2)</f>
        <v>0</v>
      </c>
      <c r="G193" s="195"/>
      <c r="H193" s="195"/>
      <c r="I193" s="195"/>
    </row>
    <row r="194" spans="1:2" s="11" customFormat="1" ht="12.75">
      <c r="A194" s="1"/>
      <c r="B194" s="91"/>
    </row>
    <row r="195" spans="1:9" s="7" customFormat="1" ht="12.75">
      <c r="A195" s="1"/>
      <c r="B195" s="91" t="s">
        <v>218</v>
      </c>
      <c r="C195" s="12">
        <f>IF(ROUND(C187+C191,3)&lt;&gt;ROUND(SUM(D195:I195),3),#VALUE!,SUM(D195:I195))</f>
        <v>-9617800</v>
      </c>
      <c r="D195" s="12">
        <f>D187+D191</f>
        <v>-4921431</v>
      </c>
      <c r="E195" s="12">
        <f>E187+E191</f>
        <v>-1087941</v>
      </c>
      <c r="F195" s="12">
        <f>F187+F191</f>
        <v>-3671502</v>
      </c>
      <c r="G195" s="12"/>
      <c r="H195" s="12">
        <f>H187+H191</f>
        <v>63074</v>
      </c>
      <c r="I195" s="12"/>
    </row>
    <row r="196" spans="1:8" s="11" customFormat="1" ht="12.75">
      <c r="A196" s="1"/>
      <c r="B196" s="91" t="s">
        <v>219</v>
      </c>
      <c r="C196" s="11">
        <f ca="1">IF(ROUND(C189+C193,3)&lt;&gt;ROUND(SUM(D196:I196),3),#VALUE!,SUM(D196:I196))</f>
        <v>-815260.84</v>
      </c>
      <c r="D196" s="11">
        <f ca="1">D189+D193</f>
        <v>-430100.57</v>
      </c>
      <c r="E196" s="11">
        <f ca="1">E189+E193</f>
        <v>-116864.88</v>
      </c>
      <c r="F196" s="11">
        <f ca="1">F189+F193</f>
        <v>-273553.47</v>
      </c>
      <c r="H196" s="11">
        <f ca="1">H189+H193</f>
        <v>5258.08</v>
      </c>
    </row>
    <row r="197" spans="2:9" ht="12.75">
      <c r="B197" s="193" t="s">
        <v>47</v>
      </c>
      <c r="C197" s="11"/>
      <c r="D197" s="11"/>
      <c r="E197" s="11"/>
      <c r="F197" s="11"/>
      <c r="G197" s="11"/>
      <c r="H197" s="11"/>
      <c r="I197" s="11"/>
    </row>
    <row r="198" spans="1:9" s="8" customFormat="1" ht="12.75">
      <c r="A198" s="1"/>
      <c r="B198" s="91" t="s">
        <v>215</v>
      </c>
      <c r="C198" s="108">
        <f>SUM(D198:I198)</f>
        <v>-42754825</v>
      </c>
      <c r="D198" s="108">
        <f>D145</f>
        <v>-35858069</v>
      </c>
      <c r="E198" s="108">
        <f>E145</f>
        <v>-4109408</v>
      </c>
      <c r="F198" s="108">
        <f>F145</f>
        <v>-2787348</v>
      </c>
      <c r="G198" s="108"/>
      <c r="H198" s="108"/>
      <c r="I198" s="108"/>
    </row>
    <row r="199" spans="1:6" s="10" customFormat="1" ht="12.75">
      <c r="A199" s="1"/>
      <c r="B199" s="91" t="s">
        <v>216</v>
      </c>
      <c r="C199" s="18" t="s">
        <v>1</v>
      </c>
      <c r="D199" s="10">
        <f ca="1">I235</f>
        <v>9.774612048828981</v>
      </c>
      <c r="E199" s="10">
        <f ca="1">I253</f>
        <v>8.588</v>
      </c>
      <c r="F199" s="10">
        <f ca="1">G286</f>
        <v>7.1628323614999605</v>
      </c>
    </row>
    <row r="200" spans="1:9" s="11" customFormat="1" ht="12.75">
      <c r="A200" s="1"/>
      <c r="B200" s="92" t="s">
        <v>217</v>
      </c>
      <c r="C200" s="11">
        <f ca="1">SUM(D200:I200)</f>
        <v>-4057556.15</v>
      </c>
      <c r="D200" s="195">
        <f ca="1">ROUND(D198*D199/100,2)</f>
        <v>-3504987.13</v>
      </c>
      <c r="E200" s="195">
        <f ca="1">ROUND(E198*E199/100,2)</f>
        <v>-352915.96</v>
      </c>
      <c r="F200" s="195">
        <f ca="1">ROUND(F198*F199/100,2)</f>
        <v>-199653.06</v>
      </c>
      <c r="G200" s="195"/>
      <c r="H200" s="195"/>
      <c r="I200" s="195"/>
    </row>
    <row r="201" spans="1:9" s="11" customFormat="1" ht="12.75">
      <c r="A201" s="1"/>
      <c r="C201" s="94"/>
      <c r="D201" s="94"/>
      <c r="E201" s="94"/>
      <c r="F201" s="94"/>
      <c r="G201" s="94"/>
      <c r="H201" s="94"/>
      <c r="I201" s="94"/>
    </row>
    <row r="202" spans="2:9" ht="12.75">
      <c r="B202" s="5" t="s">
        <v>48</v>
      </c>
      <c r="C202" s="195">
        <f ca="1">IF(ROUND(SUM(D202:I202),3)&lt;&gt;ROUND(C196+C200,3),#VALUE!,SUM(D202:I202))</f>
        <v>-4872816.99</v>
      </c>
      <c r="D202" s="195">
        <f ca="1">D200+D196</f>
        <v>-3935087.6999999997</v>
      </c>
      <c r="E202" s="195">
        <f ca="1">E200+E196</f>
        <v>-469780.84</v>
      </c>
      <c r="F202" s="195">
        <f ca="1">F200+F196</f>
        <v>-473206.52999999997</v>
      </c>
      <c r="G202" s="195"/>
      <c r="H202" s="195">
        <f ca="1">H200+H196</f>
        <v>5258.08</v>
      </c>
      <c r="I202" s="195"/>
    </row>
    <row r="203" spans="2:9" ht="12.75">
      <c r="B203" s="5" t="str">
        <f>"TOTAL "&amp;UPPER(CHOOSE(Base1_Billing2,$N$9,$N$10))&amp;" REVENUE"</f>
        <v>TOTAL BASE TARIFF REVENUE</v>
      </c>
      <c r="C203" s="12">
        <f ca="1">SUM(D203:I203)</f>
        <v>536594751.80289197</v>
      </c>
      <c r="D203" s="12">
        <f aca="true" t="shared" si="32" ref="D203:I203">D183</f>
        <v>236489126.47</v>
      </c>
      <c r="E203" s="12">
        <f ca="1" t="shared" si="32"/>
        <v>78265770.69</v>
      </c>
      <c r="F203" s="12">
        <f ca="1" t="shared" si="32"/>
        <v>133739039.85000001</v>
      </c>
      <c r="G203" s="12">
        <f ca="1" t="shared" si="32"/>
        <v>69248167.06089999</v>
      </c>
      <c r="H203" s="12">
        <f ca="1" t="shared" si="32"/>
        <v>12224081.97</v>
      </c>
      <c r="I203" s="12">
        <f t="shared" si="32"/>
        <v>6628565.761991999</v>
      </c>
    </row>
    <row r="204" spans="2:15" ht="12.75">
      <c r="B204" s="5" t="s">
        <v>51</v>
      </c>
      <c r="C204" s="195">
        <f ca="1">IF(ROUND(SUM(D204:I204),3)&lt;&gt;ROUND(SUM(C202:C203),3),#VALUE!,SUM(D204:I204))</f>
        <v>531721934.81289196</v>
      </c>
      <c r="D204" s="195">
        <f aca="true" t="shared" si="33" ref="D204:I204">D202+D203</f>
        <v>232554038.77</v>
      </c>
      <c r="E204" s="195">
        <f ca="1" t="shared" si="33"/>
        <v>77795989.85</v>
      </c>
      <c r="F204" s="195">
        <f ca="1" t="shared" si="33"/>
        <v>133265833.32000001</v>
      </c>
      <c r="G204" s="195">
        <f ca="1" t="shared" si="33"/>
        <v>69248167.06089999</v>
      </c>
      <c r="H204" s="195">
        <f ca="1" t="shared" si="33"/>
        <v>12229340.05</v>
      </c>
      <c r="I204" s="195">
        <f t="shared" si="33"/>
        <v>6628565.761991999</v>
      </c>
      <c r="L204" s="11"/>
      <c r="O204" s="11"/>
    </row>
    <row r="205" spans="2:15" ht="12.75">
      <c r="B205" s="5" t="s">
        <v>49</v>
      </c>
      <c r="C205" s="11">
        <f ca="1">SUM(D205:I205)</f>
        <v>531721931.3286228</v>
      </c>
      <c r="D205" s="11">
        <f aca="true" t="shared" si="34" ref="D205:I205">D152</f>
        <v>232554038.77</v>
      </c>
      <c r="E205" s="11">
        <f ca="1" t="shared" si="34"/>
        <v>77795989.84846152</v>
      </c>
      <c r="F205" s="11">
        <f ca="1" t="shared" si="34"/>
        <v>133265833.32076925</v>
      </c>
      <c r="G205" s="11">
        <f ca="1" t="shared" si="34"/>
        <v>69248167.05739999</v>
      </c>
      <c r="H205" s="11">
        <f ca="1" t="shared" si="34"/>
        <v>12229340.05</v>
      </c>
      <c r="I205" s="11">
        <f t="shared" si="34"/>
        <v>6628562.281992</v>
      </c>
      <c r="L205" s="11"/>
      <c r="O205" s="11"/>
    </row>
    <row r="206" spans="3:9" ht="12.75">
      <c r="C206" s="196"/>
      <c r="D206" s="196"/>
      <c r="E206" s="196"/>
      <c r="F206" s="196"/>
      <c r="G206" s="196"/>
      <c r="H206" s="196"/>
      <c r="I206" s="196"/>
    </row>
    <row r="207" spans="1:15" s="14" customFormat="1" ht="12.75">
      <c r="A207" s="13"/>
      <c r="B207" s="14" t="s">
        <v>52</v>
      </c>
      <c r="C207" s="15">
        <f ca="1">SUM(D207:I207)</f>
        <v>3.484269226901233</v>
      </c>
      <c r="D207" s="15">
        <f aca="true" t="shared" si="35" ref="D207:I207">D204-D205</f>
        <v>0</v>
      </c>
      <c r="E207" s="15">
        <f ca="1" t="shared" si="35"/>
        <v>0.0015384703874588013</v>
      </c>
      <c r="F207" s="15">
        <f ca="1" t="shared" si="35"/>
        <v>-0.0007692426443099976</v>
      </c>
      <c r="G207" s="15">
        <f ca="1" t="shared" si="35"/>
        <v>0.0034999996423721313</v>
      </c>
      <c r="H207" s="15">
        <f ca="1" t="shared" si="35"/>
        <v>0</v>
      </c>
      <c r="I207" s="15">
        <f t="shared" si="35"/>
        <v>3.4799999995157123</v>
      </c>
      <c r="L207" s="15"/>
      <c r="O207" s="15"/>
    </row>
    <row r="208" spans="1:15" s="14" customFormat="1" ht="12.75">
      <c r="A208" s="13"/>
      <c r="B208" s="14" t="s">
        <v>53</v>
      </c>
      <c r="C208" s="16">
        <f aca="true" t="shared" si="36" ref="C208:H208">C207/C205</f>
        <v>6.5528033011446966E-09</v>
      </c>
      <c r="D208" s="16">
        <f ca="1">D207/D205</f>
        <v>0</v>
      </c>
      <c r="E208" s="16">
        <f ca="1" t="shared" si="36"/>
        <v>1.9775702969466437E-11</v>
      </c>
      <c r="F208" s="16">
        <f ca="1" t="shared" si="36"/>
        <v>-5.772242030396792E-12</v>
      </c>
      <c r="G208" s="16">
        <f ca="1" t="shared" si="36"/>
        <v>5.054284887383333E-11</v>
      </c>
      <c r="H208" s="16">
        <f ca="1" t="shared" si="36"/>
        <v>0</v>
      </c>
      <c r="I208" s="16">
        <f>I207/I205</f>
        <v>5.250007243606846E-07</v>
      </c>
      <c r="J208" s="16"/>
      <c r="L208" s="16"/>
      <c r="O208" s="15"/>
    </row>
    <row r="209" spans="1:9" s="2" customFormat="1" ht="12.75">
      <c r="A209" s="1"/>
      <c r="B209" s="288" t="str">
        <f>IF(Base1_Billing2=2,"Pres and Prop Revenues may be incorrect due to Sch 59--for example all of Sch 11 gets benefit of Sch 59 but it s/only be Sch 12; see Billing Rev on Exhibit page for fix","")</f>
        <v/>
      </c>
      <c r="C209" s="17"/>
      <c r="D209" s="317"/>
      <c r="E209" s="317"/>
      <c r="F209" s="317"/>
      <c r="G209" s="317"/>
      <c r="H209" s="317"/>
      <c r="I209" s="317"/>
    </row>
    <row r="210" spans="1:9" s="2" customFormat="1" ht="12.75">
      <c r="A210" s="1"/>
      <c r="C210" t="str">
        <f>C4</f>
        <v xml:space="preserve"> </v>
      </c>
      <c r="D210"/>
      <c r="E210" s="220"/>
      <c r="F210" s="17"/>
      <c r="G210" s="17"/>
      <c r="H210" s="17"/>
      <c r="I210" s="17"/>
    </row>
    <row r="211" spans="1:9" s="2" customFormat="1" ht="12.75">
      <c r="A211" s="1"/>
      <c r="C211" s="335"/>
      <c r="D211" s="335"/>
      <c r="E211" s="220"/>
      <c r="F211" s="17"/>
      <c r="G211" s="17"/>
      <c r="H211" s="17"/>
      <c r="I211" s="17"/>
    </row>
    <row r="212" spans="1:9" s="2" customFormat="1" ht="12.75">
      <c r="A212" s="1"/>
      <c r="C212" s="335"/>
      <c r="D212" s="335"/>
      <c r="E212" s="220"/>
      <c r="F212" s="17"/>
      <c r="G212" s="17"/>
      <c r="H212" s="17"/>
      <c r="I212" s="17"/>
    </row>
    <row r="213" spans="1:9" s="2" customFormat="1" ht="12.75">
      <c r="A213" s="1"/>
      <c r="C213" s="335"/>
      <c r="D213" s="335"/>
      <c r="E213" s="220"/>
      <c r="F213" s="17"/>
      <c r="G213" s="17"/>
      <c r="H213" s="17"/>
      <c r="I213" s="17"/>
    </row>
    <row r="214" spans="1:9" s="2" customFormat="1" ht="12.75">
      <c r="A214" s="1"/>
      <c r="C214" s="335"/>
      <c r="D214" s="335"/>
      <c r="E214" s="220"/>
      <c r="F214" s="17"/>
      <c r="G214" s="17"/>
      <c r="H214" s="17"/>
      <c r="I214" s="17"/>
    </row>
    <row r="215" spans="1:9" s="2" customFormat="1" ht="12.75">
      <c r="A215" s="1"/>
      <c r="C215" s="17"/>
      <c r="D215" s="17"/>
      <c r="E215" s="17"/>
      <c r="F215" s="17"/>
      <c r="G215" s="17"/>
      <c r="H215" s="17"/>
      <c r="I215" s="17"/>
    </row>
    <row r="216" spans="1:9" s="2" customFormat="1" ht="12.75">
      <c r="A216" s="1" t="s">
        <v>0</v>
      </c>
      <c r="C216" s="2" t="s">
        <v>1</v>
      </c>
      <c r="D216" s="2" t="s">
        <v>9</v>
      </c>
      <c r="E216" s="2" t="s">
        <v>9</v>
      </c>
      <c r="F216" s="2" t="s">
        <v>54</v>
      </c>
      <c r="G216" s="2" t="s">
        <v>54</v>
      </c>
      <c r="H216" s="2" t="s">
        <v>55</v>
      </c>
      <c r="I216" s="2" t="s">
        <v>55</v>
      </c>
    </row>
    <row r="217" spans="1:9" s="2" customFormat="1" ht="12.75">
      <c r="A217" s="1" t="s">
        <v>8</v>
      </c>
      <c r="C217" s="3" t="s">
        <v>56</v>
      </c>
      <c r="D217" s="3" t="s">
        <v>57</v>
      </c>
      <c r="E217" s="3" t="s">
        <v>58</v>
      </c>
      <c r="F217" s="3" t="s">
        <v>57</v>
      </c>
      <c r="G217" s="3" t="s">
        <v>58</v>
      </c>
      <c r="H217" s="3" t="s">
        <v>57</v>
      </c>
      <c r="I217" s="3" t="s">
        <v>58</v>
      </c>
    </row>
    <row r="219" ht="12.75">
      <c r="B219" s="111" t="s">
        <v>59</v>
      </c>
    </row>
    <row r="220" ht="12.75">
      <c r="B220" s="14" t="s">
        <v>10</v>
      </c>
    </row>
    <row r="221" spans="2:15" ht="12.75">
      <c r="B221" s="89" t="s">
        <v>722</v>
      </c>
      <c r="C221" s="10">
        <f ca="1">D62</f>
        <v>8.103</v>
      </c>
      <c r="D221" s="12">
        <f>D8</f>
        <v>1632639774.4875689</v>
      </c>
      <c r="E221" s="11">
        <f ca="1">C221*D221/100</f>
        <v>132292800.9267277</v>
      </c>
      <c r="F221" s="12">
        <f>MIN(D221,F225)</f>
        <v>1508841792</v>
      </c>
      <c r="G221" s="11">
        <f ca="1">F221*C221/100</f>
        <v>122261450.40576</v>
      </c>
      <c r="H221" s="12">
        <f>D221-F221</f>
        <v>123797982.48756886</v>
      </c>
      <c r="I221" s="11">
        <f ca="1">H221*C221/100</f>
        <v>10031350.520967703</v>
      </c>
      <c r="L221" s="450">
        <f>H221/$H$225</f>
        <v>0.13348596207760513</v>
      </c>
      <c r="N221" s="452">
        <f>L221*$D$145</f>
        <v>-4786548.838710148</v>
      </c>
      <c r="O221" s="451">
        <f ca="1">N221*(C221/100)</f>
        <v>-387854.0524006832</v>
      </c>
    </row>
    <row r="222" spans="2:15" ht="12.75">
      <c r="B222" s="89" t="s">
        <v>723</v>
      </c>
      <c r="C222" s="10">
        <f ca="1">D63</f>
        <v>9.427</v>
      </c>
      <c r="D222" s="12">
        <f>D9</f>
        <v>504552667.9882521</v>
      </c>
      <c r="E222" s="11">
        <f ca="1">C222*D222/100</f>
        <v>47564180.01125253</v>
      </c>
      <c r="F222" s="12">
        <f>MIN(F225-F221,D222)</f>
        <v>0</v>
      </c>
      <c r="G222" s="11">
        <f ca="1">F222*C222/100</f>
        <v>0</v>
      </c>
      <c r="H222" s="12">
        <f>D222-F222</f>
        <v>504552667.9882521</v>
      </c>
      <c r="I222" s="11">
        <f ca="1">H222*C222/100</f>
        <v>47564180.01125253</v>
      </c>
      <c r="L222" s="450">
        <f>H222/$H$225</f>
        <v>0.5440371236421184</v>
      </c>
      <c r="N222" s="452">
        <f>L222*$D$145</f>
        <v>-19508120.718120612</v>
      </c>
      <c r="O222" s="451">
        <f ca="1">N222*(C222/100)</f>
        <v>-1839030.5400972299</v>
      </c>
    </row>
    <row r="223" spans="2:15" ht="12.75">
      <c r="B223" s="89" t="s">
        <v>724</v>
      </c>
      <c r="C223" s="10">
        <f ca="1">D64</f>
        <v>11.053</v>
      </c>
      <c r="D223" s="12">
        <f>D10</f>
        <v>299072582.35517937</v>
      </c>
      <c r="E223" s="11">
        <f ca="1">C223*D223/100</f>
        <v>33056492.527717978</v>
      </c>
      <c r="F223" s="12">
        <f>MIN(F225-F221-F222,D223)</f>
        <v>0</v>
      </c>
      <c r="G223" s="11">
        <f ca="1">F223*C223/100</f>
        <v>0</v>
      </c>
      <c r="H223" s="12">
        <f>D223-F223</f>
        <v>299072582.35517937</v>
      </c>
      <c r="I223" s="11">
        <f ca="1">H223*C223/100</f>
        <v>33056492.527717978</v>
      </c>
      <c r="L223" s="450">
        <f>H223/$H$225</f>
        <v>0.32247691428027647</v>
      </c>
      <c r="N223" s="452">
        <f>L223*$D$145</f>
        <v>-11563399.44316924</v>
      </c>
      <c r="O223" s="451">
        <f ca="1">N223*(C223/100)</f>
        <v>-1278102.5404534962</v>
      </c>
    </row>
    <row r="224" spans="4:15" ht="12.75">
      <c r="D224" s="107"/>
      <c r="E224" s="199"/>
      <c r="F224" s="107"/>
      <c r="G224" s="199"/>
      <c r="H224" s="107"/>
      <c r="I224" s="199"/>
      <c r="N224" s="452">
        <f>SUM(N221:N223)</f>
        <v>-35858069</v>
      </c>
      <c r="O224" s="451">
        <f ca="1">SUM(O221:O223)</f>
        <v>-3504987.1329514096</v>
      </c>
    </row>
    <row r="225" spans="2:9" ht="12.75">
      <c r="B225" s="5" t="s">
        <v>9</v>
      </c>
      <c r="D225" s="12">
        <f aca="true" t="shared" si="37" ref="D225:I225">D221+D222+D223</f>
        <v>2436265024.8310003</v>
      </c>
      <c r="E225" s="11">
        <f ca="1" t="shared" si="37"/>
        <v>212913473.4656982</v>
      </c>
      <c r="F225" s="692">
        <f>576*D25</f>
        <v>1508841792</v>
      </c>
      <c r="G225" s="11">
        <f ca="1" t="shared" si="37"/>
        <v>122261450.40576</v>
      </c>
      <c r="H225" s="12">
        <f t="shared" si="37"/>
        <v>927423232.8310003</v>
      </c>
      <c r="I225" s="11">
        <f ca="1" t="shared" si="37"/>
        <v>90652023.0599382</v>
      </c>
    </row>
    <row r="226" spans="2:9" ht="12.75">
      <c r="B226" s="5" t="s">
        <v>60</v>
      </c>
      <c r="D226" s="12"/>
      <c r="E226" s="10">
        <f ca="1">E225/D225*100</f>
        <v>8.739339574949062</v>
      </c>
      <c r="F226" s="10"/>
      <c r="G226" s="10">
        <f ca="1">G225/F225*100</f>
        <v>8.103</v>
      </c>
      <c r="H226" s="12"/>
      <c r="I226" s="10">
        <f ca="1">I225/H225*100</f>
        <v>9.774612048828981</v>
      </c>
    </row>
    <row r="227" spans="4:8" ht="12.75">
      <c r="D227" s="12"/>
      <c r="F227" s="12"/>
      <c r="H227" s="12"/>
    </row>
    <row r="228" spans="2:8" ht="12.75">
      <c r="B228" s="111" t="s">
        <v>61</v>
      </c>
      <c r="D228" s="12"/>
      <c r="F228" s="12"/>
      <c r="H228" s="12"/>
    </row>
    <row r="229" spans="2:8" ht="12.75">
      <c r="B229" s="14" t="s">
        <v>10</v>
      </c>
      <c r="D229" s="12"/>
      <c r="F229" s="12"/>
      <c r="H229" s="12"/>
    </row>
    <row r="230" spans="2:9" ht="12.75">
      <c r="B230" s="89" t="s">
        <v>722</v>
      </c>
      <c r="C230" s="10">
        <f ca="1">D79</f>
        <v>8.103</v>
      </c>
      <c r="D230" s="12">
        <f>D221</f>
        <v>1632639774.4875689</v>
      </c>
      <c r="E230" s="11">
        <f ca="1">C230*D230/100</f>
        <v>132292800.9267277</v>
      </c>
      <c r="F230" s="12">
        <f>MIN(D230,F234)</f>
        <v>1508841792</v>
      </c>
      <c r="G230" s="11">
        <f ca="1">F230*C230/100</f>
        <v>122261450.40576</v>
      </c>
      <c r="H230" s="12">
        <f>H221</f>
        <v>123797982.48756886</v>
      </c>
      <c r="I230" s="11">
        <f ca="1">H230*C230/100</f>
        <v>10031350.520967703</v>
      </c>
    </row>
    <row r="231" spans="2:9" ht="12.75">
      <c r="B231" s="89" t="s">
        <v>723</v>
      </c>
      <c r="C231" s="10">
        <f ca="1">D80</f>
        <v>9.427</v>
      </c>
      <c r="D231" s="12">
        <f>D222</f>
        <v>504552667.9882521</v>
      </c>
      <c r="E231" s="11">
        <f ca="1">C231*D231/100</f>
        <v>47564180.01125253</v>
      </c>
      <c r="F231" s="12">
        <f>MIN(F234-F230,D231)</f>
        <v>0</v>
      </c>
      <c r="G231" s="11">
        <f ca="1">F231*C231/100</f>
        <v>0</v>
      </c>
      <c r="H231" s="12">
        <f>H222</f>
        <v>504552667.9882521</v>
      </c>
      <c r="I231" s="11">
        <f ca="1">H231*C231/100</f>
        <v>47564180.01125253</v>
      </c>
    </row>
    <row r="232" spans="2:9" ht="12.75">
      <c r="B232" s="89" t="s">
        <v>725</v>
      </c>
      <c r="C232" s="10">
        <f ca="1">D81</f>
        <v>11.053</v>
      </c>
      <c r="D232" s="12">
        <f>D223</f>
        <v>299072582.35517937</v>
      </c>
      <c r="E232" s="11">
        <f ca="1">C232*D232/100</f>
        <v>33056492.527717978</v>
      </c>
      <c r="F232" s="12">
        <f>MIN(F234-F230-F231,D232)</f>
        <v>0</v>
      </c>
      <c r="G232" s="11">
        <f ca="1">F232*C232/100</f>
        <v>0</v>
      </c>
      <c r="H232" s="12">
        <f>H223</f>
        <v>299072582.35517937</v>
      </c>
      <c r="I232" s="11">
        <f ca="1">H232*C232/100</f>
        <v>33056492.527717978</v>
      </c>
    </row>
    <row r="233" spans="4:9" ht="12.75">
      <c r="D233" s="107"/>
      <c r="E233" s="199"/>
      <c r="F233" s="107"/>
      <c r="G233" s="199"/>
      <c r="H233" s="107"/>
      <c r="I233" s="199"/>
    </row>
    <row r="234" spans="2:9" ht="12.75">
      <c r="B234" s="5" t="s">
        <v>9</v>
      </c>
      <c r="D234" s="12">
        <f aca="true" t="shared" si="38" ref="D234:I234">D230+D231+D232</f>
        <v>2436265024.8310003</v>
      </c>
      <c r="E234" s="11">
        <f ca="1" t="shared" si="38"/>
        <v>212913473.4656982</v>
      </c>
      <c r="F234" s="12">
        <f>F225</f>
        <v>1508841792</v>
      </c>
      <c r="G234" s="11">
        <f ca="1" t="shared" si="38"/>
        <v>122261450.40576</v>
      </c>
      <c r="H234" s="12">
        <f t="shared" si="38"/>
        <v>927423232.8310003</v>
      </c>
      <c r="I234" s="11">
        <f ca="1" t="shared" si="38"/>
        <v>90652023.0599382</v>
      </c>
    </row>
    <row r="235" spans="2:9" ht="12.75">
      <c r="B235" s="5" t="s">
        <v>60</v>
      </c>
      <c r="D235" s="12"/>
      <c r="E235" s="10">
        <f ca="1">E234/D234*100</f>
        <v>8.739339574949062</v>
      </c>
      <c r="F235" s="10"/>
      <c r="G235" s="10">
        <f ca="1">G234/F234*100</f>
        <v>8.103</v>
      </c>
      <c r="H235" s="12"/>
      <c r="I235" s="10">
        <f ca="1">I234/H234*100</f>
        <v>9.774612048828981</v>
      </c>
    </row>
    <row r="236" spans="4:9" ht="12.75">
      <c r="D236" s="12"/>
      <c r="F236" s="12"/>
      <c r="G236" s="10"/>
      <c r="H236" s="12"/>
      <c r="I236" s="10"/>
    </row>
    <row r="237" spans="4:8" ht="12.75">
      <c r="D237" s="12"/>
      <c r="F237" s="12"/>
      <c r="H237" s="12"/>
    </row>
    <row r="238" spans="4:8" ht="12.75">
      <c r="D238" s="12"/>
      <c r="F238" s="12"/>
      <c r="H238" s="12"/>
    </row>
    <row r="239" spans="2:8" ht="12.75">
      <c r="B239" s="111" t="s">
        <v>59</v>
      </c>
      <c r="D239" s="12"/>
      <c r="F239" s="12"/>
      <c r="H239" s="12"/>
    </row>
    <row r="240" spans="2:8" ht="12.75">
      <c r="B240" s="14" t="s">
        <v>62</v>
      </c>
      <c r="D240" s="12"/>
      <c r="F240" s="12"/>
      <c r="H240" s="12"/>
    </row>
    <row r="241" spans="2:9" ht="12.75">
      <c r="B241" s="89" t="s">
        <v>239</v>
      </c>
      <c r="C241" s="10">
        <f ca="1">E62</f>
        <v>11.686</v>
      </c>
      <c r="D241" s="12">
        <f>E8</f>
        <v>435979118.3898335</v>
      </c>
      <c r="E241" s="11">
        <f ca="1">C241*D241/100</f>
        <v>50948519.77503595</v>
      </c>
      <c r="F241" s="12">
        <f>MIN(D241,F244)</f>
        <v>435979118.3898335</v>
      </c>
      <c r="G241" s="11">
        <f ca="1">F241*C241/100</f>
        <v>50948519.77503595</v>
      </c>
      <c r="H241" s="12">
        <f>D241-F241</f>
        <v>0</v>
      </c>
      <c r="I241" s="11">
        <f ca="1">H241*C241/100</f>
        <v>0</v>
      </c>
    </row>
    <row r="242" spans="2:9" ht="12.75">
      <c r="B242" s="89" t="s">
        <v>240</v>
      </c>
      <c r="C242" s="10">
        <f ca="1">E63</f>
        <v>8.588</v>
      </c>
      <c r="D242" s="12">
        <f>E9</f>
        <v>191116384.1461664</v>
      </c>
      <c r="E242" s="11">
        <f ca="1">C242*D242/100</f>
        <v>16413075.07047277</v>
      </c>
      <c r="F242" s="12">
        <f>MIN(F244-F241,D242)</f>
        <v>138009346.6101665</v>
      </c>
      <c r="G242" s="11">
        <f ca="1">F242*C242/100</f>
        <v>11852242.686881097</v>
      </c>
      <c r="H242" s="12">
        <f>D242-F242</f>
        <v>53107037.535999924</v>
      </c>
      <c r="I242" s="11">
        <f ca="1">H242*C242/100</f>
        <v>4560832.383591672</v>
      </c>
    </row>
    <row r="243" spans="4:9" ht="12.75">
      <c r="D243" s="107"/>
      <c r="E243" s="199"/>
      <c r="F243" s="107"/>
      <c r="G243" s="199"/>
      <c r="H243" s="107"/>
      <c r="I243" s="199"/>
    </row>
    <row r="244" spans="2:9" ht="12.75">
      <c r="B244" s="5" t="s">
        <v>9</v>
      </c>
      <c r="D244" s="12">
        <f aca="true" t="shared" si="39" ref="D244:I244">D241+D242</f>
        <v>627095502.5359999</v>
      </c>
      <c r="E244" s="11">
        <f ca="1" t="shared" si="39"/>
        <v>67361594.84550872</v>
      </c>
      <c r="F244" s="692">
        <f>1465*E25</f>
        <v>573988465</v>
      </c>
      <c r="G244" s="11">
        <f ca="1" t="shared" si="39"/>
        <v>62800762.46191704</v>
      </c>
      <c r="H244" s="12">
        <f t="shared" si="39"/>
        <v>53107037.535999924</v>
      </c>
      <c r="I244" s="11">
        <f ca="1" t="shared" si="39"/>
        <v>4560832.383591672</v>
      </c>
    </row>
    <row r="245" spans="2:9" ht="12.75">
      <c r="B245" s="5" t="s">
        <v>60</v>
      </c>
      <c r="D245" s="12"/>
      <c r="E245" s="10">
        <f ca="1">E244/D244*100</f>
        <v>10.741839890909068</v>
      </c>
      <c r="F245" s="10"/>
      <c r="G245" s="10">
        <f ca="1">G244/F244*100</f>
        <v>10.941119254359414</v>
      </c>
      <c r="H245" s="12"/>
      <c r="I245" s="10">
        <f ca="1">I244/H244*100</f>
        <v>8.588</v>
      </c>
    </row>
    <row r="246" spans="4:9" ht="12.75">
      <c r="D246" s="12"/>
      <c r="F246" s="12"/>
      <c r="G246" s="10"/>
      <c r="H246" s="12"/>
      <c r="I246" s="10"/>
    </row>
    <row r="247" spans="2:8" ht="12.75">
      <c r="B247" s="111" t="s">
        <v>61</v>
      </c>
      <c r="D247" s="12"/>
      <c r="F247" s="12"/>
      <c r="H247" s="12"/>
    </row>
    <row r="248" spans="2:8" ht="12.75">
      <c r="B248" s="14" t="s">
        <v>62</v>
      </c>
      <c r="D248" s="12"/>
      <c r="F248" s="12"/>
      <c r="H248" s="12"/>
    </row>
    <row r="249" spans="2:9" ht="12.75">
      <c r="B249" s="89" t="s">
        <v>239</v>
      </c>
      <c r="C249" s="10">
        <f ca="1">E79</f>
        <v>11.686</v>
      </c>
      <c r="D249" s="12">
        <f>E31</f>
        <v>435979118.3898335</v>
      </c>
      <c r="E249" s="11">
        <f ca="1">C249*D249/100</f>
        <v>50948519.77503595</v>
      </c>
      <c r="F249" s="12">
        <f>MIN(D249,F252)</f>
        <v>435979118.3898335</v>
      </c>
      <c r="G249" s="11">
        <f ca="1">F249*C249/100</f>
        <v>50948519.77503595</v>
      </c>
      <c r="H249" s="12">
        <f>D249-F249</f>
        <v>0</v>
      </c>
      <c r="I249" s="11">
        <f ca="1">H249*C249/100</f>
        <v>0</v>
      </c>
    </row>
    <row r="250" spans="2:9" ht="12.75">
      <c r="B250" s="89" t="s">
        <v>240</v>
      </c>
      <c r="C250" s="10">
        <f ca="1">E80</f>
        <v>8.588</v>
      </c>
      <c r="D250" s="12">
        <f>E32</f>
        <v>191116384.1461664</v>
      </c>
      <c r="E250" s="11">
        <f ca="1">C250*D250/100</f>
        <v>16413075.07047277</v>
      </c>
      <c r="F250" s="12">
        <f>MIN(F252-F249,D250)</f>
        <v>138009346.6101665</v>
      </c>
      <c r="G250" s="11">
        <f ca="1">F250*C250/100</f>
        <v>11852242.686881097</v>
      </c>
      <c r="H250" s="12">
        <f>D250-F250</f>
        <v>53107037.535999924</v>
      </c>
      <c r="I250" s="11">
        <f ca="1">H250*C250/100</f>
        <v>4560832.383591672</v>
      </c>
    </row>
    <row r="251" spans="4:9" ht="12.75">
      <c r="D251" s="107"/>
      <c r="E251" s="199"/>
      <c r="F251" s="107"/>
      <c r="G251" s="199"/>
      <c r="H251" s="107"/>
      <c r="I251" s="199"/>
    </row>
    <row r="252" spans="2:9" ht="12.75">
      <c r="B252" s="5" t="s">
        <v>9</v>
      </c>
      <c r="D252" s="12">
        <f aca="true" t="shared" si="40" ref="D252:I252">D249+D250</f>
        <v>627095502.5359999</v>
      </c>
      <c r="E252" s="11">
        <f ca="1" t="shared" si="40"/>
        <v>67361594.84550872</v>
      </c>
      <c r="F252" s="12">
        <f>F244</f>
        <v>573988465</v>
      </c>
      <c r="G252" s="11">
        <f ca="1" t="shared" si="40"/>
        <v>62800762.46191704</v>
      </c>
      <c r="H252" s="12">
        <f t="shared" si="40"/>
        <v>53107037.535999924</v>
      </c>
      <c r="I252" s="11">
        <f ca="1" t="shared" si="40"/>
        <v>4560832.383591672</v>
      </c>
    </row>
    <row r="253" spans="2:9" ht="12.75">
      <c r="B253" s="5" t="s">
        <v>60</v>
      </c>
      <c r="E253" s="10">
        <f ca="1">E252/D252*100</f>
        <v>10.741839890909068</v>
      </c>
      <c r="F253" s="10"/>
      <c r="G253" s="10">
        <f ca="1">G252/F252*100</f>
        <v>10.941119254359414</v>
      </c>
      <c r="I253" s="10">
        <f ca="1">I252/H252*100</f>
        <v>8.588</v>
      </c>
    </row>
    <row r="258" ht="5.25" customHeight="1"/>
    <row r="261" spans="2:6" ht="12.75">
      <c r="B261" s="337" t="s">
        <v>915</v>
      </c>
      <c r="C261" s="337"/>
      <c r="D261" s="337"/>
      <c r="E261" s="337"/>
      <c r="F261" s="337"/>
    </row>
    <row r="262" ht="12.75">
      <c r="B262" s="337" t="str">
        <f>"663 X "&amp;TEXT(D25,"#,##0")&amp;" = "&amp;TEXT(F225,"#,##0")</f>
        <v>663 X 2,619,517 = 1,508,841,792</v>
      </c>
    </row>
    <row r="263" ht="12.75">
      <c r="B263" s="337" t="str">
        <f>"Total Base Load for Sch. 11 = 1,338 X "&amp;TEXT(E25,"#,##0")&amp;" = "&amp;TEXT(F244,"#,##0")</f>
        <v>Total Base Load for Sch. 11 = 1,338 X 391,801 = 573,988,465</v>
      </c>
    </row>
    <row r="264" spans="1:9" s="2" customFormat="1" ht="12.75">
      <c r="A264" s="1"/>
      <c r="B264" s="288" t="str">
        <f>IF(Base1_Billing2=2,"Pres and Prop Revenues may be incorrect due to Sch 59--for example all of Sch 11 gets benefit of Sch 59 but it s/only be Sch 12; see Billing Rev on Exhibit page for fix","")</f>
        <v/>
      </c>
      <c r="C264" s="17"/>
      <c r="D264"/>
      <c r="E264"/>
      <c r="F264"/>
      <c r="G264"/>
      <c r="H264"/>
      <c r="I264"/>
    </row>
    <row r="265" spans="1:9" s="2" customFormat="1" ht="12.75">
      <c r="A265" s="1"/>
      <c r="C265"/>
      <c r="D265"/>
      <c r="E265" s="220"/>
      <c r="F265" s="17"/>
      <c r="G265" s="17"/>
      <c r="H265" s="17"/>
      <c r="I265" s="17"/>
    </row>
    <row r="266" spans="1:9" s="2" customFormat="1" ht="12.75">
      <c r="A266" s="1"/>
      <c r="C266" s="336"/>
      <c r="D266" s="336"/>
      <c r="E266" s="220"/>
      <c r="F266" s="17"/>
      <c r="G266" s="17"/>
      <c r="H266" s="17"/>
      <c r="I266" s="17"/>
    </row>
    <row r="267" spans="1:9" s="2" customFormat="1" ht="12.75">
      <c r="A267" s="1"/>
      <c r="C267" s="336"/>
      <c r="D267" s="336"/>
      <c r="E267" s="220"/>
      <c r="F267" s="17"/>
      <c r="G267" s="17"/>
      <c r="H267" s="17"/>
      <c r="I267" s="17"/>
    </row>
    <row r="268" spans="1:9" s="2" customFormat="1" ht="12.75">
      <c r="A268" s="1"/>
      <c r="C268" s="17"/>
      <c r="D268" s="17"/>
      <c r="E268" s="17"/>
      <c r="F268" s="17"/>
      <c r="G268" s="17"/>
      <c r="H268" s="17"/>
      <c r="I268" s="17"/>
    </row>
    <row r="269" spans="1:9" s="2" customFormat="1" ht="12.75">
      <c r="A269" s="1" t="s">
        <v>0</v>
      </c>
      <c r="C269" s="2" t="s">
        <v>1</v>
      </c>
      <c r="D269" s="2" t="s">
        <v>9</v>
      </c>
      <c r="E269" s="2" t="s">
        <v>9</v>
      </c>
      <c r="F269" s="2" t="s">
        <v>54</v>
      </c>
      <c r="G269" s="2" t="s">
        <v>54</v>
      </c>
      <c r="H269" s="2" t="s">
        <v>55</v>
      </c>
      <c r="I269" s="2" t="s">
        <v>55</v>
      </c>
    </row>
    <row r="270" spans="1:9" s="2" customFormat="1" ht="12.75">
      <c r="A270" s="1" t="s">
        <v>8</v>
      </c>
      <c r="C270" s="3" t="s">
        <v>56</v>
      </c>
      <c r="D270" s="3" t="s">
        <v>57</v>
      </c>
      <c r="E270" s="3" t="s">
        <v>58</v>
      </c>
      <c r="F270" s="3" t="s">
        <v>57</v>
      </c>
      <c r="G270" s="3" t="s">
        <v>58</v>
      </c>
      <c r="H270" s="3" t="s">
        <v>57</v>
      </c>
      <c r="I270" s="3" t="s">
        <v>58</v>
      </c>
    </row>
    <row r="272" ht="12.75">
      <c r="B272" s="111" t="s">
        <v>59</v>
      </c>
    </row>
    <row r="273" ht="12.75">
      <c r="B273" s="14" t="s">
        <v>410</v>
      </c>
    </row>
    <row r="274" spans="2:9" ht="12.75">
      <c r="B274" s="89" t="s">
        <v>411</v>
      </c>
      <c r="C274" s="10">
        <f ca="1">F62</f>
        <v>7.535</v>
      </c>
      <c r="D274" s="12">
        <f>F8</f>
        <v>1229791151.80367</v>
      </c>
      <c r="E274" s="11">
        <f ca="1">C274*D274/100</f>
        <v>92664763.28840652</v>
      </c>
      <c r="F274" s="12">
        <f>MIN(D274,F277)</f>
        <v>1229791151.80367</v>
      </c>
      <c r="G274" s="11">
        <f ca="1">F274*C274/100</f>
        <v>92664763.28840652</v>
      </c>
      <c r="H274" s="12">
        <f>D274-F274</f>
        <v>0</v>
      </c>
      <c r="I274" s="11">
        <f ca="1">H274*C274/100</f>
        <v>0</v>
      </c>
    </row>
    <row r="275" spans="2:9" ht="12.75">
      <c r="B275" s="89" t="s">
        <v>412</v>
      </c>
      <c r="C275" s="10">
        <f ca="1">F63</f>
        <v>6.742</v>
      </c>
      <c r="D275" s="12">
        <f>F9</f>
        <v>146237824.45333</v>
      </c>
      <c r="E275" s="11">
        <f ca="1">C275*D275/100</f>
        <v>9859354.12464351</v>
      </c>
      <c r="F275" s="12">
        <f>MIN(F277-F274,D275)</f>
        <v>146237824.45333</v>
      </c>
      <c r="G275" s="11">
        <f ca="1">F275*C275/100</f>
        <v>9859354.12464351</v>
      </c>
      <c r="H275" s="12">
        <f>D275-F275</f>
        <v>0</v>
      </c>
      <c r="I275" s="11">
        <f ca="1">H275*C275/100</f>
        <v>0</v>
      </c>
    </row>
    <row r="276" spans="4:9" ht="12.75">
      <c r="D276" s="107"/>
      <c r="E276" s="199"/>
      <c r="F276" s="107"/>
      <c r="G276" s="199"/>
      <c r="H276" s="107"/>
      <c r="I276" s="199"/>
    </row>
    <row r="277" spans="2:9" ht="12.75">
      <c r="B277" s="5" t="s">
        <v>9</v>
      </c>
      <c r="D277" s="12">
        <f>D274+D275</f>
        <v>1376028976.257</v>
      </c>
      <c r="E277" s="12">
        <f ca="1">E274+E275</f>
        <v>102524117.41305003</v>
      </c>
      <c r="F277" s="692">
        <f>62392*F25</f>
        <v>1431334872</v>
      </c>
      <c r="G277" s="12">
        <f ca="1">G274+G275</f>
        <v>102524117.41305003</v>
      </c>
      <c r="H277" s="12">
        <f>H274+H275</f>
        <v>0</v>
      </c>
      <c r="I277" s="12">
        <f ca="1">I274+I275</f>
        <v>0</v>
      </c>
    </row>
    <row r="278" spans="2:9" ht="12.75">
      <c r="B278" s="5" t="s">
        <v>60</v>
      </c>
      <c r="D278" s="12"/>
      <c r="E278" s="10">
        <f ca="1">E277/D277*100</f>
        <v>7.450723726176946</v>
      </c>
      <c r="F278" s="12"/>
      <c r="G278" s="10">
        <f ca="1">G277/F277*100</f>
        <v>7.1628323614999605</v>
      </c>
      <c r="H278" s="12"/>
      <c r="I278" s="10" t="e">
        <f ca="1">I277/H277*100</f>
        <v>#DIV/0!</v>
      </c>
    </row>
    <row r="279" spans="4:8" ht="12.75">
      <c r="D279" s="12"/>
      <c r="F279" s="12"/>
      <c r="H279" s="12"/>
    </row>
    <row r="280" spans="2:8" ht="12.75">
      <c r="B280" s="111" t="s">
        <v>61</v>
      </c>
      <c r="D280" s="12"/>
      <c r="F280" s="12"/>
      <c r="H280" s="12"/>
    </row>
    <row r="281" spans="2:8" ht="12.75">
      <c r="B281" s="14" t="s">
        <v>410</v>
      </c>
      <c r="D281" s="12"/>
      <c r="F281" s="12"/>
      <c r="H281" s="12"/>
    </row>
    <row r="282" spans="2:9" ht="12.75">
      <c r="B282" s="89" t="s">
        <v>411</v>
      </c>
      <c r="C282" s="10">
        <f ca="1">F79</f>
        <v>7.535</v>
      </c>
      <c r="D282" s="12">
        <f>D274</f>
        <v>1229791151.80367</v>
      </c>
      <c r="E282" s="11">
        <f ca="1">C282*D282/100</f>
        <v>92664763.28840652</v>
      </c>
      <c r="F282" s="12">
        <f>MIN(D282,F285)</f>
        <v>1229791151.80367</v>
      </c>
      <c r="G282" s="11">
        <f ca="1">F282*C282/100</f>
        <v>92664763.28840652</v>
      </c>
      <c r="H282" s="12">
        <f>H274</f>
        <v>0</v>
      </c>
      <c r="I282" s="11">
        <f ca="1">H282*C282/100</f>
        <v>0</v>
      </c>
    </row>
    <row r="283" spans="2:9" ht="12.75">
      <c r="B283" s="89" t="s">
        <v>412</v>
      </c>
      <c r="C283" s="10">
        <f ca="1">F80</f>
        <v>6.742</v>
      </c>
      <c r="D283" s="12">
        <f>D275</f>
        <v>146237824.45333</v>
      </c>
      <c r="E283" s="11">
        <f ca="1">C283*D283/100</f>
        <v>9859354.12464351</v>
      </c>
      <c r="F283" s="12">
        <f>MIN(F285-F282,D283)</f>
        <v>146237824.45333</v>
      </c>
      <c r="G283" s="11">
        <f ca="1">F283*C283/100</f>
        <v>9859354.12464351</v>
      </c>
      <c r="H283" s="12">
        <f>H275</f>
        <v>0</v>
      </c>
      <c r="I283" s="11">
        <f ca="1">H283*C283/100</f>
        <v>0</v>
      </c>
    </row>
    <row r="284" spans="4:9" ht="12.75">
      <c r="D284" s="107"/>
      <c r="E284" s="199"/>
      <c r="F284" s="107"/>
      <c r="G284" s="199"/>
      <c r="H284" s="107"/>
      <c r="I284" s="199"/>
    </row>
    <row r="285" spans="2:9" ht="12.75">
      <c r="B285" s="5" t="s">
        <v>9</v>
      </c>
      <c r="D285" s="12">
        <f>D282+D283</f>
        <v>1376028976.257</v>
      </c>
      <c r="E285" s="12">
        <f ca="1">E282+E283</f>
        <v>102524117.41305003</v>
      </c>
      <c r="F285" s="12">
        <f>F277</f>
        <v>1431334872</v>
      </c>
      <c r="G285" s="12">
        <f ca="1">G282+G283</f>
        <v>102524117.41305003</v>
      </c>
      <c r="H285" s="12">
        <f>H282+H283</f>
        <v>0</v>
      </c>
      <c r="I285" s="12">
        <f ca="1">I282+I283</f>
        <v>0</v>
      </c>
    </row>
    <row r="286" spans="2:9" ht="12.75">
      <c r="B286" s="5" t="s">
        <v>60</v>
      </c>
      <c r="D286" s="12"/>
      <c r="F286" s="12"/>
      <c r="G286" s="10">
        <f ca="1">G285/F285*100</f>
        <v>7.1628323614999605</v>
      </c>
      <c r="H286" s="12"/>
      <c r="I286" s="10" t="e">
        <f ca="1">I285/H285*100</f>
        <v>#DIV/0!</v>
      </c>
    </row>
    <row r="294" spans="2:6" ht="12.75">
      <c r="B294" s="337" t="s">
        <v>916</v>
      </c>
      <c r="C294" s="337"/>
      <c r="D294" s="337"/>
      <c r="E294" s="337"/>
      <c r="F294" s="337"/>
    </row>
    <row r="295" ht="12.75">
      <c r="B295" s="337" t="str">
        <f>"53,800 X "&amp;TEXT(F25,"#,##0")&amp;" = "&amp;TEXT(F277,"#,##0")</f>
        <v>53,800 X 22,941 = 1,431,334,872</v>
      </c>
    </row>
    <row r="299" spans="4:9" ht="12.75">
      <c r="D299" s="9">
        <f ca="1">D207/D48</f>
        <v>0</v>
      </c>
      <c r="E299" s="9">
        <f ca="1">E207/E48</f>
        <v>3.926662738121652E-09</v>
      </c>
      <c r="F299" s="9">
        <f ca="1">F207/F48</f>
        <v>-3.3531347557211875E-08</v>
      </c>
      <c r="G299" s="9">
        <f ca="1">G207/G48</f>
        <v>1.2681158124536708E-05</v>
      </c>
      <c r="H299" s="9">
        <f ca="1">H207/H48</f>
        <v>0</v>
      </c>
      <c r="I299" s="9"/>
    </row>
    <row r="300" spans="4:8" ht="12.75">
      <c r="D300" s="8">
        <f>D23/D25</f>
        <v>914.4760369300907</v>
      </c>
      <c r="E300" s="8">
        <f>E23/E25</f>
        <v>1587.2806693602106</v>
      </c>
      <c r="F300" s="8">
        <f>F23/F25</f>
        <v>59699.669859945076</v>
      </c>
      <c r="G300" s="8">
        <f>G23/G25</f>
        <v>3934426.0192572465</v>
      </c>
      <c r="H300" s="8">
        <f>H23/H25</f>
        <v>4734.268718364302</v>
      </c>
    </row>
    <row r="301" spans="4:8" ht="12.75">
      <c r="D301" s="679">
        <f>D300*-Open!G13</f>
        <v>0</v>
      </c>
      <c r="E301" s="679">
        <f>E300*-Open!G15</f>
        <v>0</v>
      </c>
      <c r="F301" s="679">
        <f>F300*-Open!G17</f>
        <v>0</v>
      </c>
      <c r="G301" s="679">
        <f>G300*-Open!G19</f>
        <v>0</v>
      </c>
      <c r="H301" s="679">
        <f>H300*-Open!G21</f>
        <v>0</v>
      </c>
    </row>
    <row r="302" ht="12.75">
      <c r="D302" s="538">
        <f ca="1">(800*((D79-D62)/100))+(118*((D80-D63)/100))+(D76-D59)</f>
        <v>0</v>
      </c>
    </row>
    <row r="305" spans="4:8" ht="12.75">
      <c r="D305" s="9">
        <f ca="1">D299+D301</f>
        <v>0</v>
      </c>
      <c r="E305" s="9">
        <f ca="1">E299+E301</f>
        <v>3.926662738121652E-09</v>
      </c>
      <c r="F305" s="9">
        <f ca="1">F299+F301</f>
        <v>-3.3531347557211875E-08</v>
      </c>
      <c r="G305" s="9">
        <f ca="1">G299+G301</f>
        <v>1.2681158124536708E-05</v>
      </c>
      <c r="H305" s="9">
        <f ca="1">H299+H301</f>
        <v>0</v>
      </c>
    </row>
    <row r="309" ht="12.75">
      <c r="D309" s="12"/>
    </row>
    <row r="310" ht="12.75">
      <c r="D310" s="12"/>
    </row>
    <row r="311" ht="12.75">
      <c r="D311" s="8"/>
    </row>
  </sheetData>
  <mergeCells count="2">
    <mergeCell ref="P6:R11"/>
    <mergeCell ref="B95:H96"/>
  </mergeCells>
  <conditionalFormatting sqref="L55">
    <cfRule type="cellIs" priority="1" dxfId="0" operator="greaterThan" stopIfTrue="1">
      <formula>0</formula>
    </cfRule>
  </conditionalFormatting>
  <printOptions/>
  <pageMargins left="0.75" right="0.75" top="0.5" bottom="0.5" header="0.25" footer="0.5"/>
  <pageSetup horizontalDpi="600" verticalDpi="600" orientation="landscape" scale="89" r:id="rId4"/>
  <headerFooter alignWithMargins="0">
    <oddHeader>&amp;C&amp;"Arial,Bold"&amp;9AVISTA UTILITIES
WASHINGTON ELECTRIC
PRO FORMA REVENUE UNDER PRESENT AND PROPOSED BASE TARIFF RATES
12 MONTHS ENDED DECEMBER 31, 2019</oddHeader>
  </headerFooter>
  <rowBreaks count="5" manualBreakCount="5">
    <brk id="51" max="16383" man="1"/>
    <brk id="100" max="16383" man="1"/>
    <brk id="154" max="16383" man="1"/>
    <brk id="209" max="16383" man="1"/>
    <brk id="264" max="16383" man="1"/>
  </rowBreaks>
  <drawing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W175"/>
  <sheetViews>
    <sheetView showGridLines="0" zoomScale="115" zoomScaleNormal="115" workbookViewId="0" topLeftCell="A1">
      <pane xSplit="3" ySplit="3" topLeftCell="D4" activePane="bottomRight" state="frozen"/>
      <selection pane="topLeft" activeCell="J53" sqref="J53"/>
      <selection pane="topRight" activeCell="J53" sqref="J53"/>
      <selection pane="bottomLeft" activeCell="J53" sqref="J53"/>
      <selection pane="bottomRight" activeCell="F12" sqref="F12"/>
    </sheetView>
  </sheetViews>
  <sheetFormatPr defaultColWidth="9.140625" defaultRowHeight="12.75"/>
  <cols>
    <col min="1" max="1" width="4.28125" style="0" customWidth="1"/>
    <col min="2" max="2" width="20.57421875" style="0" customWidth="1"/>
    <col min="3" max="3" width="10.28125" style="0" customWidth="1"/>
    <col min="4" max="4" width="12.7109375" style="0" bestFit="1" customWidth="1"/>
    <col min="5" max="5" width="11.7109375" style="0" bestFit="1" customWidth="1"/>
    <col min="6" max="6" width="13.28125" style="0" bestFit="1" customWidth="1"/>
    <col min="7" max="7" width="13.421875" style="0" bestFit="1" customWidth="1"/>
    <col min="8" max="8" width="12.7109375" style="0" bestFit="1" customWidth="1"/>
    <col min="9" max="11" width="13.28125" style="0" bestFit="1" customWidth="1"/>
    <col min="12" max="12" width="13.00390625" style="0" bestFit="1" customWidth="1"/>
    <col min="13" max="13" width="12.57421875" style="0" bestFit="1" customWidth="1"/>
    <col min="14" max="15" width="12.7109375" style="0" bestFit="1" customWidth="1"/>
    <col min="16" max="16" width="14.57421875" style="0" bestFit="1" customWidth="1"/>
    <col min="17" max="18" width="12.7109375" style="0" bestFit="1" customWidth="1"/>
    <col min="19" max="19" width="13.28125" style="0" bestFit="1" customWidth="1"/>
    <col min="20" max="20" width="9.28125" style="0" bestFit="1" customWidth="1"/>
    <col min="22" max="22" width="11.8515625" style="0" bestFit="1" customWidth="1"/>
  </cols>
  <sheetData>
    <row r="1" spans="1:19" ht="15">
      <c r="A1" s="62" t="s">
        <v>72</v>
      </c>
      <c r="Q1" s="45" t="s">
        <v>366</v>
      </c>
      <c r="R1" s="234">
        <f>Q2</f>
        <v>500000</v>
      </c>
      <c r="S1" s="234">
        <f>R2</f>
        <v>6000000</v>
      </c>
    </row>
    <row r="2" spans="5:19" ht="12.75">
      <c r="E2" s="322"/>
      <c r="F2" s="322"/>
      <c r="G2" s="322"/>
      <c r="H2" s="322"/>
      <c r="I2" s="322"/>
      <c r="J2" s="322"/>
      <c r="K2" s="322"/>
      <c r="L2" s="322"/>
      <c r="M2" s="322"/>
      <c r="N2" s="322"/>
      <c r="O2" s="322"/>
      <c r="P2" s="35" t="s">
        <v>401</v>
      </c>
      <c r="Q2" s="155">
        <v>500000</v>
      </c>
      <c r="R2" s="155">
        <v>6000000</v>
      </c>
      <c r="S2" s="235">
        <v>99999999</v>
      </c>
    </row>
    <row r="3" spans="1:19" ht="12.75">
      <c r="A3" s="117" t="s">
        <v>402</v>
      </c>
      <c r="B3" s="117"/>
      <c r="C3" s="435" t="s">
        <v>74</v>
      </c>
      <c r="D3" s="426">
        <v>43466</v>
      </c>
      <c r="E3" s="569">
        <v>43497</v>
      </c>
      <c r="F3" s="569">
        <v>43525</v>
      </c>
      <c r="G3" s="569">
        <v>43556</v>
      </c>
      <c r="H3" s="569">
        <v>43586</v>
      </c>
      <c r="I3" s="569">
        <v>43617</v>
      </c>
      <c r="J3" s="569">
        <v>43647</v>
      </c>
      <c r="K3" s="569">
        <v>43678</v>
      </c>
      <c r="L3" s="569">
        <v>43709</v>
      </c>
      <c r="M3" s="569">
        <v>43739</v>
      </c>
      <c r="N3" s="569">
        <v>43770</v>
      </c>
      <c r="O3" s="569">
        <v>43800</v>
      </c>
      <c r="P3" s="35" t="s">
        <v>66</v>
      </c>
      <c r="Q3" s="236" t="s">
        <v>367</v>
      </c>
      <c r="R3" s="236" t="s">
        <v>367</v>
      </c>
      <c r="S3" s="236" t="s">
        <v>367</v>
      </c>
    </row>
    <row r="4" spans="1:19" ht="12.75">
      <c r="A4">
        <v>1</v>
      </c>
      <c r="B4" s="726"/>
      <c r="C4" s="680" t="s">
        <v>790</v>
      </c>
      <c r="D4" s="565">
        <v>6430355.4</v>
      </c>
      <c r="E4" s="565">
        <v>5834220</v>
      </c>
      <c r="F4" s="565">
        <v>6772222.8</v>
      </c>
      <c r="G4" s="565">
        <v>5461138.2</v>
      </c>
      <c r="H4" s="565">
        <v>6566826</v>
      </c>
      <c r="I4" s="565">
        <v>6641355</v>
      </c>
      <c r="J4" s="566">
        <v>6479961.6</v>
      </c>
      <c r="K4" s="566">
        <v>6676870.2</v>
      </c>
      <c r="L4" s="566">
        <v>6590295.6</v>
      </c>
      <c r="M4" s="557">
        <v>4241370</v>
      </c>
      <c r="N4" s="557">
        <v>3978168.6</v>
      </c>
      <c r="O4" s="557">
        <v>3647007</v>
      </c>
      <c r="P4" s="37">
        <f aca="true" t="shared" si="0" ref="P4:P24">SUM(D4:O4)</f>
        <v>69319790.4</v>
      </c>
      <c r="Q4" s="173">
        <f>Q$2*12-SUMPRODUCT(--($D4:$O4&lt;=Q$2),Q$2-$D4:$O4)</f>
        <v>6000000</v>
      </c>
      <c r="R4" s="173">
        <f>R$2*12-SUM($Q4:Q4)-SUMPRODUCT(--($D4:$O4&lt;=R$2),R$2-$D4:$O4)</f>
        <v>59161903.8</v>
      </c>
      <c r="S4" s="173">
        <f>S$2*12-SUM($Q4:R4)-SUMPRODUCT(--($D4:$O4&lt;=S$2),S$2-$D4:$O4)</f>
        <v>4157886.600000143</v>
      </c>
    </row>
    <row r="5" spans="1:19" ht="12.75">
      <c r="A5">
        <v>2</v>
      </c>
      <c r="B5" s="726"/>
      <c r="C5" s="680" t="s">
        <v>791</v>
      </c>
      <c r="D5" s="565">
        <v>2489222.4</v>
      </c>
      <c r="E5" s="565">
        <v>2924871.6</v>
      </c>
      <c r="F5" s="565">
        <v>3069759</v>
      </c>
      <c r="G5" s="565">
        <v>2967686.4</v>
      </c>
      <c r="H5" s="565">
        <v>2938063.8</v>
      </c>
      <c r="I5" s="565">
        <v>2839666.2</v>
      </c>
      <c r="J5" s="566">
        <v>2858247</v>
      </c>
      <c r="K5" s="566">
        <v>2982000</v>
      </c>
      <c r="L5" s="566">
        <v>2826234.6</v>
      </c>
      <c r="M5" s="557">
        <v>2987325.6</v>
      </c>
      <c r="N5" s="557">
        <v>2858725.8</v>
      </c>
      <c r="O5" s="557">
        <v>2088534</v>
      </c>
      <c r="P5" s="37">
        <f t="shared" si="0"/>
        <v>33830336.400000006</v>
      </c>
      <c r="Q5" s="173">
        <f aca="true" t="shared" si="1" ref="Q5:Q24">Q$2*12-SUMPRODUCT(--($D5:$O5&lt;=Q$2),Q$2-$D5:$O5)</f>
        <v>6000000</v>
      </c>
      <c r="R5" s="173">
        <f>R$2*12-SUM($Q5:Q5)-SUMPRODUCT(--($D5:$O5&lt;=R$2),R$2-$D5:$O5)</f>
        <v>27830336.4</v>
      </c>
      <c r="S5" s="173">
        <f>S$2*12-SUM($Q5:R5)-SUMPRODUCT(--($D5:$O5&lt;=S$2),S$2-$D5:$O5)</f>
        <v>0</v>
      </c>
    </row>
    <row r="6" spans="1:19" ht="12.75">
      <c r="A6">
        <v>3</v>
      </c>
      <c r="B6" s="726"/>
      <c r="C6" s="680" t="s">
        <v>792</v>
      </c>
      <c r="D6" s="565">
        <v>1540777</v>
      </c>
      <c r="E6" s="565">
        <v>1346983.4</v>
      </c>
      <c r="F6" s="565">
        <v>1473201.8</v>
      </c>
      <c r="G6" s="565">
        <v>1247283.8</v>
      </c>
      <c r="H6" s="565">
        <v>1264634</v>
      </c>
      <c r="I6" s="565">
        <v>1231641.6</v>
      </c>
      <c r="J6" s="566">
        <v>1276636.2</v>
      </c>
      <c r="K6" s="566">
        <v>1211726.6</v>
      </c>
      <c r="L6" s="566">
        <v>1230002.2</v>
      </c>
      <c r="M6" s="557">
        <v>1437599.8</v>
      </c>
      <c r="N6" s="557">
        <v>1268366.4</v>
      </c>
      <c r="O6" s="557">
        <v>1327428.2</v>
      </c>
      <c r="P6" s="37">
        <f t="shared" si="0"/>
        <v>15856280.999999998</v>
      </c>
      <c r="Q6" s="173">
        <f t="shared" si="1"/>
        <v>6000000</v>
      </c>
      <c r="R6" s="173">
        <f>R$2*12-SUM($Q6:Q6)-SUMPRODUCT(--($D6:$O6&lt;=R$2),R$2-$D6:$O6)</f>
        <v>9856281</v>
      </c>
      <c r="S6" s="173">
        <f>S$2*12-SUM($Q6:R6)-SUMPRODUCT(--($D6:$O6&lt;=S$2),S$2-$D6:$O6)</f>
        <v>0</v>
      </c>
    </row>
    <row r="7" spans="1:19" ht="12.75">
      <c r="A7">
        <v>4</v>
      </c>
      <c r="B7" s="726"/>
      <c r="C7" s="680" t="s">
        <v>793</v>
      </c>
      <c r="D7" s="565">
        <v>1352948.1</v>
      </c>
      <c r="E7" s="565">
        <v>1264439.4</v>
      </c>
      <c r="F7" s="565">
        <v>1402041.9</v>
      </c>
      <c r="G7" s="565">
        <v>1231146</v>
      </c>
      <c r="H7" s="565">
        <v>1287875.4</v>
      </c>
      <c r="I7" s="565">
        <v>1221032.4</v>
      </c>
      <c r="J7" s="566">
        <v>1295525.7</v>
      </c>
      <c r="K7" s="566">
        <v>1267560</v>
      </c>
      <c r="L7" s="565">
        <v>1223764.504</v>
      </c>
      <c r="M7" s="557">
        <v>1341954.6</v>
      </c>
      <c r="N7" s="557">
        <v>1374168.6</v>
      </c>
      <c r="O7" s="556">
        <v>1435293.3</v>
      </c>
      <c r="P7" s="37">
        <f t="shared" si="0"/>
        <v>15697749.904000001</v>
      </c>
      <c r="Q7" s="173">
        <f t="shared" si="1"/>
        <v>6000000</v>
      </c>
      <c r="R7" s="173">
        <f>R$2*12-SUM($Q7:Q7)-SUMPRODUCT(--($D7:$O7&lt;=R$2),R$2-$D7:$O7)</f>
        <v>9697749.903999992</v>
      </c>
      <c r="S7" s="173">
        <f>S$2*12-SUM($Q7:R7)-SUMPRODUCT(--($D7:$O7&lt;=S$2),S$2-$D7:$O7)</f>
        <v>0</v>
      </c>
    </row>
    <row r="8" spans="1:19" ht="12.75">
      <c r="A8">
        <v>5</v>
      </c>
      <c r="B8" s="726"/>
      <c r="C8" s="680" t="s">
        <v>794</v>
      </c>
      <c r="D8" s="565">
        <v>1702092</v>
      </c>
      <c r="E8" s="565">
        <v>1591291.8</v>
      </c>
      <c r="F8" s="565">
        <v>1673399.7</v>
      </c>
      <c r="G8" s="565">
        <v>1630085.1</v>
      </c>
      <c r="H8" s="565">
        <v>1897795.2</v>
      </c>
      <c r="I8" s="565">
        <v>1883613.9</v>
      </c>
      <c r="J8" s="566">
        <v>2068525.2</v>
      </c>
      <c r="K8" s="566">
        <v>2152669.05</v>
      </c>
      <c r="L8" s="566">
        <v>1809992.1</v>
      </c>
      <c r="M8" s="557">
        <v>1622814.9</v>
      </c>
      <c r="N8" s="557">
        <v>1526811.3</v>
      </c>
      <c r="O8" s="557">
        <v>1680707.7</v>
      </c>
      <c r="P8" s="37">
        <f t="shared" si="0"/>
        <v>21239797.95</v>
      </c>
      <c r="Q8" s="173">
        <f t="shared" si="1"/>
        <v>6000000</v>
      </c>
      <c r="R8" s="173">
        <f>R$2*12-SUM($Q8:Q8)-SUMPRODUCT(--($D8:$O8&lt;=R$2),R$2-$D8:$O8)</f>
        <v>15239797.949999996</v>
      </c>
      <c r="S8" s="173">
        <f>S$2*12-SUM($Q8:R8)-SUMPRODUCT(--($D8:$O8&lt;=S$2),S$2-$D8:$O8)</f>
        <v>0</v>
      </c>
    </row>
    <row r="9" spans="1:19" ht="12.75">
      <c r="A9">
        <v>6</v>
      </c>
      <c r="B9" s="726"/>
      <c r="C9" s="680" t="s">
        <v>795</v>
      </c>
      <c r="D9" s="565">
        <v>2304565.2</v>
      </c>
      <c r="E9" s="565">
        <v>2401187.6</v>
      </c>
      <c r="F9" s="565">
        <v>2216379.2</v>
      </c>
      <c r="G9" s="565">
        <v>2001342</v>
      </c>
      <c r="H9" s="565">
        <v>1765531.6</v>
      </c>
      <c r="I9" s="565">
        <v>1635488.4</v>
      </c>
      <c r="J9" s="566">
        <v>1831124.4</v>
      </c>
      <c r="K9" s="566">
        <v>2051921.2</v>
      </c>
      <c r="L9" s="566">
        <v>2065095.2</v>
      </c>
      <c r="M9" s="557">
        <v>2194743.6</v>
      </c>
      <c r="N9" s="557">
        <v>2178733.2</v>
      </c>
      <c r="O9" s="557">
        <v>2139620</v>
      </c>
      <c r="P9" s="37">
        <f t="shared" si="0"/>
        <v>24785731.6</v>
      </c>
      <c r="Q9" s="173">
        <f t="shared" si="1"/>
        <v>6000000</v>
      </c>
      <c r="R9" s="173">
        <f>R$2*12-SUM($Q9:Q9)-SUMPRODUCT(--($D9:$O9&lt;=R$2),R$2-$D9:$O9)</f>
        <v>18785731.6</v>
      </c>
      <c r="S9" s="173">
        <f>S$2*12-SUM($Q9:R9)-SUMPRODUCT(--($D9:$O9&lt;=S$2),S$2-$D9:$O9)</f>
        <v>0</v>
      </c>
    </row>
    <row r="10" spans="1:19" ht="12.75">
      <c r="A10">
        <v>7</v>
      </c>
      <c r="B10" s="726"/>
      <c r="C10" s="680" t="s">
        <v>796</v>
      </c>
      <c r="D10" s="565">
        <v>1228851.4</v>
      </c>
      <c r="E10" s="565">
        <v>1108142</v>
      </c>
      <c r="F10" s="565">
        <v>1209637.8</v>
      </c>
      <c r="G10" s="565">
        <v>1196998.6</v>
      </c>
      <c r="H10" s="565">
        <v>1275577.8</v>
      </c>
      <c r="I10" s="565">
        <v>1274086.8</v>
      </c>
      <c r="J10" s="566">
        <v>1361623.2</v>
      </c>
      <c r="K10" s="565">
        <v>1441545</v>
      </c>
      <c r="L10" s="566">
        <v>1281733.6</v>
      </c>
      <c r="M10" s="557">
        <v>1280935.6</v>
      </c>
      <c r="N10" s="557">
        <v>1253442.4</v>
      </c>
      <c r="O10" s="557">
        <v>1206101.4</v>
      </c>
      <c r="P10" s="37">
        <f t="shared" si="0"/>
        <v>15118675.6</v>
      </c>
      <c r="Q10" s="173">
        <f t="shared" si="1"/>
        <v>6000000</v>
      </c>
      <c r="R10" s="173">
        <f>R$2*12-SUM($Q10:Q10)-SUMPRODUCT(--($D10:$O10&lt;=R$2),R$2-$D10:$O10)</f>
        <v>9118675.599999994</v>
      </c>
      <c r="S10" s="173">
        <f>S$2*12-SUM($Q10:R10)-SUMPRODUCT(--($D10:$O10&lt;=S$2),S$2-$D10:$O10)</f>
        <v>0</v>
      </c>
    </row>
    <row r="11" spans="1:19" ht="12.75">
      <c r="A11">
        <v>8</v>
      </c>
      <c r="B11" s="726"/>
      <c r="C11" s="680" t="s">
        <v>797</v>
      </c>
      <c r="D11" s="565">
        <v>1014295.8</v>
      </c>
      <c r="E11" s="565">
        <v>920665.2</v>
      </c>
      <c r="F11" s="565">
        <v>1040461.8</v>
      </c>
      <c r="G11" s="565">
        <v>1028403.6</v>
      </c>
      <c r="H11" s="565">
        <v>1090068</v>
      </c>
      <c r="I11" s="565">
        <v>1089215.4</v>
      </c>
      <c r="J11" s="565">
        <v>1102201.8</v>
      </c>
      <c r="K11" s="566">
        <v>1142723.4</v>
      </c>
      <c r="L11" s="566">
        <v>1004530.8</v>
      </c>
      <c r="M11" s="556">
        <v>1109871</v>
      </c>
      <c r="N11" s="557">
        <v>957184.2</v>
      </c>
      <c r="O11" s="557">
        <v>1008655.2</v>
      </c>
      <c r="P11" s="37">
        <f t="shared" si="0"/>
        <v>12508276.2</v>
      </c>
      <c r="Q11" s="173">
        <f t="shared" si="1"/>
        <v>6000000</v>
      </c>
      <c r="R11" s="173">
        <f>R$2*12-SUM($Q11:Q11)-SUMPRODUCT(--($D11:$O11&lt;=R$2),R$2-$D11:$O11)</f>
        <v>6508276.1999999955</v>
      </c>
      <c r="S11" s="173">
        <f>S$2*12-SUM($Q11:R11)-SUMPRODUCT(--($D11:$O11&lt;=S$2),S$2-$D11:$O11)</f>
        <v>0</v>
      </c>
    </row>
    <row r="12" spans="1:23" ht="12.75">
      <c r="A12">
        <v>9</v>
      </c>
      <c r="B12" s="726"/>
      <c r="C12" s="680" t="s">
        <v>798</v>
      </c>
      <c r="D12" s="565">
        <v>36161892</v>
      </c>
      <c r="E12" s="565">
        <v>35055804</v>
      </c>
      <c r="F12" s="565">
        <v>35276106</v>
      </c>
      <c r="G12" s="565">
        <v>34282368</v>
      </c>
      <c r="H12" s="565">
        <v>38684638</v>
      </c>
      <c r="I12" s="565">
        <v>37544592</v>
      </c>
      <c r="J12" s="566">
        <v>40314368</v>
      </c>
      <c r="K12" s="566">
        <v>40335278</v>
      </c>
      <c r="L12" s="566">
        <v>38614866</v>
      </c>
      <c r="M12" s="557">
        <v>40639056</v>
      </c>
      <c r="N12" s="557">
        <v>33404254</v>
      </c>
      <c r="O12" s="557">
        <v>40786226</v>
      </c>
      <c r="P12" s="37">
        <f t="shared" si="0"/>
        <v>451099448</v>
      </c>
      <c r="Q12" s="173">
        <f t="shared" si="1"/>
        <v>6000000</v>
      </c>
      <c r="R12" s="173">
        <f>R$2*12-SUM($Q12:Q12)-SUMPRODUCT(--($D12:$O12&lt;=R$2),R$2-$D12:$O12)</f>
        <v>66000000</v>
      </c>
      <c r="S12" s="173">
        <f>S$2*12-SUM($Q12:R12)-SUMPRODUCT(--($D12:$O12&lt;=S$2),S$2-$D12:$O12)</f>
        <v>379099448</v>
      </c>
      <c r="V12" s="221">
        <f>P12*0.00205</f>
        <v>924753.8684</v>
      </c>
      <c r="W12" s="435" t="s">
        <v>994</v>
      </c>
    </row>
    <row r="13" spans="1:19" ht="12.75">
      <c r="A13">
        <v>10</v>
      </c>
      <c r="B13" s="726"/>
      <c r="C13" s="680" t="s">
        <v>799</v>
      </c>
      <c r="D13" s="565">
        <v>5425757.4</v>
      </c>
      <c r="E13" s="565">
        <v>4067649.6</v>
      </c>
      <c r="F13" s="565">
        <v>5397126</v>
      </c>
      <c r="G13" s="565">
        <v>4048065</v>
      </c>
      <c r="H13" s="565">
        <v>5523718.2</v>
      </c>
      <c r="I13" s="565">
        <v>5344491.6</v>
      </c>
      <c r="J13" s="566">
        <v>5579019.6</v>
      </c>
      <c r="K13" s="566">
        <v>5677425.6</v>
      </c>
      <c r="L13" s="566">
        <v>5432989.8</v>
      </c>
      <c r="M13" s="557">
        <v>5384127</v>
      </c>
      <c r="N13" s="557">
        <v>4750036.2</v>
      </c>
      <c r="O13" s="557">
        <v>4830865.2</v>
      </c>
      <c r="P13" s="37">
        <f t="shared" si="0"/>
        <v>61461271.2</v>
      </c>
      <c r="Q13" s="173">
        <f t="shared" si="1"/>
        <v>6000000</v>
      </c>
      <c r="R13" s="173">
        <f>R$2*12-SUM($Q13:Q13)-SUMPRODUCT(--($D13:$O13&lt;=R$2),R$2-$D13:$O13)</f>
        <v>55461271.2</v>
      </c>
      <c r="S13" s="173">
        <f>S$2*12-SUM($Q13:R13)-SUMPRODUCT(--($D13:$O13&lt;=S$2),S$2-$D13:$O13)</f>
        <v>0</v>
      </c>
    </row>
    <row r="14" spans="1:19" ht="12.75">
      <c r="A14">
        <v>11</v>
      </c>
      <c r="B14" s="726"/>
      <c r="C14" s="680" t="s">
        <v>800</v>
      </c>
      <c r="D14" s="565">
        <v>5699153.6</v>
      </c>
      <c r="E14" s="565">
        <v>4675479.2</v>
      </c>
      <c r="F14" s="565">
        <v>5387804.8</v>
      </c>
      <c r="G14" s="565">
        <v>3086608</v>
      </c>
      <c r="H14" s="565">
        <v>5451588.8</v>
      </c>
      <c r="I14" s="565">
        <v>5317446.4</v>
      </c>
      <c r="J14" s="566">
        <v>5464401.6</v>
      </c>
      <c r="K14" s="566">
        <v>5389888</v>
      </c>
      <c r="L14" s="566">
        <v>4830078.4</v>
      </c>
      <c r="M14" s="557">
        <v>5042686.6</v>
      </c>
      <c r="N14" s="557">
        <v>3148917.8</v>
      </c>
      <c r="O14" s="557">
        <v>4548415.2</v>
      </c>
      <c r="P14" s="37">
        <f t="shared" si="0"/>
        <v>58042468.400000006</v>
      </c>
      <c r="Q14" s="173">
        <f t="shared" si="1"/>
        <v>6000000</v>
      </c>
      <c r="R14" s="173">
        <f>R$2*12-SUM($Q14:Q14)-SUMPRODUCT(--($D14:$O14&lt;=R$2),R$2-$D14:$O14)</f>
        <v>52042468.4</v>
      </c>
      <c r="S14" s="173">
        <f>S$2*12-SUM($Q14:R14)-SUMPRODUCT(--($D14:$O14&lt;=S$2),S$2-$D14:$O14)</f>
        <v>0</v>
      </c>
    </row>
    <row r="15" spans="1:19" ht="12.75">
      <c r="A15">
        <v>12</v>
      </c>
      <c r="B15" s="726"/>
      <c r="C15" s="680" t="s">
        <v>801</v>
      </c>
      <c r="D15" s="565">
        <v>3145375.8</v>
      </c>
      <c r="E15" s="565">
        <v>2906864.1</v>
      </c>
      <c r="F15" s="565">
        <v>3123668.1</v>
      </c>
      <c r="G15" s="565">
        <v>3080977.2</v>
      </c>
      <c r="H15" s="565">
        <v>3501913.8</v>
      </c>
      <c r="I15" s="565">
        <v>3576136.2</v>
      </c>
      <c r="J15" s="565">
        <v>3982116.6</v>
      </c>
      <c r="K15" s="565">
        <v>4114332.6</v>
      </c>
      <c r="L15" s="565">
        <v>3464176.8</v>
      </c>
      <c r="M15" s="556">
        <v>3097831.8</v>
      </c>
      <c r="N15" s="556">
        <v>2982909.3</v>
      </c>
      <c r="O15" s="556">
        <v>3113638.5</v>
      </c>
      <c r="P15" s="37">
        <f t="shared" si="0"/>
        <v>40089940.8</v>
      </c>
      <c r="Q15" s="173">
        <f t="shared" si="1"/>
        <v>6000000</v>
      </c>
      <c r="R15" s="173">
        <f>R$2*12-SUM($Q15:Q15)-SUMPRODUCT(--($D15:$O15&lt;=R$2),R$2-$D15:$O15)</f>
        <v>34089940.800000004</v>
      </c>
      <c r="S15" s="173">
        <f>S$2*12-SUM($Q15:R15)-SUMPRODUCT(--($D15:$O15&lt;=S$2),S$2-$D15:$O15)</f>
        <v>0</v>
      </c>
    </row>
    <row r="16" spans="1:19" ht="12.75">
      <c r="A16">
        <v>13</v>
      </c>
      <c r="B16" s="726"/>
      <c r="C16" s="680" t="s">
        <v>802</v>
      </c>
      <c r="D16" s="565">
        <v>908495.7</v>
      </c>
      <c r="E16" s="565">
        <v>840762.3</v>
      </c>
      <c r="F16" s="565">
        <v>892970.4</v>
      </c>
      <c r="G16" s="565">
        <v>907827.9</v>
      </c>
      <c r="H16" s="565">
        <v>1046360.7</v>
      </c>
      <c r="I16" s="565">
        <v>1030852.2</v>
      </c>
      <c r="J16" s="566">
        <v>1122424.8</v>
      </c>
      <c r="K16" s="566">
        <v>1142553.3</v>
      </c>
      <c r="L16" s="566">
        <v>998959.5</v>
      </c>
      <c r="M16" s="557">
        <v>891912</v>
      </c>
      <c r="N16" s="557">
        <v>850724.7</v>
      </c>
      <c r="O16" s="557">
        <v>890435.7</v>
      </c>
      <c r="P16" s="37">
        <f t="shared" si="0"/>
        <v>11524279.2</v>
      </c>
      <c r="Q16" s="173">
        <f t="shared" si="1"/>
        <v>6000000</v>
      </c>
      <c r="R16" s="173">
        <f>R$2*12-SUM($Q16:Q16)-SUMPRODUCT(--($D16:$O16&lt;=R$2),R$2-$D16:$O16)</f>
        <v>5524279.200000003</v>
      </c>
      <c r="S16" s="173">
        <f>S$2*12-SUM($Q16:R16)-SUMPRODUCT(--($D16:$O16&lt;=S$2),S$2-$D16:$O16)</f>
        <v>0</v>
      </c>
    </row>
    <row r="17" spans="1:19" ht="12.75">
      <c r="A17">
        <v>14</v>
      </c>
      <c r="B17" s="726"/>
      <c r="C17" s="681" t="s">
        <v>803</v>
      </c>
      <c r="D17" s="565">
        <v>1041768</v>
      </c>
      <c r="E17" s="565">
        <v>961987.2</v>
      </c>
      <c r="F17" s="565">
        <v>979598.4</v>
      </c>
      <c r="G17" s="565">
        <v>998028</v>
      </c>
      <c r="H17" s="565">
        <v>1073128.8</v>
      </c>
      <c r="I17" s="565">
        <v>963899.4</v>
      </c>
      <c r="J17" s="566">
        <v>1020265.2</v>
      </c>
      <c r="K17" s="566">
        <v>951238.2</v>
      </c>
      <c r="L17" s="566">
        <v>939187.2</v>
      </c>
      <c r="M17" s="556">
        <v>1032136.8</v>
      </c>
      <c r="N17" s="556">
        <v>791913</v>
      </c>
      <c r="O17" s="556">
        <v>874927.2</v>
      </c>
      <c r="P17" s="37">
        <f t="shared" si="0"/>
        <v>11628077.4</v>
      </c>
      <c r="Q17" s="173">
        <f t="shared" si="1"/>
        <v>6000000</v>
      </c>
      <c r="R17" s="173">
        <f>R$2*12-SUM($Q17:Q17)-SUMPRODUCT(--($D17:$O17&lt;=R$2),R$2-$D17:$O17)</f>
        <v>5628077.400000013</v>
      </c>
      <c r="S17" s="173">
        <f>S$2*12-SUM($Q17:R17)-SUMPRODUCT(--($D17:$O17&lt;=S$2),S$2-$D17:$O17)</f>
        <v>0</v>
      </c>
    </row>
    <row r="18" spans="1:19" ht="12.75">
      <c r="A18">
        <v>15</v>
      </c>
      <c r="B18" s="726"/>
      <c r="C18" s="680" t="s">
        <v>804</v>
      </c>
      <c r="D18" s="565">
        <v>1277908.8</v>
      </c>
      <c r="E18" s="565">
        <v>1119014.4</v>
      </c>
      <c r="F18" s="565">
        <v>1207836</v>
      </c>
      <c r="G18" s="565">
        <v>1144088.4</v>
      </c>
      <c r="H18" s="565">
        <v>1235388</v>
      </c>
      <c r="I18" s="565">
        <v>1242376.8</v>
      </c>
      <c r="J18" s="566">
        <v>1362211.2</v>
      </c>
      <c r="K18" s="566">
        <v>1430923.2</v>
      </c>
      <c r="L18" s="566">
        <v>1217521.2</v>
      </c>
      <c r="M18" s="557">
        <v>1178335.2</v>
      </c>
      <c r="N18" s="556">
        <v>1179502.8</v>
      </c>
      <c r="O18" s="557">
        <v>1089341.4</v>
      </c>
      <c r="P18" s="37">
        <f t="shared" si="0"/>
        <v>14684447.399999999</v>
      </c>
      <c r="Q18" s="173">
        <f t="shared" si="1"/>
        <v>6000000</v>
      </c>
      <c r="R18" s="173">
        <f>R$2*12-SUM($Q18:Q18)-SUMPRODUCT(--($D18:$O18&lt;=R$2),R$2-$D18:$O18)</f>
        <v>8684447.400000006</v>
      </c>
      <c r="S18" s="173">
        <f>S$2*12-SUM($Q18:R18)-SUMPRODUCT(--($D18:$O18&lt;=S$2),S$2-$D18:$O18)</f>
        <v>0</v>
      </c>
    </row>
    <row r="19" spans="1:19" ht="12.75">
      <c r="A19">
        <v>16</v>
      </c>
      <c r="B19" s="726"/>
      <c r="C19" s="680" t="s">
        <v>805</v>
      </c>
      <c r="D19" s="565">
        <v>2443134.4</v>
      </c>
      <c r="E19" s="565">
        <v>2144335.2</v>
      </c>
      <c r="F19" s="565">
        <v>2337361.6</v>
      </c>
      <c r="G19" s="565">
        <v>2038019.2</v>
      </c>
      <c r="H19" s="565">
        <v>1872600.8</v>
      </c>
      <c r="I19" s="565">
        <v>1966053.6</v>
      </c>
      <c r="J19" s="566">
        <v>2046626.4</v>
      </c>
      <c r="K19" s="566">
        <v>1872029.6</v>
      </c>
      <c r="L19" s="566">
        <v>1706678.4</v>
      </c>
      <c r="M19" s="557">
        <v>2161275.2</v>
      </c>
      <c r="N19" s="557">
        <v>2097821.6</v>
      </c>
      <c r="O19" s="557">
        <v>2095228.8</v>
      </c>
      <c r="P19" s="37">
        <f t="shared" si="0"/>
        <v>24781164.8</v>
      </c>
      <c r="Q19" s="173">
        <f t="shared" si="1"/>
        <v>6000000</v>
      </c>
      <c r="R19" s="173">
        <f>R$2*12-SUM($Q19:Q19)-SUMPRODUCT(--($D19:$O19&lt;=R$2),R$2-$D19:$O19)</f>
        <v>18781164.800000004</v>
      </c>
      <c r="S19" s="173">
        <f>S$2*12-SUM($Q19:R19)-SUMPRODUCT(--($D19:$O19&lt;=S$2),S$2-$D19:$O19)</f>
        <v>0</v>
      </c>
    </row>
    <row r="20" spans="1:19" ht="12.75">
      <c r="A20">
        <v>17</v>
      </c>
      <c r="B20" s="726"/>
      <c r="C20" s="680" t="s">
        <v>806</v>
      </c>
      <c r="D20" s="565">
        <v>2625235.2</v>
      </c>
      <c r="E20" s="565">
        <v>2513677.6</v>
      </c>
      <c r="F20" s="565">
        <v>2712830.4</v>
      </c>
      <c r="G20" s="565">
        <v>2454127.2</v>
      </c>
      <c r="H20" s="565">
        <v>2385269.6</v>
      </c>
      <c r="I20" s="565">
        <v>2260983.2</v>
      </c>
      <c r="J20" s="566">
        <v>2338896</v>
      </c>
      <c r="K20" s="566">
        <v>2448112.8</v>
      </c>
      <c r="L20" s="565">
        <v>2425589.6</v>
      </c>
      <c r="M20" s="557">
        <v>2592273.6</v>
      </c>
      <c r="N20" s="557">
        <v>2521019.2</v>
      </c>
      <c r="O20" s="556">
        <v>2595868.8</v>
      </c>
      <c r="P20" s="37">
        <f t="shared" si="0"/>
        <v>29873883.200000007</v>
      </c>
      <c r="Q20" s="173">
        <f t="shared" si="1"/>
        <v>6000000</v>
      </c>
      <c r="R20" s="173">
        <f>R$2*12-SUM($Q20:Q20)-SUMPRODUCT(--($D20:$O20&lt;=R$2),R$2-$D20:$O20)</f>
        <v>23873883.200000003</v>
      </c>
      <c r="S20" s="173">
        <f>S$2*12-SUM($Q20:R20)-SUMPRODUCT(--($D20:$O20&lt;=S$2),S$2-$D20:$O20)</f>
        <v>0</v>
      </c>
    </row>
    <row r="21" spans="1:19" ht="12.75">
      <c r="A21">
        <v>18</v>
      </c>
      <c r="B21" s="726"/>
      <c r="C21" s="680" t="s">
        <v>807</v>
      </c>
      <c r="D21" s="565">
        <v>4074088.47</v>
      </c>
      <c r="E21" s="565">
        <v>3735432.08</v>
      </c>
      <c r="F21" s="565">
        <v>3894820</v>
      </c>
      <c r="G21" s="565">
        <v>3475766.9</v>
      </c>
      <c r="H21" s="565">
        <v>3975953.7</v>
      </c>
      <c r="I21" s="565">
        <v>4146438.3</v>
      </c>
      <c r="J21" s="566">
        <v>4743233.49</v>
      </c>
      <c r="K21" s="566">
        <v>5200295.89</v>
      </c>
      <c r="L21" s="566">
        <v>4225127.69</v>
      </c>
      <c r="M21" s="557">
        <v>3955310.27</v>
      </c>
      <c r="N21" s="557">
        <v>4073921.27</v>
      </c>
      <c r="O21" s="556">
        <v>4189061</v>
      </c>
      <c r="P21" s="37">
        <f t="shared" si="0"/>
        <v>49689449.06000001</v>
      </c>
      <c r="Q21" s="173">
        <f t="shared" si="1"/>
        <v>6000000</v>
      </c>
      <c r="R21" s="173">
        <f>R$2*12-SUM($Q21:Q21)-SUMPRODUCT(--($D21:$O21&lt;=R$2),R$2-$D21:$O21)</f>
        <v>43689449.06</v>
      </c>
      <c r="S21" s="173">
        <f>S$2*12-SUM($Q21:R21)-SUMPRODUCT(--($D21:$O21&lt;=S$2),S$2-$D21:$O21)</f>
        <v>0</v>
      </c>
    </row>
    <row r="22" spans="1:19" ht="12.75">
      <c r="A22">
        <v>19</v>
      </c>
      <c r="B22" s="726"/>
      <c r="C22" s="680" t="s">
        <v>808</v>
      </c>
      <c r="D22" s="565">
        <v>3338542.2</v>
      </c>
      <c r="E22" s="565">
        <v>3082228.8</v>
      </c>
      <c r="F22" s="565">
        <v>3179446.2</v>
      </c>
      <c r="G22" s="565">
        <v>2963473.8</v>
      </c>
      <c r="H22" s="565">
        <v>2905484.4</v>
      </c>
      <c r="I22" s="565">
        <v>2736304.2</v>
      </c>
      <c r="J22" s="566">
        <v>2831325</v>
      </c>
      <c r="K22" s="566">
        <v>2882762.401</v>
      </c>
      <c r="L22" s="566">
        <v>2935837.8</v>
      </c>
      <c r="M22" s="557">
        <v>3192197.4</v>
      </c>
      <c r="N22" s="557">
        <v>3254874</v>
      </c>
      <c r="O22" s="557">
        <v>3400227.6</v>
      </c>
      <c r="P22" s="37">
        <f t="shared" si="0"/>
        <v>36702703.801</v>
      </c>
      <c r="Q22" s="173">
        <f t="shared" si="1"/>
        <v>6000000</v>
      </c>
      <c r="R22" s="173">
        <f>R$2*12-SUM($Q22:Q22)-SUMPRODUCT(--($D22:$O22&lt;=R$2),R$2-$D22:$O22)</f>
        <v>30702703.801</v>
      </c>
      <c r="S22" s="173">
        <f>S$2*12-SUM($Q22:R22)-SUMPRODUCT(--($D22:$O22&lt;=S$2),S$2-$D22:$O22)</f>
        <v>0</v>
      </c>
    </row>
    <row r="23" spans="1:19" ht="12.75">
      <c r="A23">
        <v>20</v>
      </c>
      <c r="B23" s="726"/>
      <c r="C23" s="680" t="s">
        <v>809</v>
      </c>
      <c r="D23" s="652">
        <v>3026576</v>
      </c>
      <c r="E23" s="652">
        <v>2990184</v>
      </c>
      <c r="F23" s="652">
        <v>3046976</v>
      </c>
      <c r="G23" s="652">
        <v>2713032</v>
      </c>
      <c r="H23" s="652">
        <v>2616832</v>
      </c>
      <c r="I23" s="652">
        <v>2535008</v>
      </c>
      <c r="J23" s="652">
        <v>2541848</v>
      </c>
      <c r="K23" s="652">
        <v>2592288</v>
      </c>
      <c r="L23" s="652">
        <v>2438608</v>
      </c>
      <c r="M23" s="651">
        <v>2575288</v>
      </c>
      <c r="N23" s="651">
        <v>2593312</v>
      </c>
      <c r="O23" s="651">
        <v>2605920</v>
      </c>
      <c r="P23" s="37">
        <f t="shared" si="0"/>
        <v>32275872</v>
      </c>
      <c r="Q23" s="173">
        <f t="shared" si="1"/>
        <v>6000000</v>
      </c>
      <c r="R23" s="173">
        <f>R$2*12-SUM($Q23:Q23)-SUMPRODUCT(--($D23:$O23&lt;=R$2),R$2-$D23:$O23)</f>
        <v>26275872</v>
      </c>
      <c r="S23" s="173">
        <f>S$2*12-SUM($Q23:R23)-SUMPRODUCT(--($D23:$O23&lt;=S$2),S$2-$D23:$O23)</f>
        <v>0</v>
      </c>
    </row>
    <row r="24" spans="1:19" ht="12.75">
      <c r="A24">
        <v>21</v>
      </c>
      <c r="B24" s="726"/>
      <c r="C24" s="680" t="s">
        <v>810</v>
      </c>
      <c r="D24" s="652">
        <v>2366302.4</v>
      </c>
      <c r="E24" s="652">
        <v>2198089.6</v>
      </c>
      <c r="F24" s="652">
        <v>2276612.8</v>
      </c>
      <c r="G24" s="652">
        <v>2306925.6</v>
      </c>
      <c r="H24" s="652">
        <v>2288518.4</v>
      </c>
      <c r="I24" s="652">
        <v>2609135.2</v>
      </c>
      <c r="J24" s="652">
        <v>3090948</v>
      </c>
      <c r="K24" s="652">
        <v>3605996.8</v>
      </c>
      <c r="L24" s="652">
        <v>3042250.4</v>
      </c>
      <c r="M24" s="652">
        <v>2602236</v>
      </c>
      <c r="N24" s="652">
        <v>2213898.4</v>
      </c>
      <c r="O24" s="652">
        <v>2088850.4</v>
      </c>
      <c r="P24" s="37">
        <f t="shared" si="0"/>
        <v>30689763.999999996</v>
      </c>
      <c r="Q24" s="173">
        <f t="shared" si="1"/>
        <v>6000000</v>
      </c>
      <c r="R24" s="173">
        <f>R$2*12-SUM($Q24:Q24)-SUMPRODUCT(--($D24:$O24&lt;=R$2),R$2-$D24:$O24)</f>
        <v>24689764</v>
      </c>
      <c r="S24" s="173">
        <f>S$2*12-SUM($Q24:R24)-SUMPRODUCT(--($D24:$O24&lt;=S$2),S$2-$D24:$O24)</f>
        <v>0</v>
      </c>
    </row>
    <row r="25" spans="1:19" s="19" customFormat="1" ht="12.75">
      <c r="A25" s="19">
        <v>22</v>
      </c>
      <c r="B25" s="726"/>
      <c r="C25" s="681">
        <v>2311155858</v>
      </c>
      <c r="D25" s="565">
        <v>756162.4</v>
      </c>
      <c r="E25" s="565">
        <v>715803.2</v>
      </c>
      <c r="F25" s="565">
        <v>698616.8</v>
      </c>
      <c r="G25" s="565">
        <v>760233.6</v>
      </c>
      <c r="H25" s="565">
        <v>810712</v>
      </c>
      <c r="I25" s="565">
        <v>771814.4</v>
      </c>
      <c r="J25" s="565">
        <v>766337.6</v>
      </c>
      <c r="K25" s="565">
        <v>799288</v>
      </c>
      <c r="L25" s="565">
        <v>783356</v>
      </c>
      <c r="M25" s="556">
        <v>2483056.8</v>
      </c>
      <c r="N25" s="556">
        <v>2890652.8</v>
      </c>
      <c r="O25" s="556">
        <v>2797082.4</v>
      </c>
      <c r="P25" s="304">
        <f>SUM(D25:O25)</f>
        <v>15033116.000000002</v>
      </c>
      <c r="Q25" s="701">
        <f>Q$2*12-SUMPRODUCT(--($D25:$O25&lt;=Q$2),Q$2-$D25:$O25)</f>
        <v>6000000</v>
      </c>
      <c r="R25" s="701">
        <f>R$2*12-SUM($Q25:Q25)-SUMPRODUCT(--($D25:$O25&lt;=R$2),R$2-$D25:$O25)</f>
        <v>9033115.999999993</v>
      </c>
      <c r="S25" s="701">
        <f>S$2*12-SUM($Q25:R25)-SUMPRODUCT(--($D25:$O25&lt;=S$2),S$2-$D25:$O25)</f>
        <v>0</v>
      </c>
    </row>
    <row r="26" spans="1:19" s="752" customFormat="1" ht="12.75">
      <c r="A26" s="752">
        <v>23</v>
      </c>
      <c r="B26" s="726"/>
      <c r="C26" s="680">
        <v>7600951015</v>
      </c>
      <c r="D26" s="565">
        <v>900862.2</v>
      </c>
      <c r="E26" s="565">
        <v>857476.2</v>
      </c>
      <c r="F26" s="565">
        <v>846148.8</v>
      </c>
      <c r="G26" s="565">
        <v>766487.4</v>
      </c>
      <c r="H26" s="565">
        <v>827744.4</v>
      </c>
      <c r="I26" s="565">
        <v>800738.4</v>
      </c>
      <c r="J26" s="566">
        <v>837921</v>
      </c>
      <c r="K26" s="566">
        <v>860076</v>
      </c>
      <c r="L26" s="566">
        <v>779373</v>
      </c>
      <c r="M26" s="557">
        <v>846573</v>
      </c>
      <c r="N26" s="557">
        <v>830373.6</v>
      </c>
      <c r="O26" s="557">
        <v>815283</v>
      </c>
      <c r="P26" s="390">
        <f>SUM(D26:O26)</f>
        <v>9969057</v>
      </c>
      <c r="Q26" s="173">
        <f>Q$2*12-SUMPRODUCT(--($D26:$O26&lt;=Q$2),Q$2-$D26:$O26)</f>
        <v>6000000</v>
      </c>
      <c r="R26" s="173">
        <f>R$2*12-SUM($Q26:Q26)-SUMPRODUCT(--($D26:$O26&lt;=R$2),R$2-$D26:$O26)</f>
        <v>3969057</v>
      </c>
      <c r="S26" s="173">
        <f>S$2*12-SUM($Q26:R26)-SUMPRODUCT(--($D26:$O26&lt;=S$2),S$2-$D26:$O26)</f>
        <v>0</v>
      </c>
    </row>
    <row r="27" spans="2:19" ht="13.5" thickBot="1">
      <c r="B27" t="s">
        <v>365</v>
      </c>
      <c r="D27" s="233">
        <f>SUM(D4:D26)</f>
        <v>91254361.87000002</v>
      </c>
      <c r="E27" s="427">
        <f aca="true" t="shared" si="2" ref="E27:O27">SUM(E4:E26)</f>
        <v>85256588.47999999</v>
      </c>
      <c r="F27" s="427">
        <f t="shared" si="2"/>
        <v>90115026.3</v>
      </c>
      <c r="G27" s="427">
        <f t="shared" si="2"/>
        <v>81790111.9</v>
      </c>
      <c r="H27" s="427">
        <f t="shared" si="2"/>
        <v>92286223.4</v>
      </c>
      <c r="I27" s="427">
        <f t="shared" si="2"/>
        <v>90662369.60000002</v>
      </c>
      <c r="J27" s="427">
        <f t="shared" si="2"/>
        <v>96315787.58999999</v>
      </c>
      <c r="K27" s="427">
        <f t="shared" si="2"/>
        <v>98229503.84099998</v>
      </c>
      <c r="L27" s="427">
        <f t="shared" si="2"/>
        <v>91866248.39400001</v>
      </c>
      <c r="M27" s="427">
        <f t="shared" si="2"/>
        <v>93890910.77</v>
      </c>
      <c r="N27" s="427">
        <f t="shared" si="2"/>
        <v>82979731.16999999</v>
      </c>
      <c r="O27" s="427">
        <f t="shared" si="2"/>
        <v>91254718.00000001</v>
      </c>
      <c r="P27" s="238">
        <f>IF(ROUND(SUM(P4:P26),0)&lt;&gt;ROUND(SUM(D27:O27),0),#VALUE!,SUM(P4:P26))</f>
        <v>1085901581.315</v>
      </c>
      <c r="Q27" s="237">
        <f>SUM(Q4:Q26)</f>
        <v>138000000</v>
      </c>
      <c r="R27" s="237">
        <f>SUM(R4:R26)</f>
        <v>564644246.7149999</v>
      </c>
      <c r="S27" s="237">
        <f>SUM(S4:S26)</f>
        <v>383257334.60000014</v>
      </c>
    </row>
    <row r="28" spans="4:19" ht="13.5" thickTop="1">
      <c r="D28" s="19"/>
      <c r="E28" s="19"/>
      <c r="F28" s="19"/>
      <c r="G28" s="19"/>
      <c r="H28" s="19"/>
      <c r="I28" s="19"/>
      <c r="J28" s="19"/>
      <c r="K28" s="19"/>
      <c r="L28" s="19"/>
      <c r="Q28" s="221"/>
      <c r="R28" s="221"/>
      <c r="S28" s="73">
        <f>SUM(Q27:S27)</f>
        <v>1085901581.315</v>
      </c>
    </row>
    <row r="29" spans="2:16" ht="12.75" customHeight="1">
      <c r="B29" t="s">
        <v>95</v>
      </c>
      <c r="D29" s="565">
        <v>92475540.937</v>
      </c>
      <c r="E29" s="565">
        <v>91334911.62</v>
      </c>
      <c r="F29" s="565">
        <v>85256588.48</v>
      </c>
      <c r="G29" s="565">
        <v>90115026.3</v>
      </c>
      <c r="H29" s="565">
        <v>81790111.9</v>
      </c>
      <c r="I29" s="565">
        <v>92286223.4</v>
      </c>
      <c r="J29" s="565">
        <v>90638942</v>
      </c>
      <c r="K29" s="565">
        <v>96199701.69</v>
      </c>
      <c r="L29" s="565">
        <v>98369017.341</v>
      </c>
      <c r="M29" s="565">
        <v>91866248.394</v>
      </c>
      <c r="N29" s="565">
        <v>93890910.77</v>
      </c>
      <c r="O29" s="565">
        <v>82979731.17</v>
      </c>
      <c r="P29" s="37">
        <f>SUM(D29:O29)</f>
        <v>1087202954.0019999</v>
      </c>
    </row>
    <row r="30" spans="2:16" ht="12.75" customHeight="1">
      <c r="B30" s="389" t="s">
        <v>447</v>
      </c>
      <c r="D30" s="565">
        <v>-92515285</v>
      </c>
      <c r="E30" s="565">
        <v>-91484247</v>
      </c>
      <c r="F30" s="565">
        <v>-84934068</v>
      </c>
      <c r="G30" s="565">
        <v>-89487500</v>
      </c>
      <c r="H30" s="565">
        <v>-79454560</v>
      </c>
      <c r="I30" s="565">
        <v>-92015166</v>
      </c>
      <c r="J30" s="565">
        <v>-91195162</v>
      </c>
      <c r="K30" s="565">
        <v>-95775976</v>
      </c>
      <c r="L30" s="565">
        <v>-94768404</v>
      </c>
      <c r="M30" s="565">
        <v>-91927127</v>
      </c>
      <c r="N30" s="565">
        <v>-93727705</v>
      </c>
      <c r="O30" s="565">
        <v>-83601582</v>
      </c>
      <c r="P30" s="390">
        <f aca="true" t="shared" si="3" ref="P30:P35">SUM(D30:O30)</f>
        <v>-1080886782</v>
      </c>
    </row>
    <row r="31" spans="2:16" ht="12.75" customHeight="1">
      <c r="B31" s="389" t="s">
        <v>448</v>
      </c>
      <c r="D31" s="565">
        <v>91484247</v>
      </c>
      <c r="E31" s="565">
        <v>84934068</v>
      </c>
      <c r="F31" s="565">
        <v>89487500</v>
      </c>
      <c r="G31" s="565">
        <v>79454560</v>
      </c>
      <c r="H31" s="565">
        <v>92015166</v>
      </c>
      <c r="I31" s="565">
        <v>91195162</v>
      </c>
      <c r="J31" s="565">
        <v>95775976</v>
      </c>
      <c r="K31" s="565">
        <v>94768404</v>
      </c>
      <c r="L31" s="565">
        <v>91927127</v>
      </c>
      <c r="M31" s="565">
        <v>93727705</v>
      </c>
      <c r="N31" s="565">
        <v>83601582</v>
      </c>
      <c r="O31" s="565">
        <v>90893021</v>
      </c>
      <c r="P31" s="390">
        <f t="shared" si="3"/>
        <v>1079264518</v>
      </c>
    </row>
    <row r="32" spans="2:16" s="386" customFormat="1" ht="12.75" customHeight="1">
      <c r="B32" s="388" t="s">
        <v>449</v>
      </c>
      <c r="D32" s="565">
        <v>-229885.12999998033</v>
      </c>
      <c r="E32" s="565">
        <v>241970.73000000417</v>
      </c>
      <c r="F32" s="565">
        <v>546976.5499999821</v>
      </c>
      <c r="G32" s="565">
        <v>2255002.149999976</v>
      </c>
      <c r="H32" s="565">
        <v>190507.64999997616</v>
      </c>
      <c r="I32" s="565">
        <v>-613342.150000006</v>
      </c>
      <c r="J32" s="565">
        <v>482689.4399999827</v>
      </c>
      <c r="K32" s="565">
        <v>3520063.590999961</v>
      </c>
      <c r="L32" s="565">
        <v>-141428.3560000509</v>
      </c>
      <c r="M32" s="565">
        <v>82656.01999995112</v>
      </c>
      <c r="N32" s="565">
        <v>-702400.5800000429</v>
      </c>
      <c r="O32" s="565">
        <v>281147.2499999553</v>
      </c>
      <c r="P32" s="390">
        <f t="shared" si="3"/>
        <v>5913957.1649997085</v>
      </c>
    </row>
    <row r="33" spans="2:16" ht="12.75" customHeight="1">
      <c r="B33" s="388" t="s">
        <v>450</v>
      </c>
      <c r="D33" s="565">
        <v>39744.06299999356</v>
      </c>
      <c r="E33" s="565">
        <v>229885.12999998033</v>
      </c>
      <c r="F33" s="565">
        <v>-241970.73000000417</v>
      </c>
      <c r="G33" s="565">
        <v>-546976.5499999821</v>
      </c>
      <c r="H33" s="565">
        <v>-2255002.149999976</v>
      </c>
      <c r="I33" s="565">
        <v>-190507.64999997616</v>
      </c>
      <c r="J33" s="565">
        <v>613342.150000006</v>
      </c>
      <c r="K33" s="565">
        <v>-482689.4399999827</v>
      </c>
      <c r="L33" s="565">
        <v>-3520063.590999961</v>
      </c>
      <c r="M33" s="565">
        <v>141428.3560000509</v>
      </c>
      <c r="N33" s="565">
        <v>-82656.01999995112</v>
      </c>
      <c r="O33" s="565">
        <v>702400.5800000429</v>
      </c>
      <c r="P33" s="390">
        <f t="shared" si="3"/>
        <v>-5593065.85199976</v>
      </c>
    </row>
    <row r="34" spans="2:16" s="504" customFormat="1" ht="12.75" customHeight="1">
      <c r="B34" s="388"/>
      <c r="D34" s="565"/>
      <c r="E34" s="565"/>
      <c r="F34" s="565"/>
      <c r="G34" s="565"/>
      <c r="H34" s="565"/>
      <c r="I34" s="565"/>
      <c r="J34" s="565"/>
      <c r="K34" s="565"/>
      <c r="L34" s="565"/>
      <c r="M34" s="565"/>
      <c r="N34" s="565"/>
      <c r="O34" s="565"/>
      <c r="P34" s="390">
        <f t="shared" si="3"/>
        <v>0</v>
      </c>
    </row>
    <row r="35" spans="2:16" s="386" customFormat="1" ht="12.75" customHeight="1">
      <c r="B35" s="153"/>
      <c r="D35" s="428"/>
      <c r="E35" s="429"/>
      <c r="F35" s="429"/>
      <c r="G35" s="428"/>
      <c r="H35" s="428"/>
      <c r="I35" s="428"/>
      <c r="J35" s="428"/>
      <c r="K35" s="428"/>
      <c r="L35" s="428"/>
      <c r="M35" s="428"/>
      <c r="N35" s="428"/>
      <c r="O35" s="428"/>
      <c r="P35" s="390">
        <f t="shared" si="3"/>
        <v>0</v>
      </c>
    </row>
    <row r="36" spans="2:16" ht="12.75" customHeight="1" thickBot="1">
      <c r="B36" s="144" t="s">
        <v>368</v>
      </c>
      <c r="D36" s="427">
        <f aca="true" t="shared" si="4" ref="D36:J36">SUM(D29:D35)</f>
        <v>91254361.87000002</v>
      </c>
      <c r="E36" s="427">
        <f t="shared" si="4"/>
        <v>85256588.47999999</v>
      </c>
      <c r="F36" s="427">
        <f t="shared" si="4"/>
        <v>90115026.29999998</v>
      </c>
      <c r="G36" s="427">
        <f t="shared" si="4"/>
        <v>81790111.89999999</v>
      </c>
      <c r="H36" s="427">
        <f t="shared" si="4"/>
        <v>92286223.4</v>
      </c>
      <c r="I36" s="427">
        <f t="shared" si="4"/>
        <v>90662369.60000002</v>
      </c>
      <c r="J36" s="427">
        <f t="shared" si="4"/>
        <v>96315787.58999999</v>
      </c>
      <c r="K36" s="233">
        <f>SUM(K29:K35)</f>
        <v>98229503.84099998</v>
      </c>
      <c r="L36" s="233">
        <f>SUM(L29:L35)</f>
        <v>91866248.394</v>
      </c>
      <c r="M36" s="427">
        <f>SUM(M29:M35)</f>
        <v>93890910.77</v>
      </c>
      <c r="N36" s="427">
        <f>SUM(N29:N35)</f>
        <v>82979731.17</v>
      </c>
      <c r="O36" s="427">
        <f>SUM(O29:O35)</f>
        <v>91254718</v>
      </c>
      <c r="P36" s="239">
        <f>IF(ROUND(SUM(P29:P35),0)&lt;&gt;ROUND(SUM(D36:O36),0),#VALUE!,SUM(P29:P35))</f>
        <v>1085901581.3149998</v>
      </c>
    </row>
    <row r="37" spans="2:16" ht="12.75" customHeight="1" thickTop="1">
      <c r="B37" s="144"/>
      <c r="D37" s="82">
        <f aca="true" t="shared" si="5" ref="D37:P37">D36-D27</f>
        <v>0</v>
      </c>
      <c r="E37" s="82">
        <f t="shared" si="5"/>
        <v>0</v>
      </c>
      <c r="F37" s="82">
        <f t="shared" si="5"/>
        <v>0</v>
      </c>
      <c r="G37" s="82">
        <f t="shared" si="5"/>
        <v>0</v>
      </c>
      <c r="H37" s="82">
        <f t="shared" si="5"/>
        <v>0</v>
      </c>
      <c r="I37" s="82">
        <f t="shared" si="5"/>
        <v>0</v>
      </c>
      <c r="J37" s="82">
        <f t="shared" si="5"/>
        <v>0</v>
      </c>
      <c r="K37" s="82">
        <f t="shared" si="5"/>
        <v>0</v>
      </c>
      <c r="L37" s="82">
        <f t="shared" si="5"/>
        <v>0</v>
      </c>
      <c r="M37" s="69">
        <f t="shared" si="5"/>
        <v>0</v>
      </c>
      <c r="N37" s="69">
        <f t="shared" si="5"/>
        <v>0</v>
      </c>
      <c r="O37" s="69">
        <f t="shared" si="5"/>
        <v>0</v>
      </c>
      <c r="P37" s="69">
        <f t="shared" si="5"/>
        <v>0</v>
      </c>
    </row>
    <row r="38" spans="2:16" ht="12.75">
      <c r="B38" s="41"/>
      <c r="C38" s="41"/>
      <c r="D38" s="723"/>
      <c r="E38" s="723"/>
      <c r="F38" s="723"/>
      <c r="G38" s="723"/>
      <c r="H38" s="723"/>
      <c r="I38" s="723"/>
      <c r="J38" s="723"/>
      <c r="K38" s="723"/>
      <c r="L38" s="723"/>
      <c r="M38" s="723"/>
      <c r="N38" s="723"/>
      <c r="O38" s="723"/>
      <c r="P38" s="230"/>
    </row>
    <row r="39" spans="2:15" ht="12.75">
      <c r="B39" s="41"/>
      <c r="C39" s="41"/>
      <c r="D39" s="300"/>
      <c r="E39" s="300"/>
      <c r="F39" s="300"/>
      <c r="G39" s="300"/>
      <c r="H39" s="300"/>
      <c r="I39" s="300"/>
      <c r="J39" s="300"/>
      <c r="K39" s="300"/>
      <c r="L39" s="300"/>
      <c r="M39" s="41"/>
      <c r="N39" s="41"/>
      <c r="O39" s="42"/>
    </row>
    <row r="40" spans="2:19" ht="12.75">
      <c r="B40" s="117" t="s">
        <v>403</v>
      </c>
      <c r="D40" s="301">
        <f>D$3</f>
        <v>43466</v>
      </c>
      <c r="E40" s="301">
        <f aca="true" t="shared" si="6" ref="E40:O40">E$3</f>
        <v>43497</v>
      </c>
      <c r="F40" s="301">
        <f t="shared" si="6"/>
        <v>43525</v>
      </c>
      <c r="G40" s="301">
        <f t="shared" si="6"/>
        <v>43556</v>
      </c>
      <c r="H40" s="301">
        <f t="shared" si="6"/>
        <v>43586</v>
      </c>
      <c r="I40" s="301">
        <f t="shared" si="6"/>
        <v>43617</v>
      </c>
      <c r="J40" s="301">
        <f t="shared" si="6"/>
        <v>43647</v>
      </c>
      <c r="K40" s="301">
        <f t="shared" si="6"/>
        <v>43678</v>
      </c>
      <c r="L40" s="301">
        <f t="shared" si="6"/>
        <v>43709</v>
      </c>
      <c r="M40" s="299">
        <f t="shared" si="6"/>
        <v>43739</v>
      </c>
      <c r="N40" s="299">
        <f t="shared" si="6"/>
        <v>43770</v>
      </c>
      <c r="O40" s="299">
        <f t="shared" si="6"/>
        <v>43800</v>
      </c>
      <c r="P40" s="35" t="s">
        <v>66</v>
      </c>
      <c r="Q40" s="45" t="s">
        <v>435</v>
      </c>
      <c r="R40" s="45" t="s">
        <v>436</v>
      </c>
      <c r="S40" s="45"/>
    </row>
    <row r="41" spans="1:19" ht="12.75">
      <c r="A41">
        <v>1</v>
      </c>
      <c r="B41" s="682">
        <f>B4</f>
        <v>0</v>
      </c>
      <c r="C41" s="683" t="str">
        <f>C4</f>
        <v>2311008572</v>
      </c>
      <c r="D41" s="557">
        <v>11235.119</v>
      </c>
      <c r="E41" s="557">
        <v>13097.044</v>
      </c>
      <c r="F41" s="557">
        <v>12788.42</v>
      </c>
      <c r="G41" s="565">
        <v>11813.076</v>
      </c>
      <c r="H41" s="565">
        <v>19727.5</v>
      </c>
      <c r="I41" s="565">
        <v>11694.565</v>
      </c>
      <c r="J41" s="565">
        <v>10955.651</v>
      </c>
      <c r="K41" s="565">
        <v>11234.874</v>
      </c>
      <c r="L41" s="565">
        <v>11020.227</v>
      </c>
      <c r="M41" s="565">
        <v>9747.696</v>
      </c>
      <c r="N41" s="565">
        <v>7452.812</v>
      </c>
      <c r="O41" s="565">
        <v>7325.132</v>
      </c>
      <c r="P41" s="37">
        <f aca="true" t="shared" si="7" ref="P41:P63">SUM(D41:O41)</f>
        <v>138092.116</v>
      </c>
      <c r="Q41" s="43">
        <f>MAX(D41:O41)</f>
        <v>19727.5</v>
      </c>
      <c r="R41" s="334">
        <f>INDEX($D$40:$O$40,MATCH(Q41,$D41:$O41,0))</f>
        <v>43586</v>
      </c>
      <c r="S41" s="35"/>
    </row>
    <row r="42" spans="1:19" ht="12.75">
      <c r="A42">
        <v>2</v>
      </c>
      <c r="B42" s="682">
        <f aca="true" t="shared" si="8" ref="B42:B63">B5</f>
        <v>0</v>
      </c>
      <c r="C42" s="684" t="str">
        <f aca="true" t="shared" si="9" ref="C42:C61">C5</f>
        <v>8920023327</v>
      </c>
      <c r="D42" s="556">
        <v>5486.075</v>
      </c>
      <c r="E42" s="556">
        <v>5434.125</v>
      </c>
      <c r="F42" s="556">
        <v>5276.123</v>
      </c>
      <c r="G42" s="565">
        <v>5056.137</v>
      </c>
      <c r="H42" s="565">
        <v>4983.969</v>
      </c>
      <c r="I42" s="565">
        <v>5005.413</v>
      </c>
      <c r="J42" s="565">
        <v>5087.689</v>
      </c>
      <c r="K42" s="565">
        <v>5057.623</v>
      </c>
      <c r="L42" s="565">
        <v>5126.23</v>
      </c>
      <c r="M42" s="565">
        <v>5102.895</v>
      </c>
      <c r="N42" s="565">
        <v>5137.21</v>
      </c>
      <c r="O42" s="565">
        <v>5127.785</v>
      </c>
      <c r="P42" s="37">
        <f t="shared" si="7"/>
        <v>61881.274000000005</v>
      </c>
      <c r="Q42" s="43">
        <f>MAX(D42:O42)</f>
        <v>5486.075</v>
      </c>
      <c r="R42" s="334">
        <f aca="true" t="shared" si="10" ref="R42:R61">INDEX($D$40:$O$40,MATCH(Q42,$D42:$O42,0))</f>
        <v>43466</v>
      </c>
      <c r="S42" s="35"/>
    </row>
    <row r="43" spans="1:19" ht="12.75">
      <c r="A43">
        <v>3</v>
      </c>
      <c r="B43" s="682">
        <f t="shared" si="8"/>
        <v>0</v>
      </c>
      <c r="C43" s="684" t="str">
        <f t="shared" si="9"/>
        <v>9920023116</v>
      </c>
      <c r="D43" s="556">
        <v>3170.492</v>
      </c>
      <c r="E43" s="556">
        <v>2956.648</v>
      </c>
      <c r="F43" s="556">
        <v>3009.147</v>
      </c>
      <c r="G43" s="565">
        <v>2718.489</v>
      </c>
      <c r="H43" s="565">
        <v>2604.73</v>
      </c>
      <c r="I43" s="565">
        <v>2581.237</v>
      </c>
      <c r="J43" s="565">
        <v>2646.144</v>
      </c>
      <c r="K43" s="565">
        <v>2770.75</v>
      </c>
      <c r="L43" s="565">
        <v>2656.09</v>
      </c>
      <c r="M43" s="565">
        <v>2911.705</v>
      </c>
      <c r="N43" s="565">
        <v>2818.054</v>
      </c>
      <c r="O43" s="565">
        <v>2969.598</v>
      </c>
      <c r="P43" s="37">
        <f t="shared" si="7"/>
        <v>33813.084</v>
      </c>
      <c r="Q43" s="43">
        <f aca="true" t="shared" si="11" ref="Q43:Q61">MAX(D43:O43)</f>
        <v>3170.492</v>
      </c>
      <c r="R43" s="334">
        <f t="shared" si="10"/>
        <v>43466</v>
      </c>
      <c r="S43" s="35"/>
    </row>
    <row r="44" spans="1:19" ht="12.75">
      <c r="A44">
        <v>4</v>
      </c>
      <c r="B44" s="682">
        <f t="shared" si="8"/>
        <v>0</v>
      </c>
      <c r="C44" s="684" t="str">
        <f t="shared" si="9"/>
        <v>8970099313</v>
      </c>
      <c r="D44" s="556">
        <v>2775.984</v>
      </c>
      <c r="E44" s="556">
        <v>2727.249</v>
      </c>
      <c r="F44" s="556">
        <v>2695.553</v>
      </c>
      <c r="G44" s="565">
        <v>2485.556</v>
      </c>
      <c r="H44" s="565">
        <v>2523.753</v>
      </c>
      <c r="I44" s="565">
        <v>2697.937</v>
      </c>
      <c r="J44" s="565">
        <v>2645.407</v>
      </c>
      <c r="K44" s="565">
        <v>2641.172</v>
      </c>
      <c r="L44" s="565">
        <v>2607.199</v>
      </c>
      <c r="M44" s="565">
        <v>2611.644</v>
      </c>
      <c r="N44" s="565">
        <v>2852.106</v>
      </c>
      <c r="O44" s="565">
        <v>2986.779</v>
      </c>
      <c r="P44" s="37">
        <f t="shared" si="7"/>
        <v>32250.339</v>
      </c>
      <c r="Q44" s="43">
        <f t="shared" si="11"/>
        <v>2986.779</v>
      </c>
      <c r="R44" s="334">
        <f t="shared" si="10"/>
        <v>43800</v>
      </c>
      <c r="S44" s="35"/>
    </row>
    <row r="45" spans="1:19" ht="12.75">
      <c r="A45">
        <v>5</v>
      </c>
      <c r="B45" s="682">
        <f t="shared" si="8"/>
        <v>0</v>
      </c>
      <c r="C45" s="684" t="str">
        <f t="shared" si="9"/>
        <v>0080095044</v>
      </c>
      <c r="D45" s="556">
        <v>2798.121</v>
      </c>
      <c r="E45" s="556">
        <v>2925.64</v>
      </c>
      <c r="F45" s="556">
        <v>2824.83</v>
      </c>
      <c r="G45" s="565">
        <v>3132.223</v>
      </c>
      <c r="H45" s="565">
        <v>3477.369</v>
      </c>
      <c r="I45" s="565">
        <v>3747.495</v>
      </c>
      <c r="J45" s="565">
        <v>3914.42</v>
      </c>
      <c r="K45" s="565">
        <v>3810.733</v>
      </c>
      <c r="L45" s="565">
        <v>3653.3</v>
      </c>
      <c r="M45" s="565">
        <v>2698.208</v>
      </c>
      <c r="N45" s="565">
        <v>2697.904</v>
      </c>
      <c r="O45" s="565">
        <v>2856.324</v>
      </c>
      <c r="P45" s="37">
        <f t="shared" si="7"/>
        <v>38536.567</v>
      </c>
      <c r="Q45" s="43">
        <f t="shared" si="11"/>
        <v>3914.42</v>
      </c>
      <c r="R45" s="334">
        <f t="shared" si="10"/>
        <v>43647</v>
      </c>
      <c r="S45" s="35"/>
    </row>
    <row r="46" spans="1:19" ht="12.75">
      <c r="A46">
        <v>6</v>
      </c>
      <c r="B46" s="682">
        <f t="shared" si="8"/>
        <v>0</v>
      </c>
      <c r="C46" s="684" t="str">
        <f t="shared" si="9"/>
        <v>1420028876</v>
      </c>
      <c r="D46" s="556">
        <v>4693.976</v>
      </c>
      <c r="E46" s="556">
        <v>4607.82</v>
      </c>
      <c r="F46" s="556">
        <v>4350.339</v>
      </c>
      <c r="G46" s="565">
        <v>4168.823</v>
      </c>
      <c r="H46" s="565">
        <v>4653.533</v>
      </c>
      <c r="I46" s="565">
        <v>4532.701</v>
      </c>
      <c r="J46" s="565">
        <v>4783.741</v>
      </c>
      <c r="K46" s="565">
        <v>5478.841</v>
      </c>
      <c r="L46" s="565">
        <v>5486.071</v>
      </c>
      <c r="M46" s="565">
        <v>4220.907</v>
      </c>
      <c r="N46" s="565">
        <v>4550.799</v>
      </c>
      <c r="O46" s="565">
        <v>4495.921</v>
      </c>
      <c r="P46" s="37">
        <f t="shared" si="7"/>
        <v>56023.472</v>
      </c>
      <c r="Q46" s="43">
        <f t="shared" si="11"/>
        <v>5486.071</v>
      </c>
      <c r="R46" s="334">
        <f t="shared" si="10"/>
        <v>43709</v>
      </c>
      <c r="S46" s="35"/>
    </row>
    <row r="47" spans="1:19" ht="12.75">
      <c r="A47">
        <v>7</v>
      </c>
      <c r="B47" s="682">
        <f t="shared" si="8"/>
        <v>0</v>
      </c>
      <c r="C47" s="684" t="str">
        <f t="shared" si="9"/>
        <v>0170122152</v>
      </c>
      <c r="D47" s="556">
        <v>2837.009</v>
      </c>
      <c r="E47" s="556">
        <v>2880.291</v>
      </c>
      <c r="F47" s="556">
        <v>2821.714</v>
      </c>
      <c r="G47" s="565">
        <v>2974.208</v>
      </c>
      <c r="H47" s="565">
        <v>3029.111</v>
      </c>
      <c r="I47" s="565">
        <v>3196.048</v>
      </c>
      <c r="J47" s="565">
        <v>3339.189</v>
      </c>
      <c r="K47" s="565">
        <v>3522.618</v>
      </c>
      <c r="L47" s="565">
        <v>3280.206</v>
      </c>
      <c r="M47" s="565">
        <v>3114.724</v>
      </c>
      <c r="N47" s="565">
        <v>3080.481</v>
      </c>
      <c r="O47" s="565">
        <v>3007.698</v>
      </c>
      <c r="P47" s="37">
        <f t="shared" si="7"/>
        <v>37083.29699999999</v>
      </c>
      <c r="Q47" s="43">
        <f t="shared" si="11"/>
        <v>3522.618</v>
      </c>
      <c r="R47" s="334">
        <f t="shared" si="10"/>
        <v>43678</v>
      </c>
      <c r="S47" s="35"/>
    </row>
    <row r="48" spans="1:19" ht="12.75">
      <c r="A48">
        <v>8</v>
      </c>
      <c r="B48" s="682">
        <f t="shared" si="8"/>
        <v>0</v>
      </c>
      <c r="C48" s="684" t="str">
        <f t="shared" si="9"/>
        <v>8640841982</v>
      </c>
      <c r="D48" s="556">
        <v>4138.03</v>
      </c>
      <c r="E48" s="556">
        <v>4134.473</v>
      </c>
      <c r="F48" s="556">
        <v>4111.06</v>
      </c>
      <c r="G48" s="565">
        <v>4134.729</v>
      </c>
      <c r="H48" s="565">
        <v>4168.178</v>
      </c>
      <c r="I48" s="565">
        <v>4212.564</v>
      </c>
      <c r="J48" s="565">
        <v>4223.697</v>
      </c>
      <c r="K48" s="565">
        <v>4273.099</v>
      </c>
      <c r="L48" s="565">
        <v>4214.49</v>
      </c>
      <c r="M48" s="565">
        <v>4157.89</v>
      </c>
      <c r="N48" s="565">
        <v>4170.945</v>
      </c>
      <c r="O48" s="565">
        <v>4257.599</v>
      </c>
      <c r="P48" s="37">
        <f t="shared" si="7"/>
        <v>50196.754</v>
      </c>
      <c r="Q48" s="43">
        <f t="shared" si="11"/>
        <v>4273.099</v>
      </c>
      <c r="R48" s="334">
        <f t="shared" si="10"/>
        <v>43678</v>
      </c>
      <c r="S48" s="35"/>
    </row>
    <row r="49" spans="1:19" ht="12.75">
      <c r="A49">
        <v>9</v>
      </c>
      <c r="B49" s="682">
        <f t="shared" si="8"/>
        <v>0</v>
      </c>
      <c r="C49" s="684" t="str">
        <f t="shared" si="9"/>
        <v>0160126924</v>
      </c>
      <c r="D49" s="556">
        <v>56979.76</v>
      </c>
      <c r="E49" s="556">
        <v>58491.21</v>
      </c>
      <c r="F49" s="556">
        <v>60723.97</v>
      </c>
      <c r="G49" s="565">
        <v>60695.18</v>
      </c>
      <c r="H49" s="565">
        <v>59633.5</v>
      </c>
      <c r="I49" s="565">
        <v>59915.37</v>
      </c>
      <c r="J49" s="565">
        <v>60954.8</v>
      </c>
      <c r="K49" s="565">
        <v>62499.94</v>
      </c>
      <c r="L49" s="565">
        <v>60332.9</v>
      </c>
      <c r="M49" s="565">
        <v>61348.84</v>
      </c>
      <c r="N49" s="565">
        <v>61453.18</v>
      </c>
      <c r="O49" s="565">
        <v>62886.96</v>
      </c>
      <c r="P49" s="37">
        <f t="shared" si="7"/>
        <v>725915.61</v>
      </c>
      <c r="Q49" s="43">
        <f t="shared" si="11"/>
        <v>62886.96</v>
      </c>
      <c r="R49" s="334">
        <f t="shared" si="10"/>
        <v>43800</v>
      </c>
      <c r="S49" s="35"/>
    </row>
    <row r="50" spans="1:19" ht="12.75">
      <c r="A50">
        <v>10</v>
      </c>
      <c r="B50" s="682">
        <f t="shared" si="8"/>
        <v>0</v>
      </c>
      <c r="C50" s="684" t="str">
        <f t="shared" si="9"/>
        <v>4250473907</v>
      </c>
      <c r="D50" s="556">
        <v>9494.367</v>
      </c>
      <c r="E50" s="556">
        <v>8151.693</v>
      </c>
      <c r="F50" s="556">
        <v>8444.641</v>
      </c>
      <c r="G50" s="565">
        <v>8251.37</v>
      </c>
      <c r="H50" s="565">
        <v>8416.083</v>
      </c>
      <c r="I50" s="565">
        <v>8438.518</v>
      </c>
      <c r="J50" s="565">
        <v>8465.471</v>
      </c>
      <c r="K50" s="565">
        <v>8617.573</v>
      </c>
      <c r="L50" s="565">
        <v>8465.008</v>
      </c>
      <c r="M50" s="565">
        <v>8444.641</v>
      </c>
      <c r="N50" s="565">
        <v>8123.326</v>
      </c>
      <c r="O50" s="565">
        <v>8375.373</v>
      </c>
      <c r="P50" s="37">
        <f t="shared" si="7"/>
        <v>101688.06400000001</v>
      </c>
      <c r="Q50" s="43">
        <f t="shared" si="11"/>
        <v>9494.367</v>
      </c>
      <c r="R50" s="334">
        <f t="shared" si="10"/>
        <v>43466</v>
      </c>
      <c r="S50" s="35"/>
    </row>
    <row r="51" spans="1:19" ht="12.75">
      <c r="A51">
        <v>11</v>
      </c>
      <c r="B51" s="682">
        <f t="shared" si="8"/>
        <v>0</v>
      </c>
      <c r="C51" s="684" t="str">
        <f t="shared" si="9"/>
        <v>9060132009</v>
      </c>
      <c r="D51" s="556">
        <v>8557.577</v>
      </c>
      <c r="E51" s="556">
        <v>8575.149</v>
      </c>
      <c r="F51" s="556">
        <v>8703.892</v>
      </c>
      <c r="G51" s="565">
        <v>8473.339</v>
      </c>
      <c r="H51" s="565">
        <v>8775.977</v>
      </c>
      <c r="I51" s="565">
        <v>9149.543</v>
      </c>
      <c r="J51" s="565">
        <v>8848.156</v>
      </c>
      <c r="K51" s="565">
        <v>8727.265</v>
      </c>
      <c r="L51" s="565">
        <v>8415.024</v>
      </c>
      <c r="M51" s="565">
        <v>8497.022</v>
      </c>
      <c r="N51" s="565">
        <v>8603.248</v>
      </c>
      <c r="O51" s="565">
        <v>8631.508</v>
      </c>
      <c r="P51" s="37">
        <f t="shared" si="7"/>
        <v>103957.69999999998</v>
      </c>
      <c r="Q51" s="43">
        <f t="shared" si="11"/>
        <v>9149.543</v>
      </c>
      <c r="R51" s="334">
        <f t="shared" si="10"/>
        <v>43617</v>
      </c>
      <c r="S51" s="35"/>
    </row>
    <row r="52" spans="1:19" ht="12.75">
      <c r="A52">
        <v>12</v>
      </c>
      <c r="B52" s="682">
        <f t="shared" si="8"/>
        <v>0</v>
      </c>
      <c r="C52" s="684" t="str">
        <f t="shared" si="9"/>
        <v>0030019644</v>
      </c>
      <c r="D52" s="556">
        <v>4980.233</v>
      </c>
      <c r="E52" s="556">
        <v>4999.588</v>
      </c>
      <c r="F52" s="556">
        <v>5543.734</v>
      </c>
      <c r="G52" s="565">
        <v>5907.495</v>
      </c>
      <c r="H52" s="565">
        <v>6389.427</v>
      </c>
      <c r="I52" s="565">
        <v>6828.66</v>
      </c>
      <c r="J52" s="565">
        <v>7121.865</v>
      </c>
      <c r="K52" s="565">
        <v>7273.985</v>
      </c>
      <c r="L52" s="565">
        <v>6707.211</v>
      </c>
      <c r="M52" s="565">
        <v>5606.314</v>
      </c>
      <c r="N52" s="565">
        <v>4896.101</v>
      </c>
      <c r="O52" s="565">
        <v>4949.013</v>
      </c>
      <c r="P52" s="37">
        <f t="shared" si="7"/>
        <v>71203.626</v>
      </c>
      <c r="Q52" s="43">
        <f t="shared" si="11"/>
        <v>7273.985</v>
      </c>
      <c r="R52" s="334">
        <f t="shared" si="10"/>
        <v>43678</v>
      </c>
      <c r="S52" s="35"/>
    </row>
    <row r="53" spans="1:19" ht="12.75">
      <c r="A53">
        <v>13</v>
      </c>
      <c r="B53" s="682">
        <f t="shared" si="8"/>
        <v>0</v>
      </c>
      <c r="C53" s="684" t="str">
        <f t="shared" si="9"/>
        <v>1080099801</v>
      </c>
      <c r="D53" s="556">
        <v>1801.012</v>
      </c>
      <c r="E53" s="556">
        <v>1807.513</v>
      </c>
      <c r="F53" s="556">
        <v>1766.224</v>
      </c>
      <c r="G53" s="565">
        <v>2097.466</v>
      </c>
      <c r="H53" s="565">
        <v>2342.851</v>
      </c>
      <c r="I53" s="565">
        <v>2440.171</v>
      </c>
      <c r="J53" s="565">
        <v>2558.3</v>
      </c>
      <c r="K53" s="565">
        <v>2603.322</v>
      </c>
      <c r="L53" s="565">
        <v>2421.044</v>
      </c>
      <c r="M53" s="565">
        <v>1998.975</v>
      </c>
      <c r="N53" s="565">
        <v>1729.87</v>
      </c>
      <c r="O53" s="565">
        <v>1770.852</v>
      </c>
      <c r="P53" s="37">
        <f t="shared" si="7"/>
        <v>25337.599999999995</v>
      </c>
      <c r="Q53" s="43">
        <f t="shared" si="11"/>
        <v>2603.322</v>
      </c>
      <c r="R53" s="334">
        <f t="shared" si="10"/>
        <v>43678</v>
      </c>
      <c r="S53" s="35"/>
    </row>
    <row r="54" spans="1:19" ht="12.75">
      <c r="A54">
        <v>14</v>
      </c>
      <c r="B54" s="682">
        <f t="shared" si="8"/>
        <v>0</v>
      </c>
      <c r="C54" s="684" t="str">
        <f t="shared" si="9"/>
        <v>0070121063</v>
      </c>
      <c r="D54" s="556">
        <v>5920.46</v>
      </c>
      <c r="E54" s="556">
        <v>5993.254</v>
      </c>
      <c r="F54" s="556">
        <v>5928.205</v>
      </c>
      <c r="G54" s="565">
        <v>5817.009</v>
      </c>
      <c r="H54" s="565">
        <v>6388.395</v>
      </c>
      <c r="I54" s="565">
        <v>6221.201</v>
      </c>
      <c r="J54" s="565">
        <v>6304.875</v>
      </c>
      <c r="K54" s="565">
        <v>6173.893</v>
      </c>
      <c r="L54" s="565">
        <v>6325.053</v>
      </c>
      <c r="M54" s="565">
        <v>6242.394</v>
      </c>
      <c r="N54" s="565">
        <v>6406.447</v>
      </c>
      <c r="O54" s="565">
        <v>6101.693</v>
      </c>
      <c r="P54" s="37">
        <f t="shared" si="7"/>
        <v>73822.879</v>
      </c>
      <c r="Q54" s="43">
        <f t="shared" si="11"/>
        <v>6406.447</v>
      </c>
      <c r="R54" s="334">
        <f t="shared" si="10"/>
        <v>43770</v>
      </c>
      <c r="S54" s="35"/>
    </row>
    <row r="55" spans="1:19" ht="12.75">
      <c r="A55">
        <v>15</v>
      </c>
      <c r="B55" s="682">
        <f t="shared" si="8"/>
        <v>0</v>
      </c>
      <c r="C55" s="684" t="str">
        <f t="shared" si="9"/>
        <v>2260946595</v>
      </c>
      <c r="D55" s="556">
        <v>2938.127</v>
      </c>
      <c r="E55" s="556">
        <v>2939.04</v>
      </c>
      <c r="F55" s="556">
        <v>2930.685</v>
      </c>
      <c r="G55" s="565">
        <v>2893.553</v>
      </c>
      <c r="H55" s="565">
        <v>3409.624</v>
      </c>
      <c r="I55" s="565">
        <v>3301.98</v>
      </c>
      <c r="J55" s="565">
        <v>3509.391</v>
      </c>
      <c r="K55" s="565">
        <v>3666.569</v>
      </c>
      <c r="L55" s="565">
        <v>3697.699</v>
      </c>
      <c r="M55" s="565">
        <v>3131.409</v>
      </c>
      <c r="N55" s="565">
        <v>2915.127</v>
      </c>
      <c r="O55" s="565">
        <v>2900.093</v>
      </c>
      <c r="P55" s="37">
        <f t="shared" si="7"/>
        <v>38233.297</v>
      </c>
      <c r="Q55" s="43">
        <f t="shared" si="11"/>
        <v>3697.699</v>
      </c>
      <c r="R55" s="334">
        <f t="shared" si="10"/>
        <v>43709</v>
      </c>
      <c r="S55" s="35"/>
    </row>
    <row r="56" spans="1:19" ht="12.75">
      <c r="A56">
        <v>16</v>
      </c>
      <c r="B56" s="682">
        <f t="shared" si="8"/>
        <v>0</v>
      </c>
      <c r="C56" s="684" t="str">
        <f t="shared" si="9"/>
        <v>2470070232</v>
      </c>
      <c r="D56" s="556">
        <v>5028.102</v>
      </c>
      <c r="E56" s="556">
        <v>4788.468</v>
      </c>
      <c r="F56" s="556">
        <v>4942.805</v>
      </c>
      <c r="G56" s="565">
        <v>4612.442</v>
      </c>
      <c r="H56" s="565">
        <v>4606.809</v>
      </c>
      <c r="I56" s="565">
        <v>4393.97</v>
      </c>
      <c r="J56" s="565">
        <v>4423.787</v>
      </c>
      <c r="K56" s="565">
        <v>4237.939</v>
      </c>
      <c r="L56" s="565">
        <v>4362.253</v>
      </c>
      <c r="M56" s="565">
        <v>4489.859</v>
      </c>
      <c r="N56" s="565">
        <v>4602.6</v>
      </c>
      <c r="O56" s="565">
        <v>4523.538</v>
      </c>
      <c r="P56" s="37">
        <f t="shared" si="7"/>
        <v>55012.57199999999</v>
      </c>
      <c r="Q56" s="43">
        <f t="shared" si="11"/>
        <v>5028.102</v>
      </c>
      <c r="R56" s="334">
        <f t="shared" si="10"/>
        <v>43466</v>
      </c>
      <c r="S56" s="35"/>
    </row>
    <row r="57" spans="1:19" ht="12.75">
      <c r="A57">
        <v>17</v>
      </c>
      <c r="B57" s="682">
        <f t="shared" si="8"/>
        <v>0</v>
      </c>
      <c r="C57" s="684" t="str">
        <f t="shared" si="9"/>
        <v>3730460787</v>
      </c>
      <c r="D57" s="556">
        <v>4576.142</v>
      </c>
      <c r="E57" s="556">
        <v>4593.748</v>
      </c>
      <c r="F57" s="556">
        <v>4793.024</v>
      </c>
      <c r="G57" s="565">
        <v>4269.566</v>
      </c>
      <c r="H57" s="565">
        <v>4178.726</v>
      </c>
      <c r="I57" s="565">
        <v>4025.975</v>
      </c>
      <c r="J57" s="565">
        <v>4061.17</v>
      </c>
      <c r="K57" s="565">
        <v>4215.13</v>
      </c>
      <c r="L57" s="565">
        <v>4599.915</v>
      </c>
      <c r="M57" s="565">
        <v>4512.391</v>
      </c>
      <c r="N57" s="565">
        <v>4444.425</v>
      </c>
      <c r="O57" s="565">
        <v>4482.939</v>
      </c>
      <c r="P57" s="37">
        <f t="shared" si="7"/>
        <v>52753.151</v>
      </c>
      <c r="Q57" s="43">
        <f t="shared" si="11"/>
        <v>4793.024</v>
      </c>
      <c r="R57" s="334">
        <f t="shared" si="10"/>
        <v>43525</v>
      </c>
      <c r="S57" s="35"/>
    </row>
    <row r="58" spans="1:19" ht="12.75">
      <c r="A58">
        <v>18</v>
      </c>
      <c r="B58" s="682">
        <f t="shared" si="8"/>
        <v>0</v>
      </c>
      <c r="C58" s="684" t="str">
        <f t="shared" si="9"/>
        <v>6030021572</v>
      </c>
      <c r="D58" s="556">
        <v>7561.8</v>
      </c>
      <c r="E58" s="556">
        <v>7319.55</v>
      </c>
      <c r="F58" s="556">
        <v>6877.6</v>
      </c>
      <c r="G58" s="565">
        <v>7474.16</v>
      </c>
      <c r="H58" s="565">
        <v>8302.59</v>
      </c>
      <c r="I58" s="565">
        <v>9730.33</v>
      </c>
      <c r="J58" s="565">
        <v>10780.89</v>
      </c>
      <c r="K58" s="565">
        <v>11330.56</v>
      </c>
      <c r="L58" s="565">
        <v>10798.06</v>
      </c>
      <c r="M58" s="565">
        <v>7293.78</v>
      </c>
      <c r="N58" s="565">
        <v>7735.4</v>
      </c>
      <c r="O58" s="565">
        <v>7646.46</v>
      </c>
      <c r="P58" s="37">
        <f t="shared" si="7"/>
        <v>102851.18</v>
      </c>
      <c r="Q58" s="43">
        <f t="shared" si="11"/>
        <v>11330.56</v>
      </c>
      <c r="R58" s="334">
        <f t="shared" si="10"/>
        <v>43678</v>
      </c>
      <c r="S58" s="35"/>
    </row>
    <row r="59" spans="1:19" ht="12.75">
      <c r="A59">
        <v>19</v>
      </c>
      <c r="B59" s="682">
        <f t="shared" si="8"/>
        <v>0</v>
      </c>
      <c r="C59" s="683" t="str">
        <f t="shared" si="9"/>
        <v>6100609210</v>
      </c>
      <c r="D59" s="557">
        <v>5925.472</v>
      </c>
      <c r="E59" s="557">
        <v>5829.219</v>
      </c>
      <c r="F59" s="557">
        <v>5446.55</v>
      </c>
      <c r="G59" s="565">
        <v>5450.83</v>
      </c>
      <c r="H59" s="565">
        <v>4763.363</v>
      </c>
      <c r="I59" s="565">
        <v>4751.401</v>
      </c>
      <c r="J59" s="565">
        <v>4657.95</v>
      </c>
      <c r="K59" s="565">
        <v>5287.044</v>
      </c>
      <c r="L59" s="565">
        <v>5266.264</v>
      </c>
      <c r="M59" s="566">
        <v>5678.363</v>
      </c>
      <c r="N59" s="566">
        <v>5797.156</v>
      </c>
      <c r="O59" s="566">
        <v>5921.923</v>
      </c>
      <c r="P59" s="37">
        <f t="shared" si="7"/>
        <v>64775.535</v>
      </c>
      <c r="Q59" s="43">
        <f t="shared" si="11"/>
        <v>5925.472</v>
      </c>
      <c r="R59" s="334">
        <f t="shared" si="10"/>
        <v>43466</v>
      </c>
      <c r="S59" s="35"/>
    </row>
    <row r="60" spans="1:19" ht="12.75">
      <c r="A60">
        <v>20</v>
      </c>
      <c r="B60" s="682">
        <f t="shared" si="8"/>
        <v>0</v>
      </c>
      <c r="C60" s="683" t="str">
        <f t="shared" si="9"/>
        <v>5030019646</v>
      </c>
      <c r="D60" s="651">
        <v>5543.023999999999</v>
      </c>
      <c r="E60" s="651">
        <v>9427.748</v>
      </c>
      <c r="F60" s="651">
        <v>5699.796</v>
      </c>
      <c r="G60" s="652">
        <v>5095.943</v>
      </c>
      <c r="H60" s="652">
        <v>4944.725</v>
      </c>
      <c r="I60" s="652">
        <v>4815.787</v>
      </c>
      <c r="J60" s="652">
        <v>4644.219</v>
      </c>
      <c r="K60" s="652">
        <v>4858.576</v>
      </c>
      <c r="L60" s="652">
        <v>4945.268</v>
      </c>
      <c r="M60" s="652">
        <v>5057.24</v>
      </c>
      <c r="N60" s="652">
        <v>4988.948</v>
      </c>
      <c r="O60" s="652">
        <v>4920.228</v>
      </c>
      <c r="P60" s="37">
        <f t="shared" si="7"/>
        <v>64941.50199999999</v>
      </c>
      <c r="Q60" s="43">
        <f t="shared" si="11"/>
        <v>9427.748</v>
      </c>
      <c r="R60" s="334">
        <f t="shared" si="10"/>
        <v>43497</v>
      </c>
      <c r="S60" s="35"/>
    </row>
    <row r="61" spans="1:19" ht="12.75">
      <c r="A61">
        <v>21</v>
      </c>
      <c r="B61" s="682">
        <f t="shared" si="8"/>
        <v>0</v>
      </c>
      <c r="C61" s="683" t="str">
        <f t="shared" si="9"/>
        <v>7030024549</v>
      </c>
      <c r="D61" s="651">
        <v>4283.557</v>
      </c>
      <c r="E61" s="651">
        <v>4289.834</v>
      </c>
      <c r="F61" s="651">
        <v>4226.067</v>
      </c>
      <c r="G61" s="652">
        <v>4553.32</v>
      </c>
      <c r="H61" s="652">
        <v>5085.145</v>
      </c>
      <c r="I61" s="652">
        <v>6309.379</v>
      </c>
      <c r="J61" s="652">
        <v>5919.558</v>
      </c>
      <c r="K61" s="652">
        <v>7191.935</v>
      </c>
      <c r="L61" s="652">
        <v>9554.729</v>
      </c>
      <c r="M61" s="652">
        <v>8275.527</v>
      </c>
      <c r="N61" s="652">
        <v>4245.864</v>
      </c>
      <c r="O61" s="652">
        <v>4204.433</v>
      </c>
      <c r="P61" s="37">
        <f t="shared" si="7"/>
        <v>68139.348</v>
      </c>
      <c r="Q61" s="43">
        <f t="shared" si="11"/>
        <v>9554.729</v>
      </c>
      <c r="R61" s="334">
        <f t="shared" si="10"/>
        <v>43709</v>
      </c>
      <c r="S61" s="35"/>
    </row>
    <row r="62" spans="1:19" s="752" customFormat="1" ht="12.75">
      <c r="A62" s="752">
        <v>22</v>
      </c>
      <c r="B62" s="682">
        <f t="shared" si="8"/>
        <v>0</v>
      </c>
      <c r="C62" s="683"/>
      <c r="D62" s="651">
        <v>2223.39</v>
      </c>
      <c r="E62" s="651">
        <v>2148.591</v>
      </c>
      <c r="F62" s="651">
        <v>1909.559</v>
      </c>
      <c r="G62" s="652">
        <v>2118.725</v>
      </c>
      <c r="H62" s="652">
        <v>2298.212</v>
      </c>
      <c r="I62" s="652">
        <v>2136.031</v>
      </c>
      <c r="J62" s="652">
        <v>2246.822</v>
      </c>
      <c r="K62" s="652">
        <v>2660.088</v>
      </c>
      <c r="L62" s="652">
        <v>2377.278</v>
      </c>
      <c r="M62" s="652">
        <v>6979.901</v>
      </c>
      <c r="N62" s="652">
        <v>6503.073</v>
      </c>
      <c r="O62" s="652">
        <v>6407.751</v>
      </c>
      <c r="P62" s="390">
        <f t="shared" si="7"/>
        <v>40009.421</v>
      </c>
      <c r="Q62" s="542">
        <f aca="true" t="shared" si="12" ref="Q62:Q63">MAX(D62:O62)</f>
        <v>6979.901</v>
      </c>
      <c r="R62" s="334">
        <f aca="true" t="shared" si="13" ref="R62:R63">INDEX($D$40:$O$40,MATCH(Q62,$D62:$O62,0))</f>
        <v>43739</v>
      </c>
      <c r="S62" s="541"/>
    </row>
    <row r="63" spans="1:19" s="752" customFormat="1" ht="12.75">
      <c r="A63" s="752">
        <v>23</v>
      </c>
      <c r="B63" s="682">
        <f t="shared" si="8"/>
        <v>0</v>
      </c>
      <c r="C63" s="683"/>
      <c r="D63" s="556">
        <v>3733.76</v>
      </c>
      <c r="E63" s="556">
        <v>3840.748</v>
      </c>
      <c r="F63" s="556">
        <v>3713.142</v>
      </c>
      <c r="G63" s="565">
        <v>3775.555</v>
      </c>
      <c r="H63" s="565">
        <v>3660.164</v>
      </c>
      <c r="I63" s="565">
        <v>3602.386</v>
      </c>
      <c r="J63" s="565">
        <v>3660.213</v>
      </c>
      <c r="K63" s="565">
        <v>3628.878</v>
      </c>
      <c r="L63" s="565">
        <v>3524.979</v>
      </c>
      <c r="M63" s="565">
        <v>3638.946</v>
      </c>
      <c r="N63" s="565">
        <v>3738.236</v>
      </c>
      <c r="O63" s="565">
        <v>3734.714</v>
      </c>
      <c r="P63" s="390">
        <f t="shared" si="7"/>
        <v>44251.72099999999</v>
      </c>
      <c r="Q63" s="542">
        <f t="shared" si="12"/>
        <v>3840.748</v>
      </c>
      <c r="R63" s="334">
        <f t="shared" si="13"/>
        <v>43497</v>
      </c>
      <c r="S63" s="541"/>
    </row>
    <row r="64" spans="2:16" ht="12.75">
      <c r="B64" t="s">
        <v>365</v>
      </c>
      <c r="D64" s="302">
        <f>SUM(D41:D63)</f>
        <v>166681.589</v>
      </c>
      <c r="E64" s="302">
        <f aca="true" t="shared" si="14" ref="E64:O64">SUM(E41:E63)</f>
        <v>171958.64299999998</v>
      </c>
      <c r="F64" s="302">
        <f t="shared" si="14"/>
        <v>169527.08</v>
      </c>
      <c r="G64" s="302">
        <f t="shared" si="14"/>
        <v>167969.194</v>
      </c>
      <c r="H64" s="302">
        <f t="shared" si="14"/>
        <v>178363.734</v>
      </c>
      <c r="I64" s="302">
        <f t="shared" si="14"/>
        <v>173728.662</v>
      </c>
      <c r="J64" s="302">
        <f t="shared" si="14"/>
        <v>175753.40500000003</v>
      </c>
      <c r="K64" s="302">
        <f t="shared" si="14"/>
        <v>181762.40699999998</v>
      </c>
      <c r="L64" s="302">
        <f t="shared" si="14"/>
        <v>179836.49799999996</v>
      </c>
      <c r="M64" s="302">
        <f t="shared" si="14"/>
        <v>175761.271</v>
      </c>
      <c r="N64" s="302">
        <f t="shared" si="14"/>
        <v>168943.31199999998</v>
      </c>
      <c r="O64" s="302">
        <f t="shared" si="14"/>
        <v>170484.31399999998</v>
      </c>
      <c r="P64" s="39">
        <f>IF(ROUND(SUM(P41:P63),0)&lt;&gt;ROUND(SUM(D64:O64),0),#VALUE!,SUM(P41:P63))</f>
        <v>2080770.109</v>
      </c>
    </row>
    <row r="65" spans="4:16" ht="12.75">
      <c r="D65" s="303"/>
      <c r="E65" s="303"/>
      <c r="F65" s="303"/>
      <c r="G65" s="303"/>
      <c r="H65" s="303"/>
      <c r="I65" s="303"/>
      <c r="J65" s="303"/>
      <c r="K65" s="303"/>
      <c r="L65" s="303"/>
      <c r="M65" s="46"/>
      <c r="N65" s="46"/>
      <c r="O65" s="46"/>
      <c r="P65" s="46"/>
    </row>
    <row r="66" spans="4:16" ht="12.75">
      <c r="D66" s="19"/>
      <c r="E66" s="19"/>
      <c r="F66" s="19"/>
      <c r="G66" s="19"/>
      <c r="H66" s="19"/>
      <c r="I66" s="19"/>
      <c r="J66" s="19"/>
      <c r="K66" s="19"/>
      <c r="L66" s="19"/>
      <c r="P66" s="35" t="str">
        <f>P$2</f>
        <v>12-mo Ended</v>
      </c>
    </row>
    <row r="67" spans="2:16" ht="12.75">
      <c r="B67" s="117" t="s">
        <v>404</v>
      </c>
      <c r="D67" s="301">
        <f>D$3</f>
        <v>43466</v>
      </c>
      <c r="E67" s="301">
        <f aca="true" t="shared" si="15" ref="E67:O67">E$3</f>
        <v>43497</v>
      </c>
      <c r="F67" s="301">
        <f t="shared" si="15"/>
        <v>43525</v>
      </c>
      <c r="G67" s="301">
        <f t="shared" si="15"/>
        <v>43556</v>
      </c>
      <c r="H67" s="301">
        <f t="shared" si="15"/>
        <v>43586</v>
      </c>
      <c r="I67" s="301">
        <f t="shared" si="15"/>
        <v>43617</v>
      </c>
      <c r="J67" s="301">
        <f t="shared" si="15"/>
        <v>43647</v>
      </c>
      <c r="K67" s="301">
        <f t="shared" si="15"/>
        <v>43678</v>
      </c>
      <c r="L67" s="301">
        <f t="shared" si="15"/>
        <v>43709</v>
      </c>
      <c r="M67" s="299">
        <f t="shared" si="15"/>
        <v>43739</v>
      </c>
      <c r="N67" s="299">
        <f t="shared" si="15"/>
        <v>43770</v>
      </c>
      <c r="O67" s="299">
        <f t="shared" si="15"/>
        <v>43800</v>
      </c>
      <c r="P67" s="35" t="s">
        <v>66</v>
      </c>
    </row>
    <row r="68" spans="1:16" ht="12.75">
      <c r="A68">
        <v>1</v>
      </c>
      <c r="B68" s="642">
        <f>B4</f>
        <v>0</v>
      </c>
      <c r="C68" s="327" t="str">
        <f>C4</f>
        <v>2311008572</v>
      </c>
      <c r="D68" s="304">
        <f aca="true" t="shared" si="16" ref="D68:F75">IF(D41&gt;3000,D41-3000,0)</f>
        <v>8235.119</v>
      </c>
      <c r="E68" s="304">
        <f t="shared" si="16"/>
        <v>10097.044</v>
      </c>
      <c r="F68" s="304">
        <f t="shared" si="16"/>
        <v>9788.42</v>
      </c>
      <c r="G68" s="304">
        <f aca="true" t="shared" si="17" ref="G68:O68">MAX(0,G41-3000)</f>
        <v>8813.076</v>
      </c>
      <c r="H68" s="304">
        <f t="shared" si="17"/>
        <v>16727.5</v>
      </c>
      <c r="I68" s="304">
        <f t="shared" si="17"/>
        <v>8694.565</v>
      </c>
      <c r="J68" s="304">
        <f t="shared" si="17"/>
        <v>7955.651</v>
      </c>
      <c r="K68" s="304">
        <f t="shared" si="17"/>
        <v>8234.874</v>
      </c>
      <c r="L68" s="304">
        <f t="shared" si="17"/>
        <v>8020.227000000001</v>
      </c>
      <c r="M68" s="304">
        <f t="shared" si="17"/>
        <v>6747.696</v>
      </c>
      <c r="N68" s="304">
        <f t="shared" si="17"/>
        <v>4452.812</v>
      </c>
      <c r="O68" s="304">
        <f t="shared" si="17"/>
        <v>4325.132</v>
      </c>
      <c r="P68" s="37">
        <f aca="true" t="shared" si="18" ref="P68:P88">SUM(D68:O68)</f>
        <v>102092.116</v>
      </c>
    </row>
    <row r="69" spans="1:16" ht="12.75">
      <c r="A69">
        <v>2</v>
      </c>
      <c r="B69" s="642">
        <f aca="true" t="shared" si="19" ref="B69:B90">B5</f>
        <v>0</v>
      </c>
      <c r="C69" s="327" t="str">
        <f aca="true" t="shared" si="20" ref="C69:C74">C5</f>
        <v>8920023327</v>
      </c>
      <c r="D69" s="304">
        <f t="shared" si="16"/>
        <v>2486.075</v>
      </c>
      <c r="E69" s="304">
        <f t="shared" si="16"/>
        <v>2434.125</v>
      </c>
      <c r="F69" s="304">
        <f t="shared" si="16"/>
        <v>2276.1229999999996</v>
      </c>
      <c r="G69" s="304">
        <f aca="true" t="shared" si="21" ref="G69:O69">MAX(0,G42-3000)</f>
        <v>2056.1369999999997</v>
      </c>
      <c r="H69" s="304">
        <f t="shared" si="21"/>
        <v>1983.969</v>
      </c>
      <c r="I69" s="304">
        <f t="shared" si="21"/>
        <v>2005.4129999999996</v>
      </c>
      <c r="J69" s="304">
        <f t="shared" si="21"/>
        <v>2087.6890000000003</v>
      </c>
      <c r="K69" s="304">
        <f t="shared" si="21"/>
        <v>2057.6229999999996</v>
      </c>
      <c r="L69" s="304">
        <f t="shared" si="21"/>
        <v>2126.2299999999996</v>
      </c>
      <c r="M69" s="304">
        <f t="shared" si="21"/>
        <v>2102.8950000000004</v>
      </c>
      <c r="N69" s="304">
        <f t="shared" si="21"/>
        <v>2137.21</v>
      </c>
      <c r="O69" s="304">
        <f t="shared" si="21"/>
        <v>2127.785</v>
      </c>
      <c r="P69" s="37">
        <f t="shared" si="18"/>
        <v>25881.274</v>
      </c>
    </row>
    <row r="70" spans="1:16" ht="12.75">
      <c r="A70">
        <v>3</v>
      </c>
      <c r="B70" s="642">
        <f t="shared" si="19"/>
        <v>0</v>
      </c>
      <c r="C70" s="327" t="str">
        <f t="shared" si="20"/>
        <v>9920023116</v>
      </c>
      <c r="D70" s="304">
        <f t="shared" si="16"/>
        <v>170.4920000000002</v>
      </c>
      <c r="E70" s="304">
        <f t="shared" si="16"/>
        <v>0</v>
      </c>
      <c r="F70" s="304">
        <f t="shared" si="16"/>
        <v>9.146999999999935</v>
      </c>
      <c r="G70" s="304">
        <f aca="true" t="shared" si="22" ref="G70:O70">MAX(0,G43-3000)</f>
        <v>0</v>
      </c>
      <c r="H70" s="304">
        <f t="shared" si="22"/>
        <v>0</v>
      </c>
      <c r="I70" s="304">
        <f t="shared" si="22"/>
        <v>0</v>
      </c>
      <c r="J70" s="304">
        <f t="shared" si="22"/>
        <v>0</v>
      </c>
      <c r="K70" s="304">
        <f t="shared" si="22"/>
        <v>0</v>
      </c>
      <c r="L70" s="304">
        <f t="shared" si="22"/>
        <v>0</v>
      </c>
      <c r="M70" s="304">
        <f t="shared" si="22"/>
        <v>0</v>
      </c>
      <c r="N70" s="304">
        <f t="shared" si="22"/>
        <v>0</v>
      </c>
      <c r="O70" s="304">
        <f t="shared" si="22"/>
        <v>0</v>
      </c>
      <c r="P70" s="37">
        <f t="shared" si="18"/>
        <v>179.63900000000012</v>
      </c>
    </row>
    <row r="71" spans="1:16" ht="12.75">
      <c r="A71">
        <v>4</v>
      </c>
      <c r="B71" s="642">
        <f t="shared" si="19"/>
        <v>0</v>
      </c>
      <c r="C71" s="327" t="str">
        <f t="shared" si="20"/>
        <v>8970099313</v>
      </c>
      <c r="D71" s="304">
        <f t="shared" si="16"/>
        <v>0</v>
      </c>
      <c r="E71" s="304">
        <f t="shared" si="16"/>
        <v>0</v>
      </c>
      <c r="F71" s="304">
        <f t="shared" si="16"/>
        <v>0</v>
      </c>
      <c r="G71" s="304">
        <f aca="true" t="shared" si="23" ref="G71:O71">MAX(0,G44-3000)</f>
        <v>0</v>
      </c>
      <c r="H71" s="304">
        <f t="shared" si="23"/>
        <v>0</v>
      </c>
      <c r="I71" s="304">
        <f t="shared" si="23"/>
        <v>0</v>
      </c>
      <c r="J71" s="304">
        <f t="shared" si="23"/>
        <v>0</v>
      </c>
      <c r="K71" s="304">
        <f t="shared" si="23"/>
        <v>0</v>
      </c>
      <c r="L71" s="304">
        <f t="shared" si="23"/>
        <v>0</v>
      </c>
      <c r="M71" s="304">
        <f t="shared" si="23"/>
        <v>0</v>
      </c>
      <c r="N71" s="304">
        <f t="shared" si="23"/>
        <v>0</v>
      </c>
      <c r="O71" s="304">
        <f t="shared" si="23"/>
        <v>0</v>
      </c>
      <c r="P71" s="37">
        <f t="shared" si="18"/>
        <v>0</v>
      </c>
    </row>
    <row r="72" spans="1:16" ht="12.75">
      <c r="A72">
        <v>5</v>
      </c>
      <c r="B72" s="642">
        <f t="shared" si="19"/>
        <v>0</v>
      </c>
      <c r="C72" s="327" t="str">
        <f t="shared" si="20"/>
        <v>0080095044</v>
      </c>
      <c r="D72" s="304">
        <f t="shared" si="16"/>
        <v>0</v>
      </c>
      <c r="E72" s="304">
        <f t="shared" si="16"/>
        <v>0</v>
      </c>
      <c r="F72" s="304">
        <f t="shared" si="16"/>
        <v>0</v>
      </c>
      <c r="G72" s="304">
        <f aca="true" t="shared" si="24" ref="G72:O72">MAX(0,G45-3000)</f>
        <v>132.22299999999996</v>
      </c>
      <c r="H72" s="304">
        <f t="shared" si="24"/>
        <v>477.36900000000014</v>
      </c>
      <c r="I72" s="304">
        <f t="shared" si="24"/>
        <v>747.4949999999999</v>
      </c>
      <c r="J72" s="304">
        <f t="shared" si="24"/>
        <v>914.4200000000001</v>
      </c>
      <c r="K72" s="304">
        <f t="shared" si="24"/>
        <v>810.7330000000002</v>
      </c>
      <c r="L72" s="304">
        <f t="shared" si="24"/>
        <v>653.3000000000002</v>
      </c>
      <c r="M72" s="304">
        <f t="shared" si="24"/>
        <v>0</v>
      </c>
      <c r="N72" s="304">
        <f t="shared" si="24"/>
        <v>0</v>
      </c>
      <c r="O72" s="304">
        <f t="shared" si="24"/>
        <v>0</v>
      </c>
      <c r="P72" s="37">
        <f t="shared" si="18"/>
        <v>3735.5400000000004</v>
      </c>
    </row>
    <row r="73" spans="1:16" ht="12.75">
      <c r="A73">
        <v>6</v>
      </c>
      <c r="B73" s="642">
        <f t="shared" si="19"/>
        <v>0</v>
      </c>
      <c r="C73" s="327" t="str">
        <f t="shared" si="20"/>
        <v>1420028876</v>
      </c>
      <c r="D73" s="304">
        <f t="shared" si="16"/>
        <v>1693.9759999999997</v>
      </c>
      <c r="E73" s="304">
        <f t="shared" si="16"/>
        <v>1607.8199999999997</v>
      </c>
      <c r="F73" s="304">
        <f t="shared" si="16"/>
        <v>1350.339</v>
      </c>
      <c r="G73" s="304">
        <f aca="true" t="shared" si="25" ref="G73:O73">MAX(0,G46-3000)</f>
        <v>1168.8230000000003</v>
      </c>
      <c r="H73" s="304">
        <f t="shared" si="25"/>
        <v>1653.5330000000004</v>
      </c>
      <c r="I73" s="304">
        <f t="shared" si="25"/>
        <v>1532.701</v>
      </c>
      <c r="J73" s="304">
        <f t="shared" si="25"/>
        <v>1783.741</v>
      </c>
      <c r="K73" s="304">
        <f t="shared" si="25"/>
        <v>2478.8410000000003</v>
      </c>
      <c r="L73" s="304">
        <f t="shared" si="25"/>
        <v>2486.071</v>
      </c>
      <c r="M73" s="304">
        <f t="shared" si="25"/>
        <v>1220.9070000000002</v>
      </c>
      <c r="N73" s="304">
        <f t="shared" si="25"/>
        <v>1550.799</v>
      </c>
      <c r="O73" s="304">
        <f t="shared" si="25"/>
        <v>1495.9210000000003</v>
      </c>
      <c r="P73" s="37">
        <f t="shared" si="18"/>
        <v>20023.472</v>
      </c>
    </row>
    <row r="74" spans="1:16" ht="12.75">
      <c r="A74">
        <v>7</v>
      </c>
      <c r="B74" s="642">
        <f t="shared" si="19"/>
        <v>0</v>
      </c>
      <c r="C74" s="327" t="str">
        <f t="shared" si="20"/>
        <v>0170122152</v>
      </c>
      <c r="D74" s="304">
        <f t="shared" si="16"/>
        <v>0</v>
      </c>
      <c r="E74" s="304">
        <f t="shared" si="16"/>
        <v>0</v>
      </c>
      <c r="F74" s="304">
        <f t="shared" si="16"/>
        <v>0</v>
      </c>
      <c r="G74" s="304">
        <f aca="true" t="shared" si="26" ref="G74:O74">MAX(0,G47-3000)</f>
        <v>0</v>
      </c>
      <c r="H74" s="304">
        <f t="shared" si="26"/>
        <v>29.110999999999876</v>
      </c>
      <c r="I74" s="304">
        <f t="shared" si="26"/>
        <v>196.04799999999977</v>
      </c>
      <c r="J74" s="304">
        <f t="shared" si="26"/>
        <v>339.18899999999985</v>
      </c>
      <c r="K74" s="304">
        <f t="shared" si="26"/>
        <v>522.6179999999999</v>
      </c>
      <c r="L74" s="304">
        <f t="shared" si="26"/>
        <v>280.20600000000013</v>
      </c>
      <c r="M74" s="304">
        <f t="shared" si="26"/>
        <v>114.72400000000016</v>
      </c>
      <c r="N74" s="304">
        <f t="shared" si="26"/>
        <v>80.48100000000022</v>
      </c>
      <c r="O74" s="304">
        <f t="shared" si="26"/>
        <v>7.697999999999865</v>
      </c>
      <c r="P74" s="37">
        <f t="shared" si="18"/>
        <v>1570.0749999999998</v>
      </c>
    </row>
    <row r="75" spans="1:16" ht="12.75">
      <c r="A75">
        <v>8</v>
      </c>
      <c r="B75" s="642">
        <f t="shared" si="19"/>
        <v>0</v>
      </c>
      <c r="C75" s="327">
        <v>610074869</v>
      </c>
      <c r="D75" s="304">
        <f t="shared" si="16"/>
        <v>1138.0299999999997</v>
      </c>
      <c r="E75" s="304">
        <f t="shared" si="16"/>
        <v>1134.473</v>
      </c>
      <c r="F75" s="304">
        <f t="shared" si="16"/>
        <v>1111.0600000000004</v>
      </c>
      <c r="G75" s="304">
        <f aca="true" t="shared" si="27" ref="G75:O75">MAX(0,G48-3000)</f>
        <v>1134.7290000000003</v>
      </c>
      <c r="H75" s="304">
        <f t="shared" si="27"/>
        <v>1168.1779999999999</v>
      </c>
      <c r="I75" s="304">
        <f t="shared" si="27"/>
        <v>1212.5640000000003</v>
      </c>
      <c r="J75" s="304">
        <f t="shared" si="27"/>
        <v>1223.6970000000001</v>
      </c>
      <c r="K75" s="304">
        <f t="shared" si="27"/>
        <v>1273.0990000000002</v>
      </c>
      <c r="L75" s="304">
        <f t="shared" si="27"/>
        <v>1214.4899999999998</v>
      </c>
      <c r="M75" s="304">
        <f t="shared" si="27"/>
        <v>1157.8900000000003</v>
      </c>
      <c r="N75" s="304">
        <f t="shared" si="27"/>
        <v>1170.9449999999997</v>
      </c>
      <c r="O75" s="304">
        <f t="shared" si="27"/>
        <v>1257.5990000000002</v>
      </c>
      <c r="P75" s="37">
        <f t="shared" si="18"/>
        <v>14196.754000000003</v>
      </c>
    </row>
    <row r="76" spans="1:16" ht="12.75">
      <c r="A76">
        <v>9</v>
      </c>
      <c r="B76" s="642">
        <f t="shared" si="19"/>
        <v>0</v>
      </c>
      <c r="C76" s="327" t="str">
        <f aca="true" t="shared" si="28" ref="C76:C88">C12</f>
        <v>0160126924</v>
      </c>
      <c r="D76" s="304">
        <f>MAX(0,D49-3000)</f>
        <v>53979.76</v>
      </c>
      <c r="E76" s="304">
        <f>MAX(0,E49-3000)</f>
        <v>55491.21</v>
      </c>
      <c r="F76" s="304">
        <f>MAX(0,F49-3000)</f>
        <v>57723.97</v>
      </c>
      <c r="G76" s="304">
        <f aca="true" t="shared" si="29" ref="G76:O76">MAX(0,G49-3000)</f>
        <v>57695.18</v>
      </c>
      <c r="H76" s="304">
        <f t="shared" si="29"/>
        <v>56633.5</v>
      </c>
      <c r="I76" s="304">
        <f t="shared" si="29"/>
        <v>56915.37</v>
      </c>
      <c r="J76" s="304">
        <f t="shared" si="29"/>
        <v>57954.8</v>
      </c>
      <c r="K76" s="304">
        <f t="shared" si="29"/>
        <v>59499.94</v>
      </c>
      <c r="L76" s="304">
        <f t="shared" si="29"/>
        <v>57332.9</v>
      </c>
      <c r="M76" s="304">
        <f t="shared" si="29"/>
        <v>58348.84</v>
      </c>
      <c r="N76" s="304">
        <f t="shared" si="29"/>
        <v>58453.18</v>
      </c>
      <c r="O76" s="304">
        <f t="shared" si="29"/>
        <v>59886.96</v>
      </c>
      <c r="P76" s="37">
        <f t="shared" si="18"/>
        <v>689915.61</v>
      </c>
    </row>
    <row r="77" spans="1:16" ht="12.75">
      <c r="A77">
        <v>10</v>
      </c>
      <c r="B77" s="642">
        <f t="shared" si="19"/>
        <v>0</v>
      </c>
      <c r="C77" s="327" t="str">
        <f t="shared" si="28"/>
        <v>4250473907</v>
      </c>
      <c r="D77" s="304">
        <f aca="true" t="shared" si="30" ref="D77:F88">IF(D50&gt;3000,D50-3000,0)</f>
        <v>6494.367</v>
      </c>
      <c r="E77" s="304">
        <f t="shared" si="30"/>
        <v>5151.693</v>
      </c>
      <c r="F77" s="304">
        <f t="shared" si="30"/>
        <v>5444.641</v>
      </c>
      <c r="G77" s="304">
        <f aca="true" t="shared" si="31" ref="G77:O77">MAX(0,G50-3000)</f>
        <v>5251.370000000001</v>
      </c>
      <c r="H77" s="304">
        <f t="shared" si="31"/>
        <v>5416.0830000000005</v>
      </c>
      <c r="I77" s="304">
        <f t="shared" si="31"/>
        <v>5438.518</v>
      </c>
      <c r="J77" s="304">
        <f t="shared" si="31"/>
        <v>5465.471</v>
      </c>
      <c r="K77" s="304">
        <f t="shared" si="31"/>
        <v>5617.573</v>
      </c>
      <c r="L77" s="304">
        <f t="shared" si="31"/>
        <v>5465.008</v>
      </c>
      <c r="M77" s="304">
        <f t="shared" si="31"/>
        <v>5444.641</v>
      </c>
      <c r="N77" s="304">
        <f t="shared" si="31"/>
        <v>5123.326</v>
      </c>
      <c r="O77" s="304">
        <f t="shared" si="31"/>
        <v>5375.373</v>
      </c>
      <c r="P77" s="37">
        <f t="shared" si="18"/>
        <v>65688.06400000001</v>
      </c>
    </row>
    <row r="78" spans="1:16" ht="12.75">
      <c r="A78">
        <v>11</v>
      </c>
      <c r="B78" s="642">
        <f t="shared" si="19"/>
        <v>0</v>
      </c>
      <c r="C78" s="327" t="str">
        <f t="shared" si="28"/>
        <v>9060132009</v>
      </c>
      <c r="D78" s="304">
        <f t="shared" si="30"/>
        <v>5557.576999999999</v>
      </c>
      <c r="E78" s="304">
        <f t="shared" si="30"/>
        <v>5575.148999999999</v>
      </c>
      <c r="F78" s="304">
        <f t="shared" si="30"/>
        <v>5703.892</v>
      </c>
      <c r="G78" s="304">
        <f aca="true" t="shared" si="32" ref="G78:O78">MAX(0,G51-3000)</f>
        <v>5473.339</v>
      </c>
      <c r="H78" s="304">
        <f t="shared" si="32"/>
        <v>5775.977000000001</v>
      </c>
      <c r="I78" s="304">
        <f t="shared" si="32"/>
        <v>6149.543</v>
      </c>
      <c r="J78" s="304">
        <f t="shared" si="32"/>
        <v>5848.156000000001</v>
      </c>
      <c r="K78" s="304">
        <f t="shared" si="32"/>
        <v>5727.264999999999</v>
      </c>
      <c r="L78" s="304">
        <f t="shared" si="32"/>
        <v>5415.023999999999</v>
      </c>
      <c r="M78" s="304">
        <f t="shared" si="32"/>
        <v>5497.022000000001</v>
      </c>
      <c r="N78" s="304">
        <f t="shared" si="32"/>
        <v>5603.248</v>
      </c>
      <c r="O78" s="304">
        <f t="shared" si="32"/>
        <v>5631.508</v>
      </c>
      <c r="P78" s="37">
        <f t="shared" si="18"/>
        <v>67957.7</v>
      </c>
    </row>
    <row r="79" spans="1:16" ht="12.75">
      <c r="A79">
        <v>12</v>
      </c>
      <c r="B79" s="642">
        <f t="shared" si="19"/>
        <v>0</v>
      </c>
      <c r="C79" s="327" t="str">
        <f t="shared" si="28"/>
        <v>0030019644</v>
      </c>
      <c r="D79" s="304">
        <f t="shared" si="30"/>
        <v>1980.2330000000002</v>
      </c>
      <c r="E79" s="304">
        <f t="shared" si="30"/>
        <v>1999.5879999999997</v>
      </c>
      <c r="F79" s="304">
        <f t="shared" si="30"/>
        <v>2543.7340000000004</v>
      </c>
      <c r="G79" s="304">
        <f aca="true" t="shared" si="33" ref="G79:O79">MAX(0,G52-3000)</f>
        <v>2907.495</v>
      </c>
      <c r="H79" s="304">
        <f t="shared" si="33"/>
        <v>3389.4269999999997</v>
      </c>
      <c r="I79" s="304">
        <f t="shared" si="33"/>
        <v>3828.66</v>
      </c>
      <c r="J79" s="304">
        <f t="shared" si="33"/>
        <v>4121.865</v>
      </c>
      <c r="K79" s="304">
        <f t="shared" si="33"/>
        <v>4273.985</v>
      </c>
      <c r="L79" s="304">
        <f t="shared" si="33"/>
        <v>3707.2110000000002</v>
      </c>
      <c r="M79" s="304">
        <f t="shared" si="33"/>
        <v>2606.3140000000003</v>
      </c>
      <c r="N79" s="304">
        <f t="shared" si="33"/>
        <v>1896.1009999999997</v>
      </c>
      <c r="O79" s="304">
        <f t="shared" si="33"/>
        <v>1949.013</v>
      </c>
      <c r="P79" s="37">
        <f t="shared" si="18"/>
        <v>35203.626000000004</v>
      </c>
    </row>
    <row r="80" spans="1:16" ht="12.75">
      <c r="A80">
        <v>13</v>
      </c>
      <c r="B80" s="642">
        <f t="shared" si="19"/>
        <v>0</v>
      </c>
      <c r="C80" s="327" t="str">
        <f t="shared" si="28"/>
        <v>1080099801</v>
      </c>
      <c r="D80" s="304">
        <f t="shared" si="30"/>
        <v>0</v>
      </c>
      <c r="E80" s="304">
        <f t="shared" si="30"/>
        <v>0</v>
      </c>
      <c r="F80" s="304">
        <f t="shared" si="30"/>
        <v>0</v>
      </c>
      <c r="G80" s="304">
        <f aca="true" t="shared" si="34" ref="G80:O80">MAX(0,G53-3000)</f>
        <v>0</v>
      </c>
      <c r="H80" s="304">
        <f t="shared" si="34"/>
        <v>0</v>
      </c>
      <c r="I80" s="304">
        <f t="shared" si="34"/>
        <v>0</v>
      </c>
      <c r="J80" s="304">
        <f t="shared" si="34"/>
        <v>0</v>
      </c>
      <c r="K80" s="304">
        <f t="shared" si="34"/>
        <v>0</v>
      </c>
      <c r="L80" s="304">
        <f t="shared" si="34"/>
        <v>0</v>
      </c>
      <c r="M80" s="304">
        <f t="shared" si="34"/>
        <v>0</v>
      </c>
      <c r="N80" s="304">
        <f t="shared" si="34"/>
        <v>0</v>
      </c>
      <c r="O80" s="304">
        <f t="shared" si="34"/>
        <v>0</v>
      </c>
      <c r="P80" s="37">
        <f t="shared" si="18"/>
        <v>0</v>
      </c>
    </row>
    <row r="81" spans="1:16" ht="12.75">
      <c r="A81">
        <v>14</v>
      </c>
      <c r="B81" s="642">
        <f t="shared" si="19"/>
        <v>0</v>
      </c>
      <c r="C81" s="327" t="str">
        <f t="shared" si="28"/>
        <v>0070121063</v>
      </c>
      <c r="D81" s="304">
        <f t="shared" si="30"/>
        <v>2920.46</v>
      </c>
      <c r="E81" s="304">
        <f t="shared" si="30"/>
        <v>2993.254</v>
      </c>
      <c r="F81" s="304">
        <f t="shared" si="30"/>
        <v>2928.205</v>
      </c>
      <c r="G81" s="304">
        <f aca="true" t="shared" si="35" ref="G81:O81">MAX(0,G54-3000)</f>
        <v>2817.009</v>
      </c>
      <c r="H81" s="304">
        <f t="shared" si="35"/>
        <v>3388.3950000000004</v>
      </c>
      <c r="I81" s="304">
        <f t="shared" si="35"/>
        <v>3221.201</v>
      </c>
      <c r="J81" s="304">
        <f t="shared" si="35"/>
        <v>3304.875</v>
      </c>
      <c r="K81" s="304">
        <f t="shared" si="35"/>
        <v>3173.893</v>
      </c>
      <c r="L81" s="304">
        <f t="shared" si="35"/>
        <v>3325.053</v>
      </c>
      <c r="M81" s="304">
        <f t="shared" si="35"/>
        <v>3242.3940000000002</v>
      </c>
      <c r="N81" s="304">
        <f t="shared" si="35"/>
        <v>3406.447</v>
      </c>
      <c r="O81" s="304">
        <f t="shared" si="35"/>
        <v>3101.693</v>
      </c>
      <c r="P81" s="37">
        <f t="shared" si="18"/>
        <v>37822.879</v>
      </c>
    </row>
    <row r="82" spans="1:16" ht="12.75">
      <c r="A82">
        <v>15</v>
      </c>
      <c r="B82" s="642">
        <f t="shared" si="19"/>
        <v>0</v>
      </c>
      <c r="C82" s="327" t="str">
        <f t="shared" si="28"/>
        <v>2260946595</v>
      </c>
      <c r="D82" s="304">
        <f t="shared" si="30"/>
        <v>0</v>
      </c>
      <c r="E82" s="304">
        <f t="shared" si="30"/>
        <v>0</v>
      </c>
      <c r="F82" s="304">
        <f t="shared" si="30"/>
        <v>0</v>
      </c>
      <c r="G82" s="304">
        <f aca="true" t="shared" si="36" ref="G82:O82">MAX(0,G55-3000)</f>
        <v>0</v>
      </c>
      <c r="H82" s="304">
        <f t="shared" si="36"/>
        <v>409.6239999999998</v>
      </c>
      <c r="I82" s="304">
        <f t="shared" si="36"/>
        <v>301.98</v>
      </c>
      <c r="J82" s="304">
        <f t="shared" si="36"/>
        <v>509.3910000000001</v>
      </c>
      <c r="K82" s="304">
        <f t="shared" si="36"/>
        <v>666.569</v>
      </c>
      <c r="L82" s="304">
        <f t="shared" si="36"/>
        <v>697.6990000000001</v>
      </c>
      <c r="M82" s="304">
        <f t="shared" si="36"/>
        <v>131.4090000000001</v>
      </c>
      <c r="N82" s="304">
        <f t="shared" si="36"/>
        <v>0</v>
      </c>
      <c r="O82" s="304">
        <f t="shared" si="36"/>
        <v>0</v>
      </c>
      <c r="P82" s="37">
        <f t="shared" si="18"/>
        <v>2716.672</v>
      </c>
    </row>
    <row r="83" spans="1:16" ht="12.75">
      <c r="A83">
        <v>16</v>
      </c>
      <c r="B83" s="642">
        <f t="shared" si="19"/>
        <v>0</v>
      </c>
      <c r="C83" s="327" t="str">
        <f t="shared" si="28"/>
        <v>2470070232</v>
      </c>
      <c r="D83" s="304">
        <f t="shared" si="30"/>
        <v>2028.1019999999999</v>
      </c>
      <c r="E83" s="304">
        <f t="shared" si="30"/>
        <v>1788.4679999999998</v>
      </c>
      <c r="F83" s="304">
        <f t="shared" si="30"/>
        <v>1942.8050000000003</v>
      </c>
      <c r="G83" s="304">
        <f aca="true" t="shared" si="37" ref="G83:O83">MAX(0,G56-3000)</f>
        <v>1612.442</v>
      </c>
      <c r="H83" s="304">
        <f t="shared" si="37"/>
        <v>1606.8090000000002</v>
      </c>
      <c r="I83" s="304">
        <f t="shared" si="37"/>
        <v>1393.9700000000003</v>
      </c>
      <c r="J83" s="304">
        <f t="shared" si="37"/>
        <v>1423.7870000000003</v>
      </c>
      <c r="K83" s="304">
        <f t="shared" si="37"/>
        <v>1237.9390000000003</v>
      </c>
      <c r="L83" s="304">
        <f t="shared" si="37"/>
        <v>1362.2529999999997</v>
      </c>
      <c r="M83" s="304">
        <f t="shared" si="37"/>
        <v>1489.8590000000004</v>
      </c>
      <c r="N83" s="304">
        <f t="shared" si="37"/>
        <v>1602.6000000000004</v>
      </c>
      <c r="O83" s="304">
        <f t="shared" si="37"/>
        <v>1523.5379999999996</v>
      </c>
      <c r="P83" s="37">
        <f t="shared" si="18"/>
        <v>19012.572</v>
      </c>
    </row>
    <row r="84" spans="1:16" ht="12.75">
      <c r="A84">
        <v>17</v>
      </c>
      <c r="B84" s="642">
        <f t="shared" si="19"/>
        <v>0</v>
      </c>
      <c r="C84" s="327" t="str">
        <f t="shared" si="28"/>
        <v>3730460787</v>
      </c>
      <c r="D84" s="304">
        <f t="shared" si="30"/>
        <v>1576.1419999999998</v>
      </c>
      <c r="E84" s="304">
        <f t="shared" si="30"/>
        <v>1593.7479999999996</v>
      </c>
      <c r="F84" s="304">
        <f t="shared" si="30"/>
        <v>1793.0240000000003</v>
      </c>
      <c r="G84" s="304">
        <f aca="true" t="shared" si="38" ref="G84:O84">MAX(0,G57-3000)</f>
        <v>1269.5659999999998</v>
      </c>
      <c r="H84" s="304">
        <f t="shared" si="38"/>
        <v>1178.7259999999997</v>
      </c>
      <c r="I84" s="304">
        <f t="shared" si="38"/>
        <v>1025.975</v>
      </c>
      <c r="J84" s="304">
        <f t="shared" si="38"/>
        <v>1061.17</v>
      </c>
      <c r="K84" s="304">
        <f t="shared" si="38"/>
        <v>1215.13</v>
      </c>
      <c r="L84" s="304">
        <f t="shared" si="38"/>
        <v>1599.915</v>
      </c>
      <c r="M84" s="304">
        <f t="shared" si="38"/>
        <v>1512.3909999999996</v>
      </c>
      <c r="N84" s="304">
        <f t="shared" si="38"/>
        <v>1444.4250000000002</v>
      </c>
      <c r="O84" s="304">
        <f t="shared" si="38"/>
        <v>1482.9390000000003</v>
      </c>
      <c r="P84" s="37">
        <f t="shared" si="18"/>
        <v>16753.150999999998</v>
      </c>
    </row>
    <row r="85" spans="1:16" ht="12.75">
      <c r="A85">
        <v>18</v>
      </c>
      <c r="B85" s="642">
        <f t="shared" si="19"/>
        <v>0</v>
      </c>
      <c r="C85" s="327" t="str">
        <f t="shared" si="28"/>
        <v>6030021572</v>
      </c>
      <c r="D85" s="304">
        <f t="shared" si="30"/>
        <v>4561.8</v>
      </c>
      <c r="E85" s="304">
        <f t="shared" si="30"/>
        <v>4319.55</v>
      </c>
      <c r="F85" s="304">
        <f t="shared" si="30"/>
        <v>3877.6000000000004</v>
      </c>
      <c r="G85" s="304">
        <f aca="true" t="shared" si="39" ref="G85:O85">MAX(0,G58-3000)</f>
        <v>4474.16</v>
      </c>
      <c r="H85" s="304">
        <f t="shared" si="39"/>
        <v>5302.59</v>
      </c>
      <c r="I85" s="304">
        <f t="shared" si="39"/>
        <v>6730.33</v>
      </c>
      <c r="J85" s="304">
        <f t="shared" si="39"/>
        <v>7780.889999999999</v>
      </c>
      <c r="K85" s="304">
        <f t="shared" si="39"/>
        <v>8330.56</v>
      </c>
      <c r="L85" s="304">
        <f t="shared" si="39"/>
        <v>7798.0599999999995</v>
      </c>
      <c r="M85" s="304">
        <f t="shared" si="39"/>
        <v>4293.78</v>
      </c>
      <c r="N85" s="304">
        <f t="shared" si="39"/>
        <v>4735.4</v>
      </c>
      <c r="O85" s="304">
        <f t="shared" si="39"/>
        <v>4646.46</v>
      </c>
      <c r="P85" s="37">
        <f t="shared" si="18"/>
        <v>66851.18</v>
      </c>
    </row>
    <row r="86" spans="1:16" ht="12.75">
      <c r="A86">
        <v>19</v>
      </c>
      <c r="B86" s="642">
        <f t="shared" si="19"/>
        <v>0</v>
      </c>
      <c r="C86" s="327" t="str">
        <f t="shared" si="28"/>
        <v>6100609210</v>
      </c>
      <c r="D86" s="304">
        <f t="shared" si="30"/>
        <v>2925.4719999999998</v>
      </c>
      <c r="E86" s="304">
        <f t="shared" si="30"/>
        <v>2829.219</v>
      </c>
      <c r="F86" s="304">
        <f t="shared" si="30"/>
        <v>2446.55</v>
      </c>
      <c r="G86" s="304">
        <f aca="true" t="shared" si="40" ref="G86:O86">MAX(0,G59-3000)</f>
        <v>2450.83</v>
      </c>
      <c r="H86" s="304">
        <f t="shared" si="40"/>
        <v>1763.3630000000003</v>
      </c>
      <c r="I86" s="304">
        <f t="shared" si="40"/>
        <v>1751.4009999999998</v>
      </c>
      <c r="J86" s="304">
        <f t="shared" si="40"/>
        <v>1657.9499999999998</v>
      </c>
      <c r="K86" s="304">
        <f t="shared" si="40"/>
        <v>2287.044</v>
      </c>
      <c r="L86" s="304">
        <f t="shared" si="40"/>
        <v>2266.264</v>
      </c>
      <c r="M86" s="304">
        <f t="shared" si="40"/>
        <v>2678.3630000000003</v>
      </c>
      <c r="N86" s="304">
        <f t="shared" si="40"/>
        <v>2797.156</v>
      </c>
      <c r="O86" s="304">
        <f t="shared" si="40"/>
        <v>2921.923</v>
      </c>
      <c r="P86" s="37">
        <f t="shared" si="18"/>
        <v>28775.534999999996</v>
      </c>
    </row>
    <row r="87" spans="1:16" ht="12.75">
      <c r="A87">
        <v>20</v>
      </c>
      <c r="B87" s="642">
        <f t="shared" si="19"/>
        <v>0</v>
      </c>
      <c r="C87" s="327" t="str">
        <f t="shared" si="28"/>
        <v>5030019646</v>
      </c>
      <c r="D87" s="304">
        <f t="shared" si="30"/>
        <v>2543.0239999999994</v>
      </c>
      <c r="E87" s="304">
        <f t="shared" si="30"/>
        <v>6427.748</v>
      </c>
      <c r="F87" s="304">
        <f t="shared" si="30"/>
        <v>2699.7960000000003</v>
      </c>
      <c r="G87" s="304">
        <f aca="true" t="shared" si="41" ref="G87:O87">MAX(0,G60-3000)</f>
        <v>2095.943</v>
      </c>
      <c r="H87" s="304">
        <f t="shared" si="41"/>
        <v>1944.7250000000004</v>
      </c>
      <c r="I87" s="304">
        <f t="shared" si="41"/>
        <v>1815.7870000000003</v>
      </c>
      <c r="J87" s="304">
        <f t="shared" si="41"/>
        <v>1644.219</v>
      </c>
      <c r="K87" s="304">
        <f t="shared" si="41"/>
        <v>1858.576</v>
      </c>
      <c r="L87" s="304">
        <f t="shared" si="41"/>
        <v>1945.268</v>
      </c>
      <c r="M87" s="304">
        <f t="shared" si="41"/>
        <v>2057.24</v>
      </c>
      <c r="N87" s="304">
        <f t="shared" si="41"/>
        <v>1988.9480000000003</v>
      </c>
      <c r="O87" s="304">
        <f t="shared" si="41"/>
        <v>1920.228</v>
      </c>
      <c r="P87" s="37">
        <f t="shared" si="18"/>
        <v>28941.502</v>
      </c>
    </row>
    <row r="88" spans="1:16" ht="12.75">
      <c r="A88">
        <v>21</v>
      </c>
      <c r="B88" s="642">
        <f t="shared" si="19"/>
        <v>0</v>
      </c>
      <c r="C88" s="327" t="str">
        <f t="shared" si="28"/>
        <v>7030024549</v>
      </c>
      <c r="D88" s="304">
        <f t="shared" si="30"/>
        <v>1283.5569999999998</v>
      </c>
      <c r="E88" s="304">
        <f t="shared" si="30"/>
        <v>1289.8339999999998</v>
      </c>
      <c r="F88" s="304">
        <f t="shared" si="30"/>
        <v>1226.067</v>
      </c>
      <c r="G88" s="304">
        <f aca="true" t="shared" si="42" ref="G88:O88">MAX(0,G61-3000)</f>
        <v>1553.3199999999997</v>
      </c>
      <c r="H88" s="304">
        <f t="shared" si="42"/>
        <v>2085.1450000000004</v>
      </c>
      <c r="I88" s="304">
        <f t="shared" si="42"/>
        <v>3309.379</v>
      </c>
      <c r="J88" s="304">
        <f t="shared" si="42"/>
        <v>2919.558</v>
      </c>
      <c r="K88" s="304">
        <f t="shared" si="42"/>
        <v>4191.935</v>
      </c>
      <c r="L88" s="304">
        <f t="shared" si="42"/>
        <v>6554.728999999999</v>
      </c>
      <c r="M88" s="304">
        <f t="shared" si="42"/>
        <v>5275.527</v>
      </c>
      <c r="N88" s="304">
        <f t="shared" si="42"/>
        <v>1245.8639999999996</v>
      </c>
      <c r="O88" s="304">
        <f t="shared" si="42"/>
        <v>1204.433</v>
      </c>
      <c r="P88" s="37">
        <f t="shared" si="18"/>
        <v>32139.348</v>
      </c>
    </row>
    <row r="89" spans="1:16" s="752" customFormat="1" ht="12.75">
      <c r="A89" s="752">
        <v>22</v>
      </c>
      <c r="B89" s="642">
        <f t="shared" si="19"/>
        <v>0</v>
      </c>
      <c r="C89" s="327"/>
      <c r="D89" s="304">
        <f aca="true" t="shared" si="43" ref="D89:F89">IF(D62&gt;3000,D62-3000,0)</f>
        <v>0</v>
      </c>
      <c r="E89" s="304">
        <f t="shared" si="43"/>
        <v>0</v>
      </c>
      <c r="F89" s="304">
        <f t="shared" si="43"/>
        <v>0</v>
      </c>
      <c r="G89" s="304">
        <f aca="true" t="shared" si="44" ref="G89:O89">MAX(0,G62-3000)</f>
        <v>0</v>
      </c>
      <c r="H89" s="304">
        <f t="shared" si="44"/>
        <v>0</v>
      </c>
      <c r="I89" s="304">
        <f t="shared" si="44"/>
        <v>0</v>
      </c>
      <c r="J89" s="304">
        <f t="shared" si="44"/>
        <v>0</v>
      </c>
      <c r="K89" s="304">
        <f t="shared" si="44"/>
        <v>0</v>
      </c>
      <c r="L89" s="304">
        <f t="shared" si="44"/>
        <v>0</v>
      </c>
      <c r="M89" s="304">
        <f t="shared" si="44"/>
        <v>3979.901</v>
      </c>
      <c r="N89" s="304">
        <f t="shared" si="44"/>
        <v>3503.0730000000003</v>
      </c>
      <c r="O89" s="304">
        <f t="shared" si="44"/>
        <v>3407.751</v>
      </c>
      <c r="P89" s="390">
        <f aca="true" t="shared" si="45" ref="P89:P90">SUM(D89:O89)</f>
        <v>10890.725</v>
      </c>
    </row>
    <row r="90" spans="1:16" s="752" customFormat="1" ht="12.75">
      <c r="A90" s="752">
        <v>23</v>
      </c>
      <c r="B90" s="642">
        <f t="shared" si="19"/>
        <v>0</v>
      </c>
      <c r="C90" s="327"/>
      <c r="D90" s="304">
        <f aca="true" t="shared" si="46" ref="D90:F90">IF(D63&gt;3000,D63-3000,0)</f>
        <v>733.7600000000002</v>
      </c>
      <c r="E90" s="304">
        <f t="shared" si="46"/>
        <v>840.748</v>
      </c>
      <c r="F90" s="304">
        <f t="shared" si="46"/>
        <v>713.1419999999998</v>
      </c>
      <c r="G90" s="304">
        <f aca="true" t="shared" si="47" ref="G90:O90">MAX(0,G63-3000)</f>
        <v>775.5549999999998</v>
      </c>
      <c r="H90" s="304">
        <f t="shared" si="47"/>
        <v>660.1640000000002</v>
      </c>
      <c r="I90" s="304">
        <f t="shared" si="47"/>
        <v>602.386</v>
      </c>
      <c r="J90" s="304">
        <f t="shared" si="47"/>
        <v>660.2130000000002</v>
      </c>
      <c r="K90" s="304">
        <f t="shared" si="47"/>
        <v>628.8780000000002</v>
      </c>
      <c r="L90" s="304">
        <f t="shared" si="47"/>
        <v>524.9789999999998</v>
      </c>
      <c r="M90" s="304">
        <f t="shared" si="47"/>
        <v>638.9459999999999</v>
      </c>
      <c r="N90" s="304">
        <f t="shared" si="47"/>
        <v>738.2359999999999</v>
      </c>
      <c r="O90" s="304">
        <f t="shared" si="47"/>
        <v>734.7139999999999</v>
      </c>
      <c r="P90" s="390">
        <f t="shared" si="45"/>
        <v>8251.721000000001</v>
      </c>
    </row>
    <row r="91" spans="2:16" ht="12.75">
      <c r="B91" t="s">
        <v>365</v>
      </c>
      <c r="C91" s="36"/>
      <c r="D91" s="305">
        <f>SUM(D68:D90)</f>
        <v>100307.94600000001</v>
      </c>
      <c r="E91" s="305">
        <f aca="true" t="shared" si="48" ref="E91:O91">SUM(E68:E90)</f>
        <v>105573.67099999999</v>
      </c>
      <c r="F91" s="305">
        <f t="shared" si="48"/>
        <v>103578.51500000001</v>
      </c>
      <c r="G91" s="305">
        <f t="shared" si="48"/>
        <v>101681.19700000001</v>
      </c>
      <c r="H91" s="305">
        <f t="shared" si="48"/>
        <v>111594.188</v>
      </c>
      <c r="I91" s="305">
        <f t="shared" si="48"/>
        <v>106873.28600000001</v>
      </c>
      <c r="J91" s="305">
        <f t="shared" si="48"/>
        <v>108656.73200000002</v>
      </c>
      <c r="K91" s="305">
        <f t="shared" si="48"/>
        <v>114087.075</v>
      </c>
      <c r="L91" s="305">
        <f t="shared" si="48"/>
        <v>112774.88699999997</v>
      </c>
      <c r="M91" s="305">
        <f t="shared" si="48"/>
        <v>108540.73899999999</v>
      </c>
      <c r="N91" s="305">
        <f t="shared" si="48"/>
        <v>101930.251</v>
      </c>
      <c r="O91" s="305">
        <f t="shared" si="48"/>
        <v>103000.668</v>
      </c>
      <c r="P91" s="38">
        <f>IF(ROUND(SUM(P68:P90),0)&lt;&gt;ROUND(SUM(D91:O91),0),#VALUE!,SUM(P68:P90))</f>
        <v>1278599.155</v>
      </c>
    </row>
    <row r="92" spans="3:16" ht="12.75">
      <c r="C92" s="36"/>
      <c r="D92" s="304"/>
      <c r="E92" s="304"/>
      <c r="F92" s="304"/>
      <c r="G92" s="304"/>
      <c r="H92" s="304"/>
      <c r="I92" s="304"/>
      <c r="J92" s="304"/>
      <c r="K92" s="304"/>
      <c r="L92" s="304"/>
      <c r="M92" s="37"/>
      <c r="N92" s="37"/>
      <c r="O92" s="37"/>
      <c r="P92" s="37"/>
    </row>
    <row r="93" spans="4:16" ht="12.75">
      <c r="D93" s="306"/>
      <c r="E93" s="306"/>
      <c r="F93" s="306"/>
      <c r="G93" s="306"/>
      <c r="H93" s="306"/>
      <c r="I93" s="306"/>
      <c r="J93" s="306"/>
      <c r="K93" s="306"/>
      <c r="L93" s="306"/>
      <c r="M93" s="47"/>
      <c r="N93" s="47"/>
      <c r="O93" s="47"/>
      <c r="P93" s="47"/>
    </row>
    <row r="94" spans="4:16" ht="12.75">
      <c r="D94" s="306"/>
      <c r="E94" s="306"/>
      <c r="F94" s="306"/>
      <c r="G94" s="306"/>
      <c r="H94" s="306"/>
      <c r="I94" s="306"/>
      <c r="J94" s="306"/>
      <c r="K94" s="306"/>
      <c r="L94" s="306"/>
      <c r="M94" s="47"/>
      <c r="N94" s="47"/>
      <c r="O94" s="47"/>
      <c r="P94" s="47"/>
    </row>
    <row r="95" spans="4:16" ht="12.75">
      <c r="D95" s="306"/>
      <c r="E95" s="306"/>
      <c r="F95" s="306"/>
      <c r="G95" s="306"/>
      <c r="H95" s="306"/>
      <c r="I95" s="306"/>
      <c r="J95" s="306"/>
      <c r="K95" s="306"/>
      <c r="L95" s="306"/>
      <c r="M95" s="47"/>
      <c r="N95" s="47"/>
      <c r="O95" s="47"/>
      <c r="P95" s="46"/>
    </row>
    <row r="96" spans="2:16" ht="12.75">
      <c r="B96" s="117" t="s">
        <v>580</v>
      </c>
      <c r="D96" s="301">
        <f>D$3</f>
        <v>43466</v>
      </c>
      <c r="E96" s="301">
        <f aca="true" t="shared" si="49" ref="E96:O96">E$3</f>
        <v>43497</v>
      </c>
      <c r="F96" s="301">
        <f t="shared" si="49"/>
        <v>43525</v>
      </c>
      <c r="G96" s="301">
        <f t="shared" si="49"/>
        <v>43556</v>
      </c>
      <c r="H96" s="301">
        <f t="shared" si="49"/>
        <v>43586</v>
      </c>
      <c r="I96" s="301">
        <f t="shared" si="49"/>
        <v>43617</v>
      </c>
      <c r="J96" s="301">
        <f t="shared" si="49"/>
        <v>43647</v>
      </c>
      <c r="K96" s="301">
        <f t="shared" si="49"/>
        <v>43678</v>
      </c>
      <c r="L96" s="301">
        <f t="shared" si="49"/>
        <v>43709</v>
      </c>
      <c r="M96" s="299">
        <f t="shared" si="49"/>
        <v>43739</v>
      </c>
      <c r="N96" s="299">
        <f t="shared" si="49"/>
        <v>43770</v>
      </c>
      <c r="O96" s="299">
        <f t="shared" si="49"/>
        <v>43800</v>
      </c>
      <c r="P96" s="35" t="s">
        <v>66</v>
      </c>
    </row>
    <row r="97" spans="2:16" ht="12.75">
      <c r="B97" s="555" t="s">
        <v>582</v>
      </c>
      <c r="D97" s="567"/>
      <c r="E97" s="567"/>
      <c r="F97" s="567"/>
      <c r="G97" s="567"/>
      <c r="H97" s="567"/>
      <c r="I97" s="567"/>
      <c r="J97" s="567"/>
      <c r="K97" s="567"/>
      <c r="L97" s="567"/>
      <c r="M97" s="653"/>
      <c r="N97" s="653"/>
      <c r="O97" s="653"/>
      <c r="P97" s="431">
        <f>SUM(D97:O97)</f>
        <v>0</v>
      </c>
    </row>
    <row r="98" spans="2:16" ht="12.75">
      <c r="B98" s="555" t="s">
        <v>583</v>
      </c>
      <c r="D98" s="655"/>
      <c r="E98" s="568"/>
      <c r="F98" s="568"/>
      <c r="G98" s="568"/>
      <c r="H98" s="568"/>
      <c r="I98" s="568"/>
      <c r="J98" s="568"/>
      <c r="K98" s="568"/>
      <c r="L98" s="568"/>
      <c r="M98" s="654"/>
      <c r="N98" s="654"/>
      <c r="O98" s="654"/>
      <c r="P98" s="430">
        <f>SUM(D98:O98)</f>
        <v>0</v>
      </c>
    </row>
    <row r="99" spans="2:16" ht="12.75">
      <c r="B99" s="555" t="s">
        <v>584</v>
      </c>
      <c r="D99" s="567"/>
      <c r="E99" s="567"/>
      <c r="F99" s="567"/>
      <c r="G99" s="567"/>
      <c r="H99" s="567"/>
      <c r="I99" s="567"/>
      <c r="J99" s="567"/>
      <c r="K99" s="567"/>
      <c r="L99" s="567"/>
      <c r="M99" s="653"/>
      <c r="N99" s="653"/>
      <c r="O99" s="653"/>
      <c r="P99" s="431">
        <f>SUM(D99:O99)</f>
        <v>0</v>
      </c>
    </row>
    <row r="100" spans="1:16" ht="12.75">
      <c r="A100" t="s">
        <v>96</v>
      </c>
      <c r="B100" s="555" t="s">
        <v>462</v>
      </c>
      <c r="D100" s="302">
        <f aca="true" t="shared" si="50" ref="D100:P100">SUM(D97:D99)</f>
        <v>0</v>
      </c>
      <c r="E100" s="302">
        <f t="shared" si="50"/>
        <v>0</v>
      </c>
      <c r="F100" s="302">
        <f t="shared" si="50"/>
        <v>0</v>
      </c>
      <c r="G100" s="302">
        <f t="shared" si="50"/>
        <v>0</v>
      </c>
      <c r="H100" s="302">
        <f t="shared" si="50"/>
        <v>0</v>
      </c>
      <c r="I100" s="302">
        <f t="shared" si="50"/>
        <v>0</v>
      </c>
      <c r="J100" s="302">
        <f t="shared" si="50"/>
        <v>0</v>
      </c>
      <c r="K100" s="302">
        <f t="shared" si="50"/>
        <v>0</v>
      </c>
      <c r="L100" s="302">
        <f t="shared" si="50"/>
        <v>0</v>
      </c>
      <c r="M100" s="39">
        <f t="shared" si="50"/>
        <v>0</v>
      </c>
      <c r="N100" s="39">
        <f t="shared" si="50"/>
        <v>0</v>
      </c>
      <c r="O100" s="39">
        <f t="shared" si="50"/>
        <v>0</v>
      </c>
      <c r="P100" s="39">
        <f t="shared" si="50"/>
        <v>0</v>
      </c>
    </row>
    <row r="101" spans="4:16" ht="12.75">
      <c r="D101" s="307">
        <f aca="true" t="shared" si="51" ref="D101:O101">D12</f>
        <v>36161892</v>
      </c>
      <c r="E101" s="307">
        <f t="shared" si="51"/>
        <v>35055804</v>
      </c>
      <c r="F101" s="307">
        <f t="shared" si="51"/>
        <v>35276106</v>
      </c>
      <c r="G101" s="307">
        <f t="shared" si="51"/>
        <v>34282368</v>
      </c>
      <c r="H101" s="307">
        <f t="shared" si="51"/>
        <v>38684638</v>
      </c>
      <c r="I101" s="307">
        <f t="shared" si="51"/>
        <v>37544592</v>
      </c>
      <c r="J101" s="307">
        <f t="shared" si="51"/>
        <v>40314368</v>
      </c>
      <c r="K101" s="307">
        <f t="shared" si="51"/>
        <v>40335278</v>
      </c>
      <c r="L101" s="307">
        <f t="shared" si="51"/>
        <v>38614866</v>
      </c>
      <c r="M101" s="43">
        <f t="shared" si="51"/>
        <v>40639056</v>
      </c>
      <c r="N101" s="43">
        <f t="shared" si="51"/>
        <v>33404254</v>
      </c>
      <c r="O101" s="43">
        <f t="shared" si="51"/>
        <v>40786226</v>
      </c>
      <c r="P101" s="37">
        <f>SUM(D101:O101)</f>
        <v>451099448</v>
      </c>
    </row>
    <row r="102" spans="2:12" ht="12.75">
      <c r="B102" s="117" t="s">
        <v>581</v>
      </c>
      <c r="D102" s="19"/>
      <c r="E102" s="19"/>
      <c r="F102" s="19"/>
      <c r="G102" s="19"/>
      <c r="H102" s="19"/>
      <c r="I102" s="19"/>
      <c r="J102" s="19"/>
      <c r="K102" s="19"/>
      <c r="L102" s="19"/>
    </row>
    <row r="103" spans="2:16" ht="12.75">
      <c r="B103" s="555" t="s">
        <v>585</v>
      </c>
      <c r="D103" s="567">
        <v>12147.53</v>
      </c>
      <c r="E103" s="567">
        <v>10722.44</v>
      </c>
      <c r="F103" s="567">
        <v>10827.09</v>
      </c>
      <c r="G103" s="567">
        <v>8690.55</v>
      </c>
      <c r="H103" s="567">
        <v>8811.69</v>
      </c>
      <c r="I103" s="567">
        <v>9212.06</v>
      </c>
      <c r="J103" s="567">
        <v>8570.72</v>
      </c>
      <c r="K103" s="567">
        <v>8267.47</v>
      </c>
      <c r="L103" s="567">
        <v>9002.3</v>
      </c>
      <c r="M103" s="688">
        <v>9878.44</v>
      </c>
      <c r="N103" s="688">
        <v>13562.4</v>
      </c>
      <c r="O103" s="689">
        <v>10503.37</v>
      </c>
      <c r="P103" s="431">
        <f>SUM(D103:O103)</f>
        <v>120196.06</v>
      </c>
    </row>
    <row r="104" spans="2:16" ht="12.75">
      <c r="B104" s="555" t="s">
        <v>583</v>
      </c>
      <c r="D104" s="568"/>
      <c r="E104" s="568"/>
      <c r="F104" s="568"/>
      <c r="G104" s="568"/>
      <c r="H104" s="568"/>
      <c r="I104" s="568"/>
      <c r="J104" s="568"/>
      <c r="K104" s="568"/>
      <c r="L104" s="568"/>
      <c r="M104" s="654"/>
      <c r="N104" s="654"/>
      <c r="O104" s="654"/>
      <c r="P104" s="430">
        <f>SUM(D104:O104)</f>
        <v>0</v>
      </c>
    </row>
    <row r="105" spans="2:16" ht="12.75">
      <c r="B105" s="555" t="s">
        <v>584</v>
      </c>
      <c r="D105" s="567">
        <v>48672</v>
      </c>
      <c r="E105" s="567">
        <v>48816</v>
      </c>
      <c r="F105" s="567">
        <v>52128.8</v>
      </c>
      <c r="G105" s="567">
        <v>51408.2</v>
      </c>
      <c r="H105" s="567">
        <v>50688.2</v>
      </c>
      <c r="I105" s="567">
        <v>51552.2</v>
      </c>
      <c r="J105" s="567">
        <v>52272.2</v>
      </c>
      <c r="K105" s="567">
        <v>54001.73</v>
      </c>
      <c r="L105" s="567">
        <v>52128.2</v>
      </c>
      <c r="M105" s="688">
        <v>54144.19</v>
      </c>
      <c r="N105" s="688">
        <v>51264.2</v>
      </c>
      <c r="O105" s="689">
        <v>54288.19</v>
      </c>
      <c r="P105" s="431">
        <f>SUM(D105:O105)</f>
        <v>621364.1100000001</v>
      </c>
    </row>
    <row r="106" spans="1:16" ht="12.75">
      <c r="A106" t="s">
        <v>96</v>
      </c>
      <c r="B106" s="555" t="s">
        <v>66</v>
      </c>
      <c r="D106" s="305">
        <f aca="true" t="shared" si="52" ref="D106:P106">SUM(D103:D105)</f>
        <v>60819.53</v>
      </c>
      <c r="E106" s="305">
        <f t="shared" si="52"/>
        <v>59538.44</v>
      </c>
      <c r="F106" s="305">
        <f t="shared" si="52"/>
        <v>62955.89</v>
      </c>
      <c r="G106" s="305">
        <f t="shared" si="52"/>
        <v>60098.75</v>
      </c>
      <c r="H106" s="305">
        <f t="shared" si="52"/>
        <v>59499.89</v>
      </c>
      <c r="I106" s="305">
        <f t="shared" si="52"/>
        <v>60764.259999999995</v>
      </c>
      <c r="J106" s="305">
        <f t="shared" si="52"/>
        <v>60842.92</v>
      </c>
      <c r="K106" s="305">
        <f t="shared" si="52"/>
        <v>62269.200000000004</v>
      </c>
      <c r="L106" s="305">
        <f t="shared" si="52"/>
        <v>61130.5</v>
      </c>
      <c r="M106" s="38">
        <f t="shared" si="52"/>
        <v>64022.630000000005</v>
      </c>
      <c r="N106" s="38">
        <f t="shared" si="52"/>
        <v>64826.6</v>
      </c>
      <c r="O106" s="38">
        <f t="shared" si="52"/>
        <v>64791.560000000005</v>
      </c>
      <c r="P106" s="39">
        <f t="shared" si="52"/>
        <v>741560.1700000002</v>
      </c>
    </row>
    <row r="107" spans="4:16" ht="12.75">
      <c r="D107" s="40">
        <f aca="true" t="shared" si="53" ref="D107:O107">D49</f>
        <v>56979.76</v>
      </c>
      <c r="E107" s="40">
        <f t="shared" si="53"/>
        <v>58491.21</v>
      </c>
      <c r="F107" s="40">
        <f t="shared" si="53"/>
        <v>60723.97</v>
      </c>
      <c r="G107" s="40">
        <f t="shared" si="53"/>
        <v>60695.18</v>
      </c>
      <c r="H107" s="40">
        <f t="shared" si="53"/>
        <v>59633.5</v>
      </c>
      <c r="I107" s="40">
        <f t="shared" si="53"/>
        <v>59915.37</v>
      </c>
      <c r="J107" s="40">
        <f t="shared" si="53"/>
        <v>60954.8</v>
      </c>
      <c r="K107" s="40">
        <f t="shared" si="53"/>
        <v>62499.94</v>
      </c>
      <c r="L107" s="40">
        <f t="shared" si="53"/>
        <v>60332.9</v>
      </c>
      <c r="M107" s="40">
        <f t="shared" si="53"/>
        <v>61348.84</v>
      </c>
      <c r="N107" s="40">
        <f t="shared" si="53"/>
        <v>61453.18</v>
      </c>
      <c r="O107" s="40">
        <f t="shared" si="53"/>
        <v>62886.96</v>
      </c>
      <c r="P107" s="43">
        <f>SUM(D107:O107)</f>
        <v>725915.61</v>
      </c>
    </row>
    <row r="108" spans="4:12" ht="12.75">
      <c r="D108" s="19"/>
      <c r="E108" s="19"/>
      <c r="F108" s="19"/>
      <c r="G108" s="19"/>
      <c r="H108" s="19"/>
      <c r="I108" s="19"/>
      <c r="J108" s="19"/>
      <c r="K108" s="19"/>
      <c r="L108" s="19"/>
    </row>
    <row r="109" spans="2:16" ht="12.75">
      <c r="B109" s="555" t="s">
        <v>586</v>
      </c>
      <c r="D109" s="377">
        <f>500000*0.0575+MIN(5500000,D12-500000)*0.05177+MAX(0,D12-6000000)*0.04433+15000+D76*5.25-D103*1.1-D105*1.4</f>
        <v>1867452.3293599999</v>
      </c>
      <c r="E109" s="530">
        <f>500000*0.0575+MIN(5500000,E12-500000)*0.05177+MAX(0,E12-6000000)*0.04433+15000+E76*5.25-E103*1.1-E105*1.4</f>
        <v>1827720.5598200003</v>
      </c>
      <c r="F109" s="530">
        <f>500000*0.0575+MIN(5500000,F12-500000)*0.05177+MAX(0,F12-6000000)*0.04433+15000+F76*5.25-F103*1.1-F105*1.4</f>
        <v>1844455.5024799998</v>
      </c>
      <c r="G109" s="530">
        <f aca="true" t="shared" si="54" ref="G109:O109">500000*0.05616+MIN(5500000,G12-500000)*0.05053+MAX(0,G12-6000000)*0.0432+21000+G76*6-G103*1.1-G105*1.4</f>
        <v>1813433.2926000003</v>
      </c>
      <c r="H109" s="530">
        <f t="shared" si="54"/>
        <v>1998116.0226000003</v>
      </c>
      <c r="I109" s="530">
        <f t="shared" si="54"/>
        <v>1948907.2484</v>
      </c>
      <c r="J109" s="530">
        <f t="shared" si="54"/>
        <v>2074495.6256000004</v>
      </c>
      <c r="K109" s="530">
        <f t="shared" si="54"/>
        <v>2082582.0106</v>
      </c>
      <c r="L109" s="530">
        <f t="shared" si="54"/>
        <v>1997072.6012000002</v>
      </c>
      <c r="M109" s="530">
        <f t="shared" si="54"/>
        <v>2086827.1092000003</v>
      </c>
      <c r="N109" s="530">
        <f t="shared" si="54"/>
        <v>1774889.3328000004</v>
      </c>
      <c r="O109" s="530">
        <f t="shared" si="54"/>
        <v>2101524.5502</v>
      </c>
      <c r="P109" s="49">
        <f>SUM(D109:O109)</f>
        <v>23417476.184860006</v>
      </c>
    </row>
    <row r="110" spans="2:16" ht="12.75">
      <c r="B110" s="555" t="s">
        <v>587</v>
      </c>
      <c r="D110" s="570"/>
      <c r="E110" s="570"/>
      <c r="F110" s="570"/>
      <c r="G110" s="570"/>
      <c r="H110" s="570"/>
      <c r="I110" s="570"/>
      <c r="J110" s="570"/>
      <c r="K110" s="570"/>
      <c r="L110" s="570"/>
      <c r="M110" s="571"/>
      <c r="N110" s="571"/>
      <c r="O110" s="571"/>
      <c r="P110" s="49">
        <f>SUM(D110:O110)</f>
        <v>0</v>
      </c>
    </row>
    <row r="111" spans="4:16" ht="12.75">
      <c r="D111" s="304">
        <f>D109-D110</f>
        <v>1867452.3293599999</v>
      </c>
      <c r="E111" s="304">
        <f aca="true" t="shared" si="55" ref="E111:O111">E109-E110</f>
        <v>1827720.5598200003</v>
      </c>
      <c r="F111" s="304">
        <f t="shared" si="55"/>
        <v>1844455.5024799998</v>
      </c>
      <c r="G111" s="304">
        <f t="shared" si="55"/>
        <v>1813433.2926000003</v>
      </c>
      <c r="H111" s="304">
        <f t="shared" si="55"/>
        <v>1998116.0226000003</v>
      </c>
      <c r="I111" s="304">
        <f t="shared" si="55"/>
        <v>1948907.2484</v>
      </c>
      <c r="J111" s="304">
        <f t="shared" si="55"/>
        <v>2074495.6256000004</v>
      </c>
      <c r="K111" s="304">
        <f t="shared" si="55"/>
        <v>2082582.0106</v>
      </c>
      <c r="L111" s="304">
        <f t="shared" si="55"/>
        <v>1997072.6012000002</v>
      </c>
      <c r="M111" s="304">
        <f t="shared" si="55"/>
        <v>2086827.1092000003</v>
      </c>
      <c r="N111" s="304">
        <f t="shared" si="55"/>
        <v>1774889.3328000004</v>
      </c>
      <c r="O111" s="304">
        <f t="shared" si="55"/>
        <v>2101524.5502</v>
      </c>
      <c r="P111" s="49"/>
    </row>
    <row r="112" spans="2:12" ht="12.75">
      <c r="B112" s="117" t="s">
        <v>97</v>
      </c>
      <c r="D112" s="19"/>
      <c r="E112" s="19"/>
      <c r="F112" s="19"/>
      <c r="G112" s="19"/>
      <c r="H112" s="19"/>
      <c r="I112" s="19"/>
      <c r="J112" s="19"/>
      <c r="K112" s="19"/>
      <c r="L112" s="19"/>
    </row>
    <row r="113" spans="2:16" ht="12.75">
      <c r="B113" t="s">
        <v>98</v>
      </c>
      <c r="C113" s="256">
        <v>-0.2</v>
      </c>
      <c r="D113" s="308">
        <f>(D64-D60-D61-D49-D62)*$C113</f>
        <v>-19530.3716</v>
      </c>
      <c r="E113" s="433">
        <f aca="true" t="shared" si="56" ref="E113:O113">(E64-E60-E61-E49-E62)*$C113</f>
        <v>-19520.252</v>
      </c>
      <c r="F113" s="433">
        <f t="shared" si="56"/>
        <v>-19393.537599999996</v>
      </c>
      <c r="G113" s="433">
        <f t="shared" si="56"/>
        <v>-19101.205199999997</v>
      </c>
      <c r="H113" s="433">
        <f t="shared" si="56"/>
        <v>-21280.4304</v>
      </c>
      <c r="I113" s="433">
        <f t="shared" si="56"/>
        <v>-20110.419000000005</v>
      </c>
      <c r="J113" s="433">
        <f t="shared" si="56"/>
        <v>-20397.601200000005</v>
      </c>
      <c r="K113" s="433">
        <f t="shared" si="56"/>
        <v>-20910.373599999995</v>
      </c>
      <c r="L113" s="433">
        <f t="shared" si="56"/>
        <v>-20525.264599999995</v>
      </c>
      <c r="M113" s="433">
        <f t="shared" si="56"/>
        <v>-18819.952600000004</v>
      </c>
      <c r="N113" s="433">
        <f t="shared" si="56"/>
        <v>-18350.449399999994</v>
      </c>
      <c r="O113" s="433">
        <f t="shared" si="56"/>
        <v>-18412.9884</v>
      </c>
      <c r="P113" s="51">
        <f>SUM(D113:O113)</f>
        <v>-236352.84559999997</v>
      </c>
    </row>
    <row r="114" spans="2:16" ht="12.75">
      <c r="B114" t="s">
        <v>99</v>
      </c>
      <c r="C114" s="257">
        <f>-1.52</f>
        <v>-1.52</v>
      </c>
      <c r="D114" s="308">
        <f>D103*$C114</f>
        <v>-18464.245600000002</v>
      </c>
      <c r="E114" s="308">
        <f aca="true" t="shared" si="57" ref="E114:O114">E103*$C114</f>
        <v>-16298.108800000002</v>
      </c>
      <c r="F114" s="308">
        <f>F103*$C114</f>
        <v>-16457.1768</v>
      </c>
      <c r="G114" s="308">
        <f t="shared" si="57"/>
        <v>-13209.635999999999</v>
      </c>
      <c r="H114" s="308">
        <f t="shared" si="57"/>
        <v>-13393.768800000002</v>
      </c>
      <c r="I114" s="308">
        <f t="shared" si="57"/>
        <v>-14002.331199999999</v>
      </c>
      <c r="J114" s="308">
        <f t="shared" si="57"/>
        <v>-13027.4944</v>
      </c>
      <c r="K114" s="308">
        <f t="shared" si="57"/>
        <v>-12566.554399999999</v>
      </c>
      <c r="L114" s="308">
        <f t="shared" si="57"/>
        <v>-13683.496</v>
      </c>
      <c r="M114" s="50">
        <f t="shared" si="57"/>
        <v>-15015.2288</v>
      </c>
      <c r="N114" s="50">
        <f t="shared" si="57"/>
        <v>-20614.847999999998</v>
      </c>
      <c r="O114" s="50">
        <f t="shared" si="57"/>
        <v>-15965.122400000002</v>
      </c>
      <c r="P114" s="51">
        <f>SUM(D114:O114)</f>
        <v>-182698.01119999998</v>
      </c>
    </row>
    <row r="115" spans="2:16" ht="12.75">
      <c r="B115" t="s">
        <v>100</v>
      </c>
      <c r="C115" s="257">
        <v>-1.93</v>
      </c>
      <c r="D115" s="308">
        <f>D105*$C115</f>
        <v>-93936.95999999999</v>
      </c>
      <c r="E115" s="308">
        <f aca="true" t="shared" si="58" ref="E115:O115">E105*$C115</f>
        <v>-94214.87999999999</v>
      </c>
      <c r="F115" s="308">
        <f>F105*$C115</f>
        <v>-100608.584</v>
      </c>
      <c r="G115" s="308">
        <f t="shared" si="58"/>
        <v>-99217.82599999999</v>
      </c>
      <c r="H115" s="308">
        <f t="shared" si="58"/>
        <v>-97828.226</v>
      </c>
      <c r="I115" s="308">
        <f t="shared" si="58"/>
        <v>-99495.74599999998</v>
      </c>
      <c r="J115" s="308">
        <f t="shared" si="58"/>
        <v>-100885.34599999999</v>
      </c>
      <c r="K115" s="308">
        <f t="shared" si="58"/>
        <v>-104223.3389</v>
      </c>
      <c r="L115" s="308">
        <f t="shared" si="58"/>
        <v>-100607.42599999999</v>
      </c>
      <c r="M115" s="50">
        <f t="shared" si="58"/>
        <v>-104498.2867</v>
      </c>
      <c r="N115" s="50">
        <f t="shared" si="58"/>
        <v>-98939.90599999999</v>
      </c>
      <c r="O115" s="50">
        <f t="shared" si="58"/>
        <v>-104776.2067</v>
      </c>
      <c r="P115" s="51">
        <f>SUM(D115:O115)</f>
        <v>-1199232.7323</v>
      </c>
    </row>
    <row r="116" spans="4:16" ht="12.75">
      <c r="D116" s="309">
        <f aca="true" t="shared" si="59" ref="D116:P116">SUM(D113:D115)</f>
        <v>-131931.5772</v>
      </c>
      <c r="E116" s="309">
        <f t="shared" si="59"/>
        <v>-130033.2408</v>
      </c>
      <c r="F116" s="309">
        <f t="shared" si="59"/>
        <v>-136459.2984</v>
      </c>
      <c r="G116" s="309">
        <f t="shared" si="59"/>
        <v>-131528.66719999997</v>
      </c>
      <c r="H116" s="309">
        <f t="shared" si="59"/>
        <v>-132502.4252</v>
      </c>
      <c r="I116" s="309">
        <f t="shared" si="59"/>
        <v>-133608.4962</v>
      </c>
      <c r="J116" s="309">
        <f t="shared" si="59"/>
        <v>-134310.4416</v>
      </c>
      <c r="K116" s="309">
        <f t="shared" si="59"/>
        <v>-137700.2669</v>
      </c>
      <c r="L116" s="309">
        <f t="shared" si="59"/>
        <v>-134816.1866</v>
      </c>
      <c r="M116" s="52">
        <f t="shared" si="59"/>
        <v>-138333.4681</v>
      </c>
      <c r="N116" s="52">
        <f t="shared" si="59"/>
        <v>-137905.2034</v>
      </c>
      <c r="O116" s="52">
        <f t="shared" si="59"/>
        <v>-139154.3175</v>
      </c>
      <c r="P116" s="52">
        <f t="shared" si="59"/>
        <v>-1618283.5891</v>
      </c>
    </row>
    <row r="117" spans="2:12" s="728" customFormat="1" ht="12.75">
      <c r="B117" s="117" t="s">
        <v>97</v>
      </c>
      <c r="D117" s="19"/>
      <c r="E117" s="19"/>
      <c r="F117" s="19"/>
      <c r="G117" s="19"/>
      <c r="H117" s="19"/>
      <c r="I117" s="19"/>
      <c r="J117" s="19"/>
      <c r="K117" s="19"/>
      <c r="L117" s="19"/>
    </row>
    <row r="118" spans="2:16" s="728" customFormat="1" ht="12.75">
      <c r="B118" s="728" t="s">
        <v>98</v>
      </c>
      <c r="C118" s="256">
        <v>-0.2</v>
      </c>
      <c r="D118" s="433">
        <f>(D64-D60-D61-D49-D62)*$C118</f>
        <v>-19530.3716</v>
      </c>
      <c r="E118" s="433">
        <f aca="true" t="shared" si="60" ref="E118:O118">(E64-E60-E61-E49-E62)*$C118</f>
        <v>-19520.252</v>
      </c>
      <c r="F118" s="433">
        <f t="shared" si="60"/>
        <v>-19393.537599999996</v>
      </c>
      <c r="G118" s="433">
        <f t="shared" si="60"/>
        <v>-19101.205199999997</v>
      </c>
      <c r="H118" s="433">
        <f t="shared" si="60"/>
        <v>-21280.4304</v>
      </c>
      <c r="I118" s="433">
        <f t="shared" si="60"/>
        <v>-20110.419000000005</v>
      </c>
      <c r="J118" s="433">
        <f t="shared" si="60"/>
        <v>-20397.601200000005</v>
      </c>
      <c r="K118" s="433">
        <f t="shared" si="60"/>
        <v>-20910.373599999995</v>
      </c>
      <c r="L118" s="433">
        <f t="shared" si="60"/>
        <v>-20525.264599999995</v>
      </c>
      <c r="M118" s="433">
        <f t="shared" si="60"/>
        <v>-18819.952600000004</v>
      </c>
      <c r="N118" s="433">
        <f t="shared" si="60"/>
        <v>-18350.449399999994</v>
      </c>
      <c r="O118" s="433">
        <f t="shared" si="60"/>
        <v>-18412.9884</v>
      </c>
      <c r="P118" s="51">
        <f>SUM(D118:O118)</f>
        <v>-236352.84559999997</v>
      </c>
    </row>
    <row r="119" spans="2:16" s="728" customFormat="1" ht="12.75">
      <c r="B119" s="728" t="s">
        <v>99</v>
      </c>
      <c r="C119" s="257">
        <v>-1.52</v>
      </c>
      <c r="D119" s="433">
        <f>D103*$C119</f>
        <v>-18464.245600000002</v>
      </c>
      <c r="E119" s="433">
        <f aca="true" t="shared" si="61" ref="E119:O119">E103*$C119</f>
        <v>-16298.108800000002</v>
      </c>
      <c r="F119" s="433">
        <f t="shared" si="61"/>
        <v>-16457.1768</v>
      </c>
      <c r="G119" s="433">
        <f t="shared" si="61"/>
        <v>-13209.635999999999</v>
      </c>
      <c r="H119" s="433">
        <f t="shared" si="61"/>
        <v>-13393.768800000002</v>
      </c>
      <c r="I119" s="433">
        <f t="shared" si="61"/>
        <v>-14002.331199999999</v>
      </c>
      <c r="J119" s="433">
        <f t="shared" si="61"/>
        <v>-13027.4944</v>
      </c>
      <c r="K119" s="433">
        <f t="shared" si="61"/>
        <v>-12566.554399999999</v>
      </c>
      <c r="L119" s="433">
        <f t="shared" si="61"/>
        <v>-13683.496</v>
      </c>
      <c r="M119" s="433">
        <f t="shared" si="61"/>
        <v>-15015.2288</v>
      </c>
      <c r="N119" s="433">
        <f t="shared" si="61"/>
        <v>-20614.847999999998</v>
      </c>
      <c r="O119" s="433">
        <f t="shared" si="61"/>
        <v>-15965.122400000002</v>
      </c>
      <c r="P119" s="51">
        <f>SUM(D119:O119)</f>
        <v>-182698.01119999998</v>
      </c>
    </row>
    <row r="120" spans="2:16" s="728" customFormat="1" ht="12.75">
      <c r="B120" s="728" t="s">
        <v>100</v>
      </c>
      <c r="C120" s="257">
        <v>-1.93</v>
      </c>
      <c r="D120" s="433">
        <f>D105*$C120</f>
        <v>-93936.95999999999</v>
      </c>
      <c r="E120" s="433">
        <f aca="true" t="shared" si="62" ref="E120:O120">E105*$C120</f>
        <v>-94214.87999999999</v>
      </c>
      <c r="F120" s="433">
        <f t="shared" si="62"/>
        <v>-100608.584</v>
      </c>
      <c r="G120" s="433">
        <f t="shared" si="62"/>
        <v>-99217.82599999999</v>
      </c>
      <c r="H120" s="433">
        <f t="shared" si="62"/>
        <v>-97828.226</v>
      </c>
      <c r="I120" s="433">
        <f t="shared" si="62"/>
        <v>-99495.74599999998</v>
      </c>
      <c r="J120" s="433">
        <f t="shared" si="62"/>
        <v>-100885.34599999999</v>
      </c>
      <c r="K120" s="433">
        <f t="shared" si="62"/>
        <v>-104223.3389</v>
      </c>
      <c r="L120" s="433">
        <f t="shared" si="62"/>
        <v>-100607.42599999999</v>
      </c>
      <c r="M120" s="433">
        <f t="shared" si="62"/>
        <v>-104498.2867</v>
      </c>
      <c r="N120" s="433">
        <f t="shared" si="62"/>
        <v>-98939.90599999999</v>
      </c>
      <c r="O120" s="433">
        <f t="shared" si="62"/>
        <v>-104776.2067</v>
      </c>
      <c r="P120" s="51">
        <f>SUM(D120:O120)</f>
        <v>-1199232.7323</v>
      </c>
    </row>
    <row r="121" spans="4:16" s="728" customFormat="1" ht="12.75">
      <c r="D121" s="309">
        <f aca="true" t="shared" si="63" ref="D121:P121">SUM(D118:D120)</f>
        <v>-131931.5772</v>
      </c>
      <c r="E121" s="309">
        <f t="shared" si="63"/>
        <v>-130033.2408</v>
      </c>
      <c r="F121" s="309">
        <f t="shared" si="63"/>
        <v>-136459.2984</v>
      </c>
      <c r="G121" s="309">
        <f t="shared" si="63"/>
        <v>-131528.66719999997</v>
      </c>
      <c r="H121" s="309">
        <f t="shared" si="63"/>
        <v>-132502.4252</v>
      </c>
      <c r="I121" s="309">
        <f t="shared" si="63"/>
        <v>-133608.4962</v>
      </c>
      <c r="J121" s="309">
        <f t="shared" si="63"/>
        <v>-134310.4416</v>
      </c>
      <c r="K121" s="309">
        <f t="shared" si="63"/>
        <v>-137700.2669</v>
      </c>
      <c r="L121" s="309">
        <f t="shared" si="63"/>
        <v>-134816.1866</v>
      </c>
      <c r="M121" s="52">
        <f t="shared" si="63"/>
        <v>-138333.4681</v>
      </c>
      <c r="N121" s="52">
        <f t="shared" si="63"/>
        <v>-137905.2034</v>
      </c>
      <c r="O121" s="52">
        <f t="shared" si="63"/>
        <v>-139154.3175</v>
      </c>
      <c r="P121" s="52">
        <f t="shared" si="63"/>
        <v>-1618283.5891</v>
      </c>
    </row>
    <row r="122" spans="4:21" ht="12.75">
      <c r="D122" s="19"/>
      <c r="E122" s="19"/>
      <c r="F122" s="19"/>
      <c r="G122" s="19"/>
      <c r="H122" s="19"/>
      <c r="I122" s="19"/>
      <c r="J122" s="19"/>
      <c r="K122" s="19"/>
      <c r="L122" s="19"/>
      <c r="T122" t="s">
        <v>284</v>
      </c>
      <c r="U122" t="s">
        <v>286</v>
      </c>
    </row>
    <row r="123" spans="2:20" ht="12.75">
      <c r="B123" s="117" t="s">
        <v>432</v>
      </c>
      <c r="D123" s="19"/>
      <c r="E123" s="19"/>
      <c r="F123" s="19"/>
      <c r="G123" s="19"/>
      <c r="H123" s="19"/>
      <c r="I123" s="19"/>
      <c r="J123" s="19"/>
      <c r="K123" s="19"/>
      <c r="L123" s="19"/>
      <c r="T123" t="s">
        <v>337</v>
      </c>
    </row>
    <row r="124" spans="2:20" ht="12.75">
      <c r="B124" s="642">
        <f>B4</f>
        <v>0</v>
      </c>
      <c r="C124" s="327">
        <v>770037736</v>
      </c>
      <c r="D124" s="432">
        <f>500000*('Rate Design'!$G$5/100)+MIN(5500000,D4-500000)*('Rate Design'!$G$6/100)+MAX(0,D4-6000000)*('Rate Design'!$G$7/100)+'Rate Design'!$G$9+D68*'Rate Design'!$G$10-0.2*D41</f>
        <v>414920.01509</v>
      </c>
      <c r="E124" s="432">
        <f>500000*('Rate Design'!$G$5/100)+MIN(5500000,E4-500000)*('Rate Design'!$G$6/100)+MAX(0,E4-6000000)*('Rate Design'!$G$7/100)+'Rate Design'!$G$9+E68*'Rate Design'!$G$10-0.2*E41</f>
        <v>403564.973</v>
      </c>
      <c r="F124" s="432">
        <f>500000*('Rate Design'!$G$5/100)+MIN(5500000,F4-500000)*('Rate Design'!$G$6/100)+MAX(0,F4-6000000)*('Rate Design'!$G$7/100)+'Rate Design'!$G$9+F68*'Rate Design'!$G$10-0.2*F41</f>
        <v>441979.83758</v>
      </c>
      <c r="G124" s="432">
        <f>500000*('Rate Design'!$G$5/100)+MIN(5500000,G4-500000)*('Rate Design'!$G$6/100)+MAX(0,G4-6000000)*('Rate Design'!$G$7/100)+'Rate Design'!$G$9+G68*'Rate Design'!$G$10-0.2*G41</f>
        <v>374686.09064600006</v>
      </c>
      <c r="H124" s="432">
        <f>500000*('Rate Design'!$G$5/100)+MIN(5500000,H4-500000)*('Rate Design'!$G$6/100)+MAX(0,H4-6000000)*('Rate Design'!$G$7/100)+'Rate Design'!$G$9+H68*'Rate Design'!$G$10-0.2*H41</f>
        <v>489487.8311</v>
      </c>
      <c r="I124" s="432">
        <f>500000*('Rate Design'!$G$5/100)+MIN(5500000,I4-500000)*('Rate Design'!$G$6/100)+MAX(0,I4-6000000)*('Rate Design'!$G$7/100)+'Rate Design'!$G$9+I68*'Rate Design'!$G$10-0.2*I41</f>
        <v>427577.36075</v>
      </c>
      <c r="J124" s="432">
        <f>500000*('Rate Design'!$G$5/100)+MIN(5500000,J4-500000)*('Rate Design'!$G$6/100)+MAX(0,J4-6000000)*('Rate Design'!$G$7/100)+'Rate Design'!$G$9+J68*'Rate Design'!$G$10-0.2*J41</f>
        <v>414757.14686</v>
      </c>
      <c r="K124" s="432">
        <f>500000*('Rate Design'!$G$5/100)+MIN(5500000,K4-500000)*('Rate Design'!$G$6/100)+MAX(0,K4-6000000)*('Rate Design'!$G$7/100)+'Rate Design'!$G$9+K68*'Rate Design'!$G$10-0.2*K41</f>
        <v>425357.93237</v>
      </c>
      <c r="L124" s="432">
        <f>500000*('Rate Design'!$G$5/100)+MIN(5500000,L4-500000)*('Rate Design'!$G$6/100)+MAX(0,L4-6000000)*('Rate Design'!$G$7/100)+'Rate Design'!$G$9+L68*'Rate Design'!$G$10-0.2*L41</f>
        <v>419952.85736</v>
      </c>
      <c r="M124" s="432">
        <f>500000*('Rate Design'!$G$5/100)+MIN(5500000,M4-500000)*('Rate Design'!$G$6/100)+MAX(0,M4-6000000)*('Rate Design'!$G$7/100)+'Rate Design'!$G$9+M68*'Rate Design'!$G$10-0.2*M41</f>
        <v>297541.3937</v>
      </c>
      <c r="N124" s="432">
        <f>500000*('Rate Design'!$G$5/100)+MIN(5500000,N4-500000)*('Rate Design'!$G$6/100)+MAX(0,N4-6000000)*('Rate Design'!$G$7/100)+'Rate Design'!$G$9+N68*'Rate Design'!$G$10-0.2*N41</f>
        <v>265916.467958</v>
      </c>
      <c r="O124" s="432">
        <f>500000*('Rate Design'!$G$5/100)+MIN(5500000,O4-500000)*('Rate Design'!$G$6/100)+MAX(0,O4-6000000)*('Rate Design'!$G$7/100)+'Rate Design'!$G$9+O68*'Rate Design'!$G$10-0.2*O41</f>
        <v>248479.82591</v>
      </c>
      <c r="P124" s="43">
        <f>SUM(D124:O124)</f>
        <v>4624221.732324</v>
      </c>
      <c r="T124">
        <f>IF(P124&lt;945750,945750-P124,0)</f>
        <v>0</v>
      </c>
    </row>
    <row r="125" spans="2:20" ht="12.75">
      <c r="B125" s="642">
        <f aca="true" t="shared" si="64" ref="B125:B146">B5</f>
        <v>0</v>
      </c>
      <c r="C125" s="327">
        <v>500017</v>
      </c>
      <c r="D125" s="432">
        <f>500000*('Rate Design'!$G$5/100)+MIN(5500000,D5-500000)*('Rate Design'!$G$6/100)+MAX(0,D5-6000000)*('Rate Design'!$G$7/100)+'Rate Design'!$G$9+D69*'Rate Design'!$G$10-0.2*D42</f>
        <v>176238.39297199997</v>
      </c>
      <c r="E125" s="432">
        <f>500000*('Rate Design'!$G$5/100)+MIN(5500000,E5-500000)*('Rate Design'!$G$6/100)+MAX(0,E5-6000000)*('Rate Design'!$G$7/100)+'Rate Design'!$G$9+E69*'Rate Design'!$G$10-0.2*E42</f>
        <v>197395.30284800002</v>
      </c>
      <c r="F125" s="432">
        <f>500000*('Rate Design'!$G$5/100)+MIN(5500000,F5-500000)*('Rate Design'!$G$6/100)+MAX(0,F5-6000000)*('Rate Design'!$G$7/100)+'Rate Design'!$G$9+F69*'Rate Design'!$G$10-0.2*F42</f>
        <v>203291.75957000002</v>
      </c>
      <c r="G125" s="432">
        <f>500000*('Rate Design'!$G$5/100)+MIN(5500000,G5-500000)*('Rate Design'!$G$6/100)+MAX(0,G5-6000000)*('Rate Design'!$G$7/100)+'Rate Design'!$G$9+G69*'Rate Design'!$G$10-0.2*G42</f>
        <v>196454.217092</v>
      </c>
      <c r="H125" s="432">
        <f>500000*('Rate Design'!$G$5/100)+MIN(5500000,H5-500000)*('Rate Design'!$G$6/100)+MAX(0,H5-6000000)*('Rate Design'!$G$7/100)+'Rate Design'!$G$9+H69*'Rate Design'!$G$10-0.2*H42</f>
        <v>194402.448914</v>
      </c>
      <c r="I125" s="432">
        <f>500000*('Rate Design'!$G$5/100)+MIN(5500000,I5-500000)*('Rate Design'!$G$6/100)+MAX(0,I5-6000000)*('Rate Design'!$G$7/100)+'Rate Design'!$G$9+I69*'Rate Design'!$G$10-0.2*I42</f>
        <v>189702.51218600004</v>
      </c>
      <c r="J125" s="432">
        <f>500000*('Rate Design'!$G$5/100)+MIN(5500000,J5-500000)*('Rate Design'!$G$6/100)+MAX(0,J5-6000000)*('Rate Design'!$G$7/100)+'Rate Design'!$G$9+J69*'Rate Design'!$G$10-0.2*J42</f>
        <v>191289.25481</v>
      </c>
      <c r="K125" s="432">
        <f>500000*('Rate Design'!$G$5/100)+MIN(5500000,K5-500000)*('Rate Design'!$G$6/100)+MAX(0,K5-6000000)*('Rate Design'!$G$7/100)+'Rate Design'!$G$9+K69*'Rate Design'!$G$10-0.2*K42</f>
        <v>197175.20630000002</v>
      </c>
      <c r="L125" s="432">
        <f>500000*('Rate Design'!$G$5/100)+MIN(5500000,L5-500000)*('Rate Design'!$G$6/100)+MAX(0,L5-6000000)*('Rate Design'!$G$7/100)+'Rate Design'!$G$9+L69*'Rate Design'!$G$10-0.2*L42</f>
        <v>190015.862738</v>
      </c>
      <c r="M125" s="432">
        <f>500000*('Rate Design'!$G$5/100)+MIN(5500000,M5-500000)*('Rate Design'!$G$6/100)+MAX(0,M5-6000000)*('Rate Design'!$G$7/100)+'Rate Design'!$G$9+M69*'Rate Design'!$G$10-0.2*M42</f>
        <v>197805.68646800003</v>
      </c>
      <c r="N125" s="432">
        <f>500000*('Rate Design'!$G$5/100)+MIN(5500000,N5-500000)*('Rate Design'!$G$6/100)+MAX(0,N5-6000000)*('Rate Design'!$G$7/100)+'Rate Design'!$G$9+N69*'Rate Design'!$G$10-0.2*N42</f>
        <v>191714.08987399997</v>
      </c>
      <c r="O125" s="432">
        <f>500000*('Rate Design'!$G$5/100)+MIN(5500000,O5-500000)*('Rate Design'!$G$6/100)+MAX(0,O5-6000000)*('Rate Design'!$G$7/100)+'Rate Design'!$G$9+O69*'Rate Design'!$G$10-0.2*O42</f>
        <v>153490.14752000003</v>
      </c>
      <c r="P125" s="43">
        <f aca="true" t="shared" si="65" ref="P125:P144">SUM(D125:O125)</f>
        <v>2278974.8812920004</v>
      </c>
      <c r="T125" s="769">
        <f aca="true" t="shared" si="66" ref="T125:T146">IF(P125&lt;945750,945750-P125,0)</f>
        <v>0</v>
      </c>
    </row>
    <row r="126" spans="2:20" ht="12.75">
      <c r="B126" s="642">
        <f t="shared" si="64"/>
        <v>0</v>
      </c>
      <c r="C126" s="327">
        <v>500018</v>
      </c>
      <c r="D126" s="432">
        <f>500000*('Rate Design'!$G$5/100)+MIN(5500000,D6-500000)*('Rate Design'!$G$6/100)+MAX(0,D6-6000000)*('Rate Design'!$G$7/100)+'Rate Design'!$G$9+D70*'Rate Design'!$G$10-0.2*D43</f>
        <v>110505.67001</v>
      </c>
      <c r="E126" s="432">
        <f>500000*('Rate Design'!$G$5/100)+MIN(5500000,E6-500000)*('Rate Design'!$G$6/100)+MAX(0,E6-6000000)*('Rate Design'!$G$7/100)+'Rate Design'!$G$9+E70*'Rate Design'!$G$10-0.2*E43</f>
        <v>99534.758202</v>
      </c>
      <c r="F126" s="432">
        <f>500000*('Rate Design'!$G$5/100)+MIN(5500000,F6-500000)*('Rate Design'!$G$6/100)+MAX(0,F6-6000000)*('Rate Design'!$G$7/100)+'Rate Design'!$G$9+F70*'Rate Design'!$G$10-0.2*F43</f>
        <v>105851.775854</v>
      </c>
      <c r="G126" s="432">
        <f>500000*('Rate Design'!$G$5/100)+MIN(5500000,G6-500000)*('Rate Design'!$G$6/100)+MAX(0,G6-6000000)*('Rate Design'!$G$7/100)+'Rate Design'!$G$9+G70*'Rate Design'!$G$10-0.2*G43</f>
        <v>94644.26881400001</v>
      </c>
      <c r="H126" s="432">
        <f>500000*('Rate Design'!$G$5/100)+MIN(5500000,H6-500000)*('Rate Design'!$G$6/100)+MAX(0,H6-6000000)*('Rate Design'!$G$7/100)+'Rate Design'!$G$9+H70*'Rate Design'!$G$10-0.2*H43</f>
        <v>95526.37602000001</v>
      </c>
      <c r="I126" s="432">
        <f>500000*('Rate Design'!$G$5/100)+MIN(5500000,I6-500000)*('Rate Design'!$G$6/100)+MAX(0,I6-6000000)*('Rate Design'!$G$7/100)+'Rate Design'!$G$9+I70*'Rate Design'!$G$10-0.2*I43</f>
        <v>93896.96104800001</v>
      </c>
      <c r="J126" s="432">
        <f>500000*('Rate Design'!$G$5/100)+MIN(5500000,J6-500000)*('Rate Design'!$G$6/100)+MAX(0,J6-6000000)*('Rate Design'!$G$7/100)+'Rate Design'!$G$9+J70*'Rate Design'!$G$10-0.2*J43</f>
        <v>96112.56218600001</v>
      </c>
      <c r="K126" s="432">
        <f>500000*('Rate Design'!$G$5/100)+MIN(5500000,K6-500000)*('Rate Design'!$G$6/100)+MAX(0,K6-6000000)*('Rate Design'!$G$7/100)+'Rate Design'!$G$9+K70*'Rate Design'!$G$10-0.2*K43</f>
        <v>92872.66849800001</v>
      </c>
      <c r="L126" s="432">
        <f>500000*('Rate Design'!$G$5/100)+MIN(5500000,L6-500000)*('Rate Design'!$G$6/100)+MAX(0,L6-6000000)*('Rate Design'!$G$7/100)+'Rate Design'!$G$9+L70*'Rate Design'!$G$10-0.2*L43</f>
        <v>93800.790966</v>
      </c>
      <c r="M126" s="432">
        <f>500000*('Rate Design'!$G$5/100)+MIN(5500000,M6-500000)*('Rate Design'!$G$6/100)+MAX(0,M6-6000000)*('Rate Design'!$G$7/100)+'Rate Design'!$G$9+M70*'Rate Design'!$G$10-0.2*M43</f>
        <v>104031.97709400002</v>
      </c>
      <c r="N126" s="432">
        <f>500000*('Rate Design'!$G$5/100)+MIN(5500000,N6-500000)*('Rate Design'!$G$6/100)+MAX(0,N6-6000000)*('Rate Design'!$G$7/100)+'Rate Design'!$G$9+N70*'Rate Design'!$G$10-0.2*N43</f>
        <v>95668.576992</v>
      </c>
      <c r="O126" s="432">
        <f>500000*('Rate Design'!$G$5/100)+MIN(5500000,O6-500000)*('Rate Design'!$G$6/100)+MAX(0,O6-6000000)*('Rate Design'!$G$7/100)+'Rate Design'!$G$9+O70*'Rate Design'!$G$10-0.2*O43</f>
        <v>98563.59914600001</v>
      </c>
      <c r="P126" s="43">
        <f t="shared" si="65"/>
        <v>1181009.9848300002</v>
      </c>
      <c r="T126" s="769">
        <f t="shared" si="66"/>
        <v>0</v>
      </c>
    </row>
    <row r="127" spans="2:20" ht="12.75">
      <c r="B127" s="642">
        <f t="shared" si="64"/>
        <v>0</v>
      </c>
      <c r="C127" s="327">
        <v>1900002</v>
      </c>
      <c r="D127" s="432">
        <f>500000*('Rate Design'!$G$5/100)+MIN(5500000,D7-500000)*('Rate Design'!$G$6/100)+MAX(0,D7-6000000)*('Rate Design'!$G$7/100)+'Rate Design'!$G$9+D71*'Rate Design'!$G$10-0.2*D44</f>
        <v>99866.322593</v>
      </c>
      <c r="E127" s="432">
        <f>500000*('Rate Design'!$G$5/100)+MIN(5500000,E7-500000)*('Rate Design'!$G$6/100)+MAX(0,E7-6000000)*('Rate Design'!$G$7/100)+'Rate Design'!$G$9+E71*'Rate Design'!$G$10-0.2*E44</f>
        <v>95492.23368199999</v>
      </c>
      <c r="F127" s="432">
        <f>500000*('Rate Design'!$G$5/100)+MIN(5500000,F7-500000)*('Rate Design'!$G$6/100)+MAX(0,F7-6000000)*('Rate Design'!$G$7/100)+'Rate Design'!$G$9+F71*'Rate Design'!$G$10-0.2*F44</f>
        <v>102314.02470699999</v>
      </c>
      <c r="G127" s="432">
        <f>500000*('Rate Design'!$G$5/100)+MIN(5500000,G7-500000)*('Rate Design'!$G$6/100)+MAX(0,G7-6000000)*('Rate Design'!$G$7/100)+'Rate Design'!$G$9+G71*'Rate Design'!$G$10-0.2*G44</f>
        <v>93891.55018</v>
      </c>
      <c r="H127" s="432">
        <f>500000*('Rate Design'!$G$5/100)+MIN(5500000,H7-500000)*('Rate Design'!$G$6/100)+MAX(0,H7-6000000)*('Rate Design'!$G$7/100)+'Rate Design'!$G$9+H71*'Rate Design'!$G$10-0.2*H44</f>
        <v>96693.717962</v>
      </c>
      <c r="I127" s="432">
        <f>500000*('Rate Design'!$G$5/100)+MIN(5500000,I7-500000)*('Rate Design'!$G$6/100)+MAX(0,I7-6000000)*('Rate Design'!$G$7/100)+'Rate Design'!$G$9+I71*'Rate Design'!$G$10-0.2*I44</f>
        <v>93348.14737199999</v>
      </c>
      <c r="J127" s="432">
        <f>500000*('Rate Design'!$G$5/100)+MIN(5500000,J7-500000)*('Rate Design'!$G$6/100)+MAX(0,J7-6000000)*('Rate Design'!$G$7/100)+'Rate Design'!$G$9+J71*'Rate Design'!$G$10-0.2*J44</f>
        <v>97048.306521</v>
      </c>
      <c r="K127" s="432">
        <f>500000*('Rate Design'!$G$5/100)+MIN(5500000,K7-500000)*('Rate Design'!$G$6/100)+MAX(0,K7-6000000)*('Rate Design'!$G$7/100)+'Rate Design'!$G$9+K71*'Rate Design'!$G$10-0.2*K44</f>
        <v>95664.01239999999</v>
      </c>
      <c r="L127" s="432">
        <f>500000*('Rate Design'!$G$5/100)+MIN(5500000,L7-500000)*('Rate Design'!$G$6/100)+MAX(0,L7-6000000)*('Rate Design'!$G$7/100)+'Rate Design'!$G$9+L71*'Rate Design'!$G$10-0.2*L44</f>
        <v>93501.61608312001</v>
      </c>
      <c r="M127" s="432">
        <f>500000*('Rate Design'!$G$5/100)+MIN(5500000,M7-500000)*('Rate Design'!$G$6/100)+MAX(0,M7-6000000)*('Rate Design'!$G$7/100)+'Rate Design'!$G$9+M71*'Rate Design'!$G$10-0.2*M44</f>
        <v>99354.68253800001</v>
      </c>
      <c r="N127" s="432">
        <f>500000*('Rate Design'!$G$5/100)+MIN(5500000,N7-500000)*('Rate Design'!$G$6/100)+MAX(0,N7-6000000)*('Rate Design'!$G$7/100)+'Rate Design'!$G$9+N71*'Rate Design'!$G$10-0.2*N44</f>
        <v>100902.14955800002</v>
      </c>
      <c r="O127" s="432">
        <f>500000*('Rate Design'!$G$5/100)+MIN(5500000,O7-500000)*('Rate Design'!$G$6/100)+MAX(0,O7-6000000)*('Rate Design'!$G$7/100)+'Rate Design'!$G$9+O71*'Rate Design'!$G$10-0.2*O44</f>
        <v>103902.721349</v>
      </c>
      <c r="P127" s="43">
        <f t="shared" si="65"/>
        <v>1171979.48494512</v>
      </c>
      <c r="T127" s="769">
        <f t="shared" si="66"/>
        <v>0</v>
      </c>
    </row>
    <row r="128" spans="2:20" ht="12.75">
      <c r="B128" s="642">
        <f t="shared" si="64"/>
        <v>0</v>
      </c>
      <c r="C128" s="327">
        <v>1900011</v>
      </c>
      <c r="D128" s="432">
        <f>500000*('Rate Design'!$G$5/100)+MIN(5500000,D8-500000)*('Rate Design'!$G$6/100)+MAX(0,D8-6000000)*('Rate Design'!$G$7/100)+'Rate Design'!$G$9+D72*'Rate Design'!$G$10-0.2*D45</f>
        <v>117154.99256</v>
      </c>
      <c r="E128" s="432">
        <f>500000*('Rate Design'!$G$5/100)+MIN(5500000,E8-500000)*('Rate Design'!$G$6/100)+MAX(0,E8-6000000)*('Rate Design'!$G$7/100)+'Rate Design'!$G$9+E72*'Rate Design'!$G$10-0.2*E45</f>
        <v>111641.55485400002</v>
      </c>
      <c r="F128" s="432">
        <f>500000*('Rate Design'!$G$5/100)+MIN(5500000,F8-500000)*('Rate Design'!$G$6/100)+MAX(0,F8-6000000)*('Rate Design'!$G$7/100)+'Rate Design'!$G$9+F72*'Rate Design'!$G$10-0.2*F45</f>
        <v>115728.521141</v>
      </c>
      <c r="G128" s="432">
        <f>500000*('Rate Design'!$G$5/100)+MIN(5500000,G8-500000)*('Rate Design'!$G$6/100)+MAX(0,G8-6000000)*('Rate Design'!$G$7/100)+'Rate Design'!$G$9+G72*'Rate Design'!$G$10-0.2*G45</f>
        <v>114619.121303</v>
      </c>
      <c r="H128" s="432">
        <f>500000*('Rate Design'!$G$5/100)+MIN(5500000,H8-500000)*('Rate Design'!$G$6/100)+MAX(0,H8-6000000)*('Rate Design'!$G$7/100)+'Rate Design'!$G$9+H72*'Rate Design'!$G$10-0.2*H45</f>
        <v>130674.48515600001</v>
      </c>
      <c r="I128" s="432">
        <f>500000*('Rate Design'!$G$5/100)+MIN(5500000,I8-500000)*('Rate Design'!$G$6/100)+MAX(0,I8-6000000)*('Rate Design'!$G$7/100)+'Rate Design'!$G$9+I72*'Rate Design'!$G$10-0.2*I45</f>
        <v>132160.10596699998</v>
      </c>
      <c r="J128" s="432">
        <f>500000*('Rate Design'!$G$5/100)+MIN(5500000,J8-500000)*('Rate Design'!$G$6/100)+MAX(0,J8-6000000)*('Rate Design'!$G$7/100)+'Rate Design'!$G$9+J72*'Rate Design'!$G$10-0.2*J45</f>
        <v>142670.85515600003</v>
      </c>
      <c r="K128" s="432">
        <f>500000*('Rate Design'!$G$5/100)+MIN(5500000,K8-500000)*('Rate Design'!$G$6/100)+MAX(0,K8-6000000)*('Rate Design'!$G$7/100)+'Rate Design'!$G$9+K72*'Rate Design'!$G$10-0.2*K45</f>
        <v>145998.63534649997</v>
      </c>
      <c r="L128" s="432">
        <f>500000*('Rate Design'!$G$5/100)+MIN(5500000,L8-500000)*('Rate Design'!$G$6/100)+MAX(0,L8-6000000)*('Rate Design'!$G$7/100)+'Rate Design'!$G$9+L72*'Rate Design'!$G$10-0.2*L45</f>
        <v>127750.63871300001</v>
      </c>
      <c r="M128" s="432">
        <f>500000*('Rate Design'!$G$5/100)+MIN(5500000,M8-500000)*('Rate Design'!$G$6/100)+MAX(0,M8-6000000)*('Rate Design'!$G$7/100)+'Rate Design'!$G$9+M72*'Rate Design'!$G$10-0.2*M45</f>
        <v>113248.380397</v>
      </c>
      <c r="N128" s="432">
        <f>500000*('Rate Design'!$G$5/100)+MIN(5500000,N8-500000)*('Rate Design'!$G$6/100)+MAX(0,N8-6000000)*('Rate Design'!$G$7/100)+'Rate Design'!$G$9+N72*'Rate Design'!$G$10-0.2*N45</f>
        <v>108493.382889</v>
      </c>
      <c r="O128" s="432">
        <f>500000*('Rate Design'!$G$5/100)+MIN(5500000,O8-500000)*('Rate Design'!$G$6/100)+MAX(0,O8-6000000)*('Rate Design'!$G$7/100)+'Rate Design'!$G$9+O72*'Rate Design'!$G$10-0.2*O45</f>
        <v>116084.187581</v>
      </c>
      <c r="P128" s="43">
        <f t="shared" si="65"/>
        <v>1476224.8610635002</v>
      </c>
      <c r="T128" s="769">
        <f t="shared" si="66"/>
        <v>0</v>
      </c>
    </row>
    <row r="129" spans="2:20" ht="12.75">
      <c r="B129" s="642">
        <f t="shared" si="64"/>
        <v>0</v>
      </c>
      <c r="C129" s="327">
        <v>622922</v>
      </c>
      <c r="D129" s="432">
        <f>500000*('Rate Design'!$G$5/100)+MIN(5500000,D9-500000)*('Rate Design'!$G$6/100)+MAX(0,D9-6000000)*('Rate Design'!$G$7/100)+'Rate Design'!$G$9+D73*'Rate Design'!$G$10-0.2*D46</f>
        <v>160676.31995600005</v>
      </c>
      <c r="E129" s="432">
        <f>500000*('Rate Design'!$G$5/100)+MIN(5500000,E9-500000)*('Rate Design'!$G$6/100)+MAX(0,E9-6000000)*('Rate Design'!$G$7/100)+'Rate Design'!$G$9+E73*'Rate Design'!$G$10-0.2*E46</f>
        <v>164764.163828</v>
      </c>
      <c r="F129" s="432">
        <f>500000*('Rate Design'!$G$5/100)+MIN(5500000,F9-500000)*('Rate Design'!$G$6/100)+MAX(0,F9-6000000)*('Rate Design'!$G$7/100)+'Rate Design'!$G$9+F73*'Rate Design'!$G$10-0.2*F46</f>
        <v>153525.00767600004</v>
      </c>
      <c r="G129" s="432">
        <f>500000*('Rate Design'!$G$5/100)+MIN(5500000,G9-500000)*('Rate Design'!$G$6/100)+MAX(0,G9-6000000)*('Rate Design'!$G$7/100)+'Rate Design'!$G$9+G73*'Rate Design'!$G$10-0.2*G46</f>
        <v>141403.93556</v>
      </c>
      <c r="H129" s="432">
        <f>500000*('Rate Design'!$G$5/100)+MIN(5500000,H9-500000)*('Rate Design'!$G$6/100)+MAX(0,H9-6000000)*('Rate Design'!$G$7/100)+'Rate Design'!$G$9+H73*'Rate Design'!$G$10-0.2*H46</f>
        <v>133650.39744800003</v>
      </c>
      <c r="I129" s="432">
        <f>500000*('Rate Design'!$G$5/100)+MIN(5500000,I9-500000)*('Rate Design'!$G$6/100)+MAX(0,I9-6000000)*('Rate Design'!$G$7/100)+'Rate Design'!$G$9+I73*'Rate Design'!$G$10-0.2*I46</f>
        <v>126230.618552</v>
      </c>
      <c r="J129" s="432">
        <f>500000*('Rate Design'!$G$5/100)+MIN(5500000,J9-500000)*('Rate Design'!$G$6/100)+MAX(0,J9-6000000)*('Rate Design'!$G$7/100)+'Rate Design'!$G$9+J73*'Rate Design'!$G$10-0.2*J46</f>
        <v>137953.893632</v>
      </c>
      <c r="K129" s="432">
        <f>500000*('Rate Design'!$G$5/100)+MIN(5500000,K9-500000)*('Rate Design'!$G$6/100)+MAX(0,K9-6000000)*('Rate Design'!$G$7/100)+'Rate Design'!$G$9+K73*'Rate Design'!$G$10-0.2*K46</f>
        <v>154520.26913600002</v>
      </c>
      <c r="L129" s="432">
        <f>500000*('Rate Design'!$G$5/100)+MIN(5500000,L9-500000)*('Rate Design'!$G$6/100)+MAX(0,L9-6000000)*('Rate Design'!$G$7/100)+'Rate Design'!$G$9+L73*'Rate Design'!$G$10-0.2*L46</f>
        <v>155231.34035600003</v>
      </c>
      <c r="M129" s="432">
        <f>500000*('Rate Design'!$G$5/100)+MIN(5500000,M9-500000)*('Rate Design'!$G$6/100)+MAX(0,M9-6000000)*('Rate Design'!$G$7/100)+'Rate Design'!$G$9+M73*'Rate Design'!$G$10-0.2*M46</f>
        <v>151404.997208</v>
      </c>
      <c r="N129" s="432">
        <f>500000*('Rate Design'!$G$5/100)+MIN(5500000,N9-500000)*('Rate Design'!$G$6/100)+MAX(0,N9-6000000)*('Rate Design'!$G$7/100)+'Rate Design'!$G$9+N73*'Rate Design'!$G$10-0.2*N46</f>
        <v>153284.12729600002</v>
      </c>
      <c r="O129" s="432">
        <f>500000*('Rate Design'!$G$5/100)+MIN(5500000,O9-500000)*('Rate Design'!$G$6/100)+MAX(0,O9-6000000)*('Rate Design'!$G$7/100)+'Rate Design'!$G$9+O73*'Rate Design'!$G$10-0.2*O46</f>
        <v>150902.33870000002</v>
      </c>
      <c r="P129" s="43">
        <f t="shared" si="65"/>
        <v>1783547.409348</v>
      </c>
      <c r="T129" s="769">
        <f t="shared" si="66"/>
        <v>0</v>
      </c>
    </row>
    <row r="130" spans="2:20" ht="12.75">
      <c r="B130" s="642">
        <f t="shared" si="64"/>
        <v>0</v>
      </c>
      <c r="C130" s="327">
        <v>2304636</v>
      </c>
      <c r="D130" s="432">
        <f>500000*('Rate Design'!$G$5/100)+MIN(5500000,D10-500000)*('Rate Design'!$G$6/100)+MAX(0,D10-6000000)*('Rate Design'!$G$7/100)+'Rate Design'!$G$9+D74*'Rate Design'!$G$10-0.2*D47</f>
        <v>93707.60804199999</v>
      </c>
      <c r="E130" s="432">
        <f>500000*('Rate Design'!$G$5/100)+MIN(5500000,E10-500000)*('Rate Design'!$G$6/100)+MAX(0,E10-6000000)*('Rate Design'!$G$7/100)+'Rate Design'!$G$9+E74*'Rate Design'!$G$10-0.2*E47</f>
        <v>87720.21506</v>
      </c>
      <c r="F130" s="432">
        <f>500000*('Rate Design'!$G$5/100)+MIN(5500000,F10-500000)*('Rate Design'!$G$6/100)+MAX(0,F10-6000000)*('Rate Design'!$G$7/100)+'Rate Design'!$G$9+F74*'Rate Design'!$G$10-0.2*F47</f>
        <v>92759.01743400001</v>
      </c>
      <c r="G130" s="432">
        <f>500000*('Rate Design'!$G$5/100)+MIN(5500000,G10-500000)*('Rate Design'!$G$6/100)+MAX(0,G10-6000000)*('Rate Design'!$G$7/100)+'Rate Design'!$G$9+G74*'Rate Design'!$G$10-0.2*G47</f>
        <v>92102.499058</v>
      </c>
      <c r="H130" s="432">
        <f>500000*('Rate Design'!$G$5/100)+MIN(5500000,H10-500000)*('Rate Design'!$G$6/100)+MAX(0,H10-6000000)*('Rate Design'!$G$7/100)+'Rate Design'!$G$9+H74*'Rate Design'!$G$10-0.2*H47</f>
        <v>96225.16753400001</v>
      </c>
      <c r="I130" s="432">
        <f>500000*('Rate Design'!$G$5/100)+MIN(5500000,I10-500000)*('Rate Design'!$G$6/100)+MAX(0,I10-6000000)*('Rate Design'!$G$7/100)+'Rate Design'!$G$9+I74*'Rate Design'!$G$10-0.2*I47</f>
        <v>97503.508004</v>
      </c>
      <c r="J130" s="432">
        <f>500000*('Rate Design'!$G$5/100)+MIN(5500000,J10-500000)*('Rate Design'!$G$6/100)+MAX(0,J10-6000000)*('Rate Design'!$G$7/100)+'Rate Design'!$G$9+J74*'Rate Design'!$G$10-0.2*J47</f>
        <v>102998.62799600001</v>
      </c>
      <c r="K130" s="432">
        <f>500000*('Rate Design'!$G$5/100)+MIN(5500000,K10-500000)*('Rate Design'!$G$6/100)+MAX(0,K10-6000000)*('Rate Design'!$G$7/100)+'Rate Design'!$G$9+K74*'Rate Design'!$G$10-0.2*K47</f>
        <v>108442.92965</v>
      </c>
      <c r="L130" s="432">
        <f>500000*('Rate Design'!$G$5/100)+MIN(5500000,L10-500000)*('Rate Design'!$G$6/100)+MAX(0,L10-6000000)*('Rate Design'!$G$7/100)+'Rate Design'!$G$9+L74*'Rate Design'!$G$10-0.2*L47</f>
        <v>98563.933808</v>
      </c>
      <c r="M130" s="432">
        <f>500000*('Rate Design'!$G$5/100)+MIN(5500000,M10-500000)*('Rate Design'!$G$6/100)+MAX(0,M10-6000000)*('Rate Design'!$G$7/100)+'Rate Design'!$G$9+M74*'Rate Design'!$G$10-0.2*M47</f>
        <v>97184.00466800001</v>
      </c>
      <c r="N130" s="432">
        <f>500000*('Rate Design'!$G$5/100)+MIN(5500000,N10-500000)*('Rate Design'!$G$6/100)+MAX(0,N10-6000000)*('Rate Design'!$G$7/100)+'Rate Design'!$G$9+N74*'Rate Design'!$G$10-0.2*N47</f>
        <v>95544.898172</v>
      </c>
      <c r="O130" s="432">
        <f>500000*('Rate Design'!$G$5/100)+MIN(5500000,O10-500000)*('Rate Design'!$G$6/100)+MAX(0,O10-6000000)*('Rate Design'!$G$7/100)+'Rate Design'!$G$9+O74*'Rate Design'!$G$10-0.2*O47</f>
        <v>92610.556142</v>
      </c>
      <c r="P130" s="43">
        <f t="shared" si="65"/>
        <v>1155362.9655680002</v>
      </c>
      <c r="T130" s="769">
        <f t="shared" si="66"/>
        <v>0</v>
      </c>
    </row>
    <row r="131" spans="2:20" ht="12.75">
      <c r="B131" s="642">
        <f t="shared" si="64"/>
        <v>0</v>
      </c>
      <c r="C131" s="327">
        <v>610074869</v>
      </c>
      <c r="D131" s="432">
        <f>500000*('Rate Design'!$G$5/100)+MIN(5500000,D11-500000)*('Rate Design'!$G$6/100)+MAX(0,D11-6000000)*('Rate Design'!$G$7/100)+'Rate Design'!$G$9+D75*'Rate Design'!$G$10-0.2*D48</f>
        <v>92266.113974</v>
      </c>
      <c r="E131" s="432">
        <f>500000*('Rate Design'!$G$5/100)+MIN(5500000,E11-500000)*('Rate Design'!$G$6/100)+MAX(0,E11-6000000)*('Rate Design'!$G$7/100)+'Rate Design'!$G$9+E75*'Rate Design'!$G$10-0.2*E48</f>
        <v>87599.778656</v>
      </c>
      <c r="F131" s="432">
        <f>500000*('Rate Design'!$G$5/100)+MIN(5500000,F11-500000)*('Rate Design'!$G$6/100)+MAX(0,F11-6000000)*('Rate Design'!$G$7/100)+'Rate Design'!$G$9+F75*'Rate Design'!$G$10-0.2*F48</f>
        <v>93343.65895400001</v>
      </c>
      <c r="G131" s="432">
        <f>500000*('Rate Design'!$G$5/100)+MIN(5500000,G11-500000)*('Rate Design'!$G$6/100)+MAX(0,G11-6000000)*('Rate Design'!$G$7/100)+'Rate Design'!$G$9+G75*'Rate Design'!$G$10-0.2*G48</f>
        <v>92938.135208</v>
      </c>
      <c r="H131" s="432">
        <f>500000*('Rate Design'!$G$5/100)+MIN(5500000,H11-500000)*('Rate Design'!$G$6/100)+MAX(0,H11-6000000)*('Rate Design'!$G$7/100)+'Rate Design'!$G$9+H75*'Rate Design'!$G$10-0.2*H48</f>
        <v>96263.30984</v>
      </c>
      <c r="I131" s="432">
        <f>500000*('Rate Design'!$G$5/100)+MIN(5500000,I11-500000)*('Rate Design'!$G$6/100)+MAX(0,I11-6000000)*('Rate Design'!$G$7/100)+'Rate Design'!$G$9+I75*'Rate Design'!$G$10-0.2*I48</f>
        <v>96580.607162</v>
      </c>
      <c r="J131" s="432">
        <f>500000*('Rate Design'!$G$5/100)+MIN(5500000,J11-500000)*('Rate Design'!$G$6/100)+MAX(0,J11-6000000)*('Rate Design'!$G$7/100)+'Rate Design'!$G$9+J75*'Rate Design'!$G$10-0.2*J48</f>
        <v>97314.000854</v>
      </c>
      <c r="K131" s="432">
        <f>500000*('Rate Design'!$G$5/100)+MIN(5500000,K11-500000)*('Rate Design'!$G$6/100)+MAX(0,K11-6000000)*('Rate Design'!$G$7/100)+'Rate Design'!$G$9+K75*'Rate Design'!$G$10-0.2*K48</f>
        <v>99721.191902</v>
      </c>
      <c r="L131" s="432">
        <f>500000*('Rate Design'!$G$5/100)+MIN(5500000,L11-500000)*('Rate Design'!$G$6/100)+MAX(0,L11-6000000)*('Rate Design'!$G$7/100)+'Rate Design'!$G$9+L75*'Rate Design'!$G$10-0.2*L48</f>
        <v>92401.779524</v>
      </c>
      <c r="M131" s="432">
        <f>500000*('Rate Design'!$G$5/100)+MIN(5500000,M11-500000)*('Rate Design'!$G$6/100)+MAX(0,M11-6000000)*('Rate Design'!$G$7/100)+'Rate Design'!$G$9+M75*'Rate Design'!$G$10-0.2*M48</f>
        <v>97160.81963000001</v>
      </c>
      <c r="N131" s="432">
        <f>500000*('Rate Design'!$G$5/100)+MIN(5500000,N11-500000)*('Rate Design'!$G$6/100)+MAX(0,N11-6000000)*('Rate Design'!$G$7/100)+'Rate Design'!$G$9+N75*'Rate Design'!$G$10-0.2*N48</f>
        <v>89703.987926</v>
      </c>
      <c r="O131" s="432">
        <f>500000*('Rate Design'!$G$5/100)+MIN(5500000,O11-500000)*('Rate Design'!$G$6/100)+MAX(0,O11-6000000)*('Rate Design'!$G$7/100)+'Rate Design'!$G$9+O75*'Rate Design'!$G$10-0.2*O48</f>
        <v>92955.243956</v>
      </c>
      <c r="P131" s="43">
        <f t="shared" si="65"/>
        <v>1128248.6275860001</v>
      </c>
      <c r="T131" s="769">
        <f t="shared" si="66"/>
        <v>0</v>
      </c>
    </row>
    <row r="132" spans="2:20" ht="12.75">
      <c r="B132" s="642">
        <f t="shared" si="64"/>
        <v>0</v>
      </c>
      <c r="C132" s="327">
        <v>2500004</v>
      </c>
      <c r="D132" s="432">
        <f>500000*('Rate Design'!$G$5/100)+MIN(5500000,D12-500000)*('Rate Design'!$G$6/100)+MAX(0,D12-6000000)*('Rate Design'!$G$7/100)+'Rate Design'!$G$9+D76*'Rate Design'!$G$10-1.52*D103-1.93*D105</f>
        <v>1943576.9286000002</v>
      </c>
      <c r="E132" s="432">
        <f>500000*('Rate Design'!$G$5/100)+MIN(5500000,E12-500000)*('Rate Design'!$G$6/100)+MAX(0,E12-6000000)*('Rate Design'!$G$7/100)+'Rate Design'!$G$9+E76*'Rate Design'!$G$10-1.52*E103-1.93*E105</f>
        <v>1911167.3536000003</v>
      </c>
      <c r="F132" s="432">
        <f>500000*('Rate Design'!$G$5/100)+MIN(5500000,F12-500000)*('Rate Design'!$G$6/100)+MAX(0,F12-6000000)*('Rate Design'!$G$7/100)+'Rate Design'!$G$9+F76*'Rate Design'!$G$10-1.52*F103-1.93*F105</f>
        <v>1932476.2793000003</v>
      </c>
      <c r="G132" s="432">
        <f>500000*('Rate Design'!$G$5/100)+MIN(5500000,G12-500000)*('Rate Design'!$G$6/100)+MAX(0,G12-6000000)*('Rate Design'!$G$7/100)+'Rate Design'!$G$9+G76*'Rate Design'!$G$10-1.52*G103-1.93*G105</f>
        <v>1894790.8168000006</v>
      </c>
      <c r="H132" s="432">
        <f>500000*('Rate Design'!$G$5/100)+MIN(5500000,H12-500000)*('Rate Design'!$G$6/100)+MAX(0,H12-6000000)*('Rate Design'!$G$7/100)+'Rate Design'!$G$9+H76*'Rate Design'!$G$10-1.52*H103-1.93*H105</f>
        <v>2073620.4744999998</v>
      </c>
      <c r="I132" s="432">
        <f>500000*('Rate Design'!$G$5/100)+MIN(5500000,I12-500000)*('Rate Design'!$G$6/100)+MAX(0,I12-6000000)*('Rate Design'!$G$7/100)+'Rate Design'!$G$9+I76*'Rate Design'!$G$10-1.52*I103-1.93*I105</f>
        <v>2025402.9650000005</v>
      </c>
      <c r="J132" s="432">
        <f>500000*('Rate Design'!$G$5/100)+MIN(5500000,J12-500000)*('Rate Design'!$G$6/100)+MAX(0,J12-6000000)*('Rate Design'!$G$7/100)+'Rate Design'!$G$9+J76*'Rate Design'!$G$10-1.52*J103-1.93*J105</f>
        <v>2150915.4844000004</v>
      </c>
      <c r="K132" s="432">
        <f>500000*('Rate Design'!$G$5/100)+MIN(5500000,K12-500000)*('Rate Design'!$G$6/100)+MAX(0,K12-6000000)*('Rate Design'!$G$7/100)+'Rate Design'!$G$9+K76*'Rate Design'!$G$10-1.52*K103-1.93*K105</f>
        <v>2161748.6320000007</v>
      </c>
      <c r="L132" s="432">
        <f>500000*('Rate Design'!$G$5/100)+MIN(5500000,L12-500000)*('Rate Design'!$G$6/100)+MAX(0,L12-6000000)*('Rate Design'!$G$7/100)+'Rate Design'!$G$9+L76*'Rate Design'!$G$10-1.52*L103-1.93*L105</f>
        <v>2073401.7231000005</v>
      </c>
      <c r="M132" s="432">
        <f>500000*('Rate Design'!$G$5/100)+MIN(5500000,M12-500000)*('Rate Design'!$G$6/100)+MAX(0,M12-6000000)*('Rate Design'!$G$7/100)+'Rate Design'!$G$9+M76*'Rate Design'!$G$10-1.52*M103-1.93*M105</f>
        <v>2162335.8781</v>
      </c>
      <c r="N132" s="432">
        <f>500000*('Rate Design'!$G$5/100)+MIN(5500000,N12-500000)*('Rate Design'!$G$6/100)+MAX(0,N12-6000000)*('Rate Design'!$G$7/100)+'Rate Design'!$G$9+N76*'Rate Design'!$G$10-1.52*N103-1.93*N105</f>
        <v>1856766.7969000002</v>
      </c>
      <c r="O132" s="432">
        <f>500000*('Rate Design'!$G$5/100)+MIN(5500000,O12-500000)*('Rate Design'!$G$6/100)+MAX(0,O12-6000000)*('Rate Design'!$G$7/100)+'Rate Design'!$G$9+O76*'Rate Design'!$G$10-1.52*O103-1.93*O105</f>
        <v>2180107.11</v>
      </c>
      <c r="P132" s="43">
        <f t="shared" si="65"/>
        <v>24366310.442300003</v>
      </c>
      <c r="T132" s="769">
        <f t="shared" si="66"/>
        <v>0</v>
      </c>
    </row>
    <row r="133" spans="2:20" ht="12.75">
      <c r="B133" s="642">
        <f t="shared" si="64"/>
        <v>0</v>
      </c>
      <c r="C133" s="327">
        <v>290048778</v>
      </c>
      <c r="D133" s="432">
        <f>500000*('Rate Design'!$G$5/100)+MIN(5500000,D13-500000)*('Rate Design'!$G$6/100)+MAX(0,D13-6000000)*('Rate Design'!$G$7/100)+'Rate Design'!$G$9+D77*'Rate Design'!$G$10-0.2*D50</f>
        <v>354152.136722</v>
      </c>
      <c r="E133" s="432">
        <f>500000*('Rate Design'!$G$5/100)+MIN(5500000,E13-500000)*('Rate Design'!$G$6/100)+MAX(0,E13-6000000)*('Rate Design'!$G$7/100)+'Rate Design'!$G$9+E77*'Rate Design'!$G$10-0.2*E50</f>
        <v>276009.397988</v>
      </c>
      <c r="F133" s="432">
        <f>500000*('Rate Design'!$G$5/100)+MIN(5500000,F13-500000)*('Rate Design'!$G$6/100)+MAX(0,F13-6000000)*('Rate Design'!$G$7/100)+'Rate Design'!$G$9+F77*'Rate Design'!$G$10-0.2*F50</f>
        <v>344231.24288</v>
      </c>
      <c r="G133" s="432">
        <f>500000*('Rate Design'!$G$5/100)+MIN(5500000,G13-500000)*('Rate Design'!$G$6/100)+MAX(0,G13-6000000)*('Rate Design'!$G$7/100)+'Rate Design'!$G$9+G77*'Rate Design'!$G$10-0.2*G50</f>
        <v>275846.75645000004</v>
      </c>
      <c r="H133" s="432">
        <f>500000*('Rate Design'!$G$5/100)+MIN(5500000,H13-500000)*('Rate Design'!$G$6/100)+MAX(0,H13-6000000)*('Rate Design'!$G$7/100)+'Rate Design'!$G$9+H77*'Rate Design'!$G$10-0.2*H50</f>
        <v>350270.034746</v>
      </c>
      <c r="I133" s="432">
        <f>500000*('Rate Design'!$G$5/100)+MIN(5500000,I13-500000)*('Rate Design'!$G$6/100)+MAX(0,I13-6000000)*('Rate Design'!$G$7/100)+'Rate Design'!$G$9+I77*'Rate Design'!$G$10-0.2*I50</f>
        <v>341574.664748</v>
      </c>
      <c r="J133" s="432">
        <f>500000*('Rate Design'!$G$5/100)+MIN(5500000,J13-500000)*('Rate Design'!$G$6/100)+MAX(0,J13-6000000)*('Rate Design'!$G$7/100)+'Rate Design'!$G$9+J77*'Rate Design'!$G$10-0.2*J50</f>
        <v>353409.15588800004</v>
      </c>
      <c r="K133" s="432">
        <f>500000*('Rate Design'!$G$5/100)+MIN(5500000,K13-500000)*('Rate Design'!$G$6/100)+MAX(0,K13-6000000)*('Rate Design'!$G$7/100)+'Rate Design'!$G$9+K77*'Rate Design'!$G$10-0.2*K50</f>
        <v>359515.23126800003</v>
      </c>
      <c r="L133" s="432">
        <f>500000*('Rate Design'!$G$5/100)+MIN(5500000,L13-500000)*('Rate Design'!$G$6/100)+MAX(0,L13-6000000)*('Rate Design'!$G$7/100)+'Rate Design'!$G$9+L77*'Rate Design'!$G$10-0.2*L50</f>
        <v>346172.54959400004</v>
      </c>
      <c r="M133" s="432">
        <f>500000*('Rate Design'!$G$5/100)+MIN(5500000,M13-500000)*('Rate Design'!$G$6/100)+MAX(0,M13-6000000)*('Rate Design'!$G$7/100)+'Rate Design'!$G$9+M77*'Rate Design'!$G$10-0.2*M50</f>
        <v>343587.40241000004</v>
      </c>
      <c r="N133" s="432">
        <f>500000*('Rate Design'!$G$5/100)+MIN(5500000,N13-500000)*('Rate Design'!$G$6/100)+MAX(0,N13-6000000)*('Rate Design'!$G$7/100)+'Rate Design'!$G$9+N77*'Rate Design'!$G$10-0.2*N50</f>
        <v>309578.23358600005</v>
      </c>
      <c r="O133" s="432">
        <f>500000*('Rate Design'!$G$5/100)+MIN(5500000,O13-500000)*('Rate Design'!$G$6/100)+MAX(0,O13-6000000)*('Rate Design'!$G$7/100)+'Rate Design'!$G$9+O77*'Rate Design'!$G$10-0.2*O50</f>
        <v>315623.2746560001</v>
      </c>
      <c r="P133" s="43">
        <f t="shared" si="65"/>
        <v>3969970.080936</v>
      </c>
      <c r="T133" s="769">
        <f t="shared" si="66"/>
        <v>0</v>
      </c>
    </row>
    <row r="134" spans="2:20" ht="12.75">
      <c r="B134" s="642">
        <f t="shared" si="64"/>
        <v>0</v>
      </c>
      <c r="C134" s="327">
        <v>2500003</v>
      </c>
      <c r="D134" s="432">
        <f>500000*('Rate Design'!$G$5/100)+MIN(5500000,D14-500000)*('Rate Design'!$G$6/100)+MAX(0,D14-6000000)*('Rate Design'!$G$7/100)+'Rate Design'!$G$9+D78*'Rate Design'!$G$10-0.2*D51</f>
        <v>360105.4515080001</v>
      </c>
      <c r="E134" s="432">
        <f>500000*('Rate Design'!$G$5/100)+MIN(5500000,E14-500000)*('Rate Design'!$G$6/100)+MAX(0,E14-6000000)*('Rate Design'!$G$7/100)+'Rate Design'!$G$9+E78*'Rate Design'!$G$10-0.2*E51</f>
        <v>309545.191676</v>
      </c>
      <c r="F134" s="432">
        <f>500000*('Rate Design'!$G$5/100)+MIN(5500000,F14-500000)*('Rate Design'!$G$6/100)+MAX(0,F14-6000000)*('Rate Design'!$G$7/100)+'Rate Design'!$G$9+F78*'Rate Design'!$G$10-0.2*F51</f>
        <v>345869.49694399995</v>
      </c>
      <c r="G134" s="432">
        <f>500000*('Rate Design'!$G$5/100)+MIN(5500000,G14-500000)*('Rate Design'!$G$6/100)+MAX(0,G14-6000000)*('Rate Design'!$G$7/100)+'Rate Design'!$G$9+G78*'Rate Design'!$G$10-0.2*G51</f>
        <v>230023.74014</v>
      </c>
      <c r="H134" s="432">
        <f>500000*('Rate Design'!$G$5/100)+MIN(5500000,H14-500000)*('Rate Design'!$G$6/100)+MAX(0,H14-6000000)*('Rate Design'!$G$7/100)+'Rate Design'!$G$9+H78*'Rate Design'!$G$10-0.2*H51</f>
        <v>349612.606964</v>
      </c>
      <c r="I134" s="432">
        <f>500000*('Rate Design'!$G$5/100)+MIN(5500000,I14-500000)*('Rate Design'!$G$6/100)+MAX(0,I14-6000000)*('Rate Design'!$G$7/100)+'Rate Design'!$G$9+I78*'Rate Design'!$G$10-0.2*I51</f>
        <v>345994.418492</v>
      </c>
      <c r="J134" s="432">
        <f>500000*('Rate Design'!$G$5/100)+MIN(5500000,J14-500000)*('Rate Design'!$G$6/100)+MAX(0,J14-6000000)*('Rate Design'!$G$7/100)+'Rate Design'!$G$9+J78*'Rate Design'!$G$10-0.2*J51</f>
        <v>350831.874848</v>
      </c>
      <c r="K134" s="432">
        <f>500000*('Rate Design'!$G$5/100)+MIN(5500000,K14-500000)*('Rate Design'!$G$6/100)+MAX(0,K14-6000000)*('Rate Design'!$G$7/100)+'Rate Design'!$G$9+K78*'Rate Design'!$G$10-0.2*K51</f>
        <v>346161.99914</v>
      </c>
      <c r="L134" s="432">
        <f>500000*('Rate Design'!$G$5/100)+MIN(5500000,L14-500000)*('Rate Design'!$G$6/100)+MAX(0,L14-6000000)*('Rate Design'!$G$7/100)+'Rate Design'!$G$9+L78*'Rate Design'!$G$10-0.2*L51</f>
        <v>315905.4775520001</v>
      </c>
      <c r="M134" s="432">
        <f>500000*('Rate Design'!$G$5/100)+MIN(5500000,M14-500000)*('Rate Design'!$G$6/100)+MAX(0,M14-6000000)*('Rate Design'!$G$7/100)+'Rate Design'!$G$9+M78*'Rate Design'!$G$10-0.2*M51</f>
        <v>327100.145498</v>
      </c>
      <c r="N134" s="432">
        <f>500000*('Rate Design'!$G$5/100)+MIN(5500000,N14-500000)*('Rate Design'!$G$6/100)+MAX(0,N14-6000000)*('Rate Design'!$G$7/100)+'Rate Design'!$G$9+N78*'Rate Design'!$G$10-0.2*N51</f>
        <v>234162.207434</v>
      </c>
      <c r="O134" s="432">
        <f>500000*('Rate Design'!$G$5/100)+MIN(5500000,O14-500000)*('Rate Design'!$G$6/100)+MAX(0,O14-6000000)*('Rate Design'!$G$7/100)+'Rate Design'!$G$9+O78*'Rate Design'!$G$10-0.2*O51</f>
        <v>303708.21965600003</v>
      </c>
      <c r="P134" s="43">
        <f t="shared" si="65"/>
        <v>3819020.829852</v>
      </c>
      <c r="T134" s="769">
        <f t="shared" si="66"/>
        <v>0</v>
      </c>
    </row>
    <row r="135" spans="2:20" ht="12.75">
      <c r="B135" s="642">
        <f t="shared" si="64"/>
        <v>0</v>
      </c>
      <c r="C135" s="327">
        <v>500020</v>
      </c>
      <c r="D135" s="432">
        <f>500000*('Rate Design'!$G$5/100)+MIN(5500000,D15-500000)*('Rate Design'!$G$6/100)+MAX(0,D15-6000000)*('Rate Design'!$G$7/100)+'Rate Design'!$G$9+D79*'Rate Design'!$G$10-0.2*D52</f>
        <v>204640.350674</v>
      </c>
      <c r="E135" s="432">
        <f>500000*('Rate Design'!$G$5/100)+MIN(5500000,E15-500000)*('Rate Design'!$G$6/100)+MAX(0,E15-6000000)*('Rate Design'!$G$7/100)+'Rate Design'!$G$9+E79*'Rate Design'!$G$10-0.2*E52</f>
        <v>192983.64167300003</v>
      </c>
      <c r="F135" s="432">
        <f>500000*('Rate Design'!$G$5/100)+MIN(5500000,F15-500000)*('Rate Design'!$G$6/100)+MAX(0,F15-6000000)*('Rate Design'!$G$7/100)+'Rate Design'!$G$9+F79*'Rate Design'!$G$10-0.2*F52</f>
        <v>208129.52639300004</v>
      </c>
      <c r="G135" s="432">
        <f>500000*('Rate Design'!$G$5/100)+MIN(5500000,G15-500000)*('Rate Design'!$G$6/100)+MAX(0,G15-6000000)*('Rate Design'!$G$7/100)+'Rate Design'!$G$9+G79*'Rate Design'!$G$10-0.2*G52</f>
        <v>208961.51021600002</v>
      </c>
      <c r="H135" s="432">
        <f>500000*('Rate Design'!$G$5/100)+MIN(5500000,H15-500000)*('Rate Design'!$G$6/100)+MAX(0,H15-6000000)*('Rate Design'!$G$7/100)+'Rate Design'!$G$9+H79*'Rate Design'!$G$10-0.2*H52</f>
        <v>233714.149214</v>
      </c>
      <c r="I135" s="432">
        <f>500000*('Rate Design'!$G$5/100)+MIN(5500000,I15-500000)*('Rate Design'!$G$6/100)+MAX(0,I15-6000000)*('Rate Design'!$G$7/100)+'Rate Design'!$G$9+I79*'Rate Design'!$G$10-0.2*I52</f>
        <v>240948.17198600003</v>
      </c>
      <c r="J135" s="432">
        <f>500000*('Rate Design'!$G$5/100)+MIN(5500000,J15-500000)*('Rate Design'!$G$6/100)+MAX(0,J15-6000000)*('Rate Design'!$G$7/100)+'Rate Design'!$G$9+J79*'Rate Design'!$G$10-0.2*J52</f>
        <v>263431.341698</v>
      </c>
      <c r="K135" s="432">
        <f>500000*('Rate Design'!$G$5/100)+MIN(5500000,K15-500000)*('Rate Design'!$G$6/100)+MAX(0,K15-6000000)*('Rate Design'!$G$7/100)+'Rate Design'!$G$9+K79*'Rate Design'!$G$10-0.2*K52</f>
        <v>271212.172178</v>
      </c>
      <c r="L135" s="432">
        <f>500000*('Rate Design'!$G$5/100)+MIN(5500000,L15-500000)*('Rate Design'!$G$6/100)+MAX(0,L15-6000000)*('Rate Design'!$G$7/100)+'Rate Design'!$G$9+L79*'Rate Design'!$G$10-0.2*L52</f>
        <v>234419.086004</v>
      </c>
      <c r="M135" s="432">
        <f>500000*('Rate Design'!$G$5/100)+MIN(5500000,M15-500000)*('Rate Design'!$G$6/100)+MAX(0,M15-6000000)*('Rate Design'!$G$7/100)+'Rate Design'!$G$9+M79*'Rate Design'!$G$10-0.2*M52</f>
        <v>207356.752454</v>
      </c>
      <c r="N135" s="432">
        <f>500000*('Rate Design'!$G$5/100)+MIN(5500000,N15-500000)*('Rate Design'!$G$6/100)+MAX(0,N15-6000000)*('Rate Design'!$G$7/100)+'Rate Design'!$G$9+N79*'Rate Design'!$G$10-0.2*N52</f>
        <v>195911.91572899997</v>
      </c>
      <c r="O135" s="432">
        <f>500000*('Rate Design'!$G$5/100)+MIN(5500000,O15-500000)*('Rate Design'!$G$6/100)+MAX(0,O15-6000000)*('Rate Design'!$G$7/100)+'Rate Design'!$G$9+O79*'Rate Design'!$G$10-0.2*O52</f>
        <v>202815.52020500004</v>
      </c>
      <c r="P135" s="43">
        <f t="shared" si="65"/>
        <v>2664524.138424</v>
      </c>
      <c r="T135" s="769">
        <f t="shared" si="66"/>
        <v>0</v>
      </c>
    </row>
    <row r="136" spans="2:20" ht="12.75">
      <c r="B136" s="642">
        <f t="shared" si="64"/>
        <v>0</v>
      </c>
      <c r="C136" s="327">
        <v>1900012</v>
      </c>
      <c r="D136" s="432">
        <f>500000*('Rate Design'!$G$5/100)+MIN(5500000,D16-500000)*('Rate Design'!$G$6/100)+MAX(0,D16-6000000)*('Rate Design'!$G$7/100)+'Rate Design'!$G$9+D80*'Rate Design'!$G$10-0.2*D53</f>
        <v>78047.589621</v>
      </c>
      <c r="E136" s="432">
        <f>500000*('Rate Design'!$G$5/100)+MIN(5500000,E16-500000)*('Rate Design'!$G$6/100)+MAX(0,E16-6000000)*('Rate Design'!$G$7/100)+'Rate Design'!$G$9+E80*'Rate Design'!$G$10-0.2*E53</f>
        <v>74691.454119</v>
      </c>
      <c r="F136" s="432">
        <f>500000*('Rate Design'!$G$5/100)+MIN(5500000,F16-500000)*('Rate Design'!$G$6/100)+MAX(0,F16-6000000)*('Rate Design'!$G$7/100)+'Rate Design'!$G$9+F80*'Rate Design'!$G$10-0.2*F53</f>
        <v>77285.579112</v>
      </c>
      <c r="G136" s="432">
        <f>500000*('Rate Design'!$G$5/100)+MIN(5500000,G16-500000)*('Rate Design'!$G$6/100)+MAX(0,G16-6000000)*('Rate Design'!$G$7/100)+'Rate Design'!$G$9+G80*'Rate Design'!$G$10-0.2*G53</f>
        <v>77955.222687</v>
      </c>
      <c r="H136" s="432">
        <f>500000*('Rate Design'!$G$5/100)+MIN(5500000,H16-500000)*('Rate Design'!$G$6/100)+MAX(0,H16-6000000)*('Rate Design'!$G$7/100)+'Rate Design'!$G$9+H80*'Rate Design'!$G$10-0.2*H53</f>
        <v>84767.675271</v>
      </c>
      <c r="I136" s="432">
        <f>500000*('Rate Design'!$G$5/100)+MIN(5500000,I16-500000)*('Rate Design'!$G$6/100)+MAX(0,I16-6000000)*('Rate Design'!$G$7/100)+'Rate Design'!$G$9+I80*'Rate Design'!$G$10-0.2*I53</f>
        <v>83980.075266</v>
      </c>
      <c r="J136" s="432">
        <f>500000*('Rate Design'!$G$5/100)+MIN(5500000,J16-500000)*('Rate Design'!$G$6/100)+MAX(0,J16-6000000)*('Rate Design'!$G$7/100)+'Rate Design'!$G$9+J80*'Rate Design'!$G$10-0.2*J53</f>
        <v>88492.04034400001</v>
      </c>
      <c r="K136" s="432">
        <f>500000*('Rate Design'!$G$5/100)+MIN(5500000,K16-500000)*('Rate Design'!$G$6/100)+MAX(0,K16-6000000)*('Rate Design'!$G$7/100)+'Rate Design'!$G$9+K80*'Rate Design'!$G$10-0.2*K53</f>
        <v>89480.000549</v>
      </c>
      <c r="L136" s="432">
        <f>500000*('Rate Design'!$G$5/100)+MIN(5500000,L16-500000)*('Rate Design'!$G$6/100)+MAX(0,L16-6000000)*('Rate Design'!$G$7/100)+'Rate Design'!$G$9+L80*'Rate Design'!$G$10-0.2*L53</f>
        <v>82404.255235</v>
      </c>
      <c r="M136" s="432">
        <f>500000*('Rate Design'!$G$5/100)+MIN(5500000,M16-500000)*('Rate Design'!$G$6/100)+MAX(0,M16-6000000)*('Rate Design'!$G$7/100)+'Rate Design'!$G$9+M80*'Rate Design'!$G$10-0.2*M53</f>
        <v>77186.60636</v>
      </c>
      <c r="N136" s="432">
        <f>500000*('Rate Design'!$G$5/100)+MIN(5500000,N16-500000)*('Rate Design'!$G$6/100)+MAX(0,N16-6000000)*('Rate Design'!$G$7/100)+'Rate Design'!$G$9+N80*'Rate Design'!$G$10-0.2*N53</f>
        <v>75200.42039099999</v>
      </c>
      <c r="O136" s="432">
        <f>500000*('Rate Design'!$G$5/100)+MIN(5500000,O16-500000)*('Rate Design'!$G$6/100)+MAX(0,O16-6000000)*('Rate Design'!$G$7/100)+'Rate Design'!$G$9+O80*'Rate Design'!$G$10-0.2*O53</f>
        <v>77159.10982099999</v>
      </c>
      <c r="P136" s="43">
        <f t="shared" si="65"/>
        <v>966650.028776</v>
      </c>
      <c r="T136" s="769">
        <f t="shared" si="66"/>
        <v>0</v>
      </c>
    </row>
    <row r="137" spans="2:20" ht="12.75">
      <c r="B137" s="642">
        <f t="shared" si="64"/>
        <v>0</v>
      </c>
      <c r="C137" s="327">
        <v>2400169</v>
      </c>
      <c r="D137" s="432">
        <f>500000*('Rate Design'!$G$5/100)+MIN(5500000,D17-500000)*('Rate Design'!$G$6/100)+MAX(0,D17-6000000)*('Rate Design'!$G$7/100)+'Rate Design'!$G$9+D81*'Rate Design'!$G$10-0.2*D54</f>
        <v>108064.49504</v>
      </c>
      <c r="E137" s="432">
        <f>500000*('Rate Design'!$G$5/100)+MIN(5500000,E17-500000)*('Rate Design'!$G$6/100)+MAX(0,E17-6000000)*('Rate Design'!$G$7/100)+'Rate Design'!$G$9+E81*'Rate Design'!$G$10-0.2*E54</f>
        <v>104702.583416</v>
      </c>
      <c r="F137" s="432">
        <f>500000*('Rate Design'!$G$5/100)+MIN(5500000,F17-500000)*('Rate Design'!$G$6/100)+MAX(0,F17-6000000)*('Rate Design'!$G$7/100)+'Rate Design'!$G$9+F81*'Rate Design'!$G$10-0.2*F54</f>
        <v>105047.969252</v>
      </c>
      <c r="G137" s="432">
        <f>500000*('Rate Design'!$G$5/100)+MIN(5500000,G17-500000)*('Rate Design'!$G$6/100)+MAX(0,G17-6000000)*('Rate Design'!$G$7/100)+'Rate Design'!$G$9+G81*'Rate Design'!$G$10-0.2*G54</f>
        <v>105060.09973999999</v>
      </c>
      <c r="H137" s="432">
        <f>500000*('Rate Design'!$G$5/100)+MIN(5500000,H17-500000)*('Rate Design'!$G$6/100)+MAX(0,H17-6000000)*('Rate Design'!$G$7/100)+'Rate Design'!$G$9+H81*'Rate Design'!$G$10-0.2*H54</f>
        <v>113408.068964</v>
      </c>
      <c r="I137" s="432">
        <f>500000*('Rate Design'!$G$5/100)+MIN(5500000,I17-500000)*('Rate Design'!$G$6/100)+MAX(0,I17-6000000)*('Rate Design'!$G$7/100)+'Rate Design'!$G$9+I81*'Rate Design'!$G$10-0.2*I54</f>
        <v>106643.665382</v>
      </c>
      <c r="J137" s="432">
        <f>500000*('Rate Design'!$G$5/100)+MIN(5500000,J17-500000)*('Rate Design'!$G$6/100)+MAX(0,J17-6000000)*('Rate Design'!$G$7/100)+'Rate Design'!$G$9+J81*'Rate Design'!$G$10-0.2*J54</f>
        <v>110113.22285600001</v>
      </c>
      <c r="K137" s="432">
        <f>500000*('Rate Design'!$G$5/100)+MIN(5500000,K17-500000)*('Rate Design'!$G$6/100)+MAX(0,K17-6000000)*('Rate Design'!$G$7/100)+'Rate Design'!$G$9+K81*'Rate Design'!$G$10-0.2*K54</f>
        <v>105633.36134599999</v>
      </c>
      <c r="L137" s="432">
        <f>500000*('Rate Design'!$G$5/100)+MIN(5500000,L17-500000)*('Rate Design'!$G$6/100)+MAX(0,L17-6000000)*('Rate Design'!$G$7/100)+'Rate Design'!$G$9+L81*'Rate Design'!$G$10-0.2*L54</f>
        <v>106260.871316</v>
      </c>
      <c r="M137" s="432">
        <f>500000*('Rate Design'!$G$5/100)+MIN(5500000,M17-500000)*('Rate Design'!$G$6/100)+MAX(0,M17-6000000)*('Rate Design'!$G$7/100)+'Rate Design'!$G$9+M81*'Rate Design'!$G$10-0.2*M54</f>
        <v>110195.12710400001</v>
      </c>
      <c r="N137" s="432">
        <f>500000*('Rate Design'!$G$5/100)+MIN(5500000,N17-500000)*('Rate Design'!$G$6/100)+MAX(0,N17-6000000)*('Rate Design'!$G$7/100)+'Rate Design'!$G$9+N81*'Rate Design'!$G$10-0.2*N54</f>
        <v>99625.67159000001</v>
      </c>
      <c r="O137" s="432">
        <f>500000*('Rate Design'!$G$5/100)+MIN(5500000,O17-500000)*('Rate Design'!$G$6/100)+MAX(0,O17-6000000)*('Rate Design'!$G$7/100)+'Rate Design'!$G$9+O81*'Rate Design'!$G$10-0.2*O54</f>
        <v>101268.857516</v>
      </c>
      <c r="P137" s="43">
        <f t="shared" si="65"/>
        <v>1276023.993522</v>
      </c>
      <c r="T137" s="769">
        <f t="shared" si="66"/>
        <v>0</v>
      </c>
    </row>
    <row r="138" spans="2:20" ht="12.75">
      <c r="B138" s="642">
        <f t="shared" si="64"/>
        <v>0</v>
      </c>
      <c r="C138" s="327">
        <v>610018682</v>
      </c>
      <c r="D138" s="432">
        <f>500000*('Rate Design'!$G$5/100)+MIN(5500000,D18-500000)*('Rate Design'!$G$6/100)+MAX(0,D18-6000000)*('Rate Design'!$G$7/100)+'Rate Design'!$G$9+D82*'Rate Design'!$G$10-0.2*D55</f>
        <v>96117.19746400001</v>
      </c>
      <c r="E138" s="432">
        <f>500000*('Rate Design'!$G$5/100)+MIN(5500000,E18-500000)*('Rate Design'!$G$6/100)+MAX(0,E18-6000000)*('Rate Design'!$G$7/100)+'Rate Design'!$G$9+E82*'Rate Design'!$G$10-0.2*E55</f>
        <v>88246.975232</v>
      </c>
      <c r="F138" s="432">
        <f>500000*('Rate Design'!$G$5/100)+MIN(5500000,F18-500000)*('Rate Design'!$G$6/100)+MAX(0,F18-6000000)*('Rate Design'!$G$7/100)+'Rate Design'!$G$9+F82*'Rate Design'!$G$10-0.2*F55</f>
        <v>92647.98008</v>
      </c>
      <c r="G138" s="432">
        <f>500000*('Rate Design'!$G$5/100)+MIN(5500000,G18-500000)*('Rate Design'!$G$6/100)+MAX(0,G18-6000000)*('Rate Design'!$G$7/100)+'Rate Design'!$G$9+G82*'Rate Design'!$G$10-0.2*G55</f>
        <v>89497.98785199999</v>
      </c>
      <c r="H138" s="432">
        <f>500000*('Rate Design'!$G$5/100)+MIN(5500000,H18-500000)*('Rate Design'!$G$6/100)+MAX(0,H18-6000000)*('Rate Design'!$G$7/100)+'Rate Design'!$G$9+H82*'Rate Design'!$G$10-0.2*H55</f>
        <v>97316.72204000001</v>
      </c>
      <c r="I138" s="432">
        <f>500000*('Rate Design'!$G$5/100)+MIN(5500000,I18-500000)*('Rate Design'!$G$6/100)+MAX(0,I18-6000000)*('Rate Design'!$G$7/100)+'Rate Design'!$G$9+I82*'Rate Design'!$G$10-0.2*I55</f>
        <v>96790.960904</v>
      </c>
      <c r="J138" s="432">
        <f>500000*('Rate Design'!$G$5/100)+MIN(5500000,J18-500000)*('Rate Design'!$G$6/100)+MAX(0,J18-6000000)*('Rate Design'!$G$7/100)+'Rate Design'!$G$9+J82*'Rate Design'!$G$10-0.2*J55</f>
        <v>104406.387836</v>
      </c>
      <c r="K138" s="432">
        <f>500000*('Rate Design'!$G$5/100)+MIN(5500000,K18-500000)*('Rate Design'!$G$6/100)+MAX(0,K18-6000000)*('Rate Design'!$G$7/100)+'Rate Design'!$G$9+K82*'Rate Design'!$G$10-0.2*K55</f>
        <v>109082.83499599999</v>
      </c>
      <c r="L138" s="432">
        <f>500000*('Rate Design'!$G$5/100)+MIN(5500000,L18-500000)*('Rate Design'!$G$6/100)+MAX(0,L18-6000000)*('Rate Design'!$G$7/100)+'Rate Design'!$G$9+L82*'Rate Design'!$G$10-0.2*L55</f>
        <v>98765.186936</v>
      </c>
      <c r="M138" s="432">
        <f>500000*('Rate Design'!$G$5/100)+MIN(5500000,M18-500000)*('Rate Design'!$G$6/100)+MAX(0,M18-6000000)*('Rate Design'!$G$7/100)+'Rate Design'!$G$9+M82*'Rate Design'!$G$10-0.2*M55</f>
        <v>92237.35535600001</v>
      </c>
      <c r="N138" s="432">
        <f>500000*('Rate Design'!$G$5/100)+MIN(5500000,N18-500000)*('Rate Design'!$G$6/100)+MAX(0,N18-6000000)*('Rate Design'!$G$7/100)+'Rate Design'!$G$9+N82*'Rate Design'!$G$10-0.2*N55</f>
        <v>91247.74828400002</v>
      </c>
      <c r="O138" s="432">
        <f>500000*('Rate Design'!$G$5/100)+MIN(5500000,O18-500000)*('Rate Design'!$G$6/100)+MAX(0,O18-6000000)*('Rate Design'!$G$7/100)+'Rate Design'!$G$9+O82*'Rate Design'!$G$10-0.2*O55</f>
        <v>86785.060942</v>
      </c>
      <c r="P138" s="43">
        <f t="shared" si="65"/>
        <v>1143142.397922</v>
      </c>
      <c r="T138" s="769">
        <f t="shared" si="66"/>
        <v>0</v>
      </c>
    </row>
    <row r="139" spans="2:20" ht="12.75">
      <c r="B139" s="642">
        <f t="shared" si="64"/>
        <v>0</v>
      </c>
      <c r="C139" s="327">
        <v>690067830</v>
      </c>
      <c r="D139" s="432">
        <f>500000*('Rate Design'!$G$5/100)+MIN(5500000,D19-500000)*('Rate Design'!$G$6/100)+MAX(0,D19-6000000)*('Rate Design'!$G$7/100)+'Rate Design'!$G$9+D83*'Rate Design'!$G$10-0.2*D56</f>
        <v>170246.073032</v>
      </c>
      <c r="E139" s="432">
        <f>500000*('Rate Design'!$G$5/100)+MIN(5500000,E19-500000)*('Rate Design'!$G$6/100)+MAX(0,E19-6000000)*('Rate Design'!$G$7/100)+'Rate Design'!$G$9+E83*'Rate Design'!$G$10-0.2*E56</f>
        <v>153505.513256</v>
      </c>
      <c r="F139" s="432">
        <f>500000*('Rate Design'!$G$5/100)+MIN(5500000,F19-500000)*('Rate Design'!$G$6/100)+MAX(0,F19-6000000)*('Rate Design'!$G$7/100)+'Rate Design'!$G$9+F83*'Rate Design'!$G$10-0.2*F56</f>
        <v>164316.24054800003</v>
      </c>
      <c r="G139" s="432">
        <f>500000*('Rate Design'!$G$5/100)+MIN(5500000,G19-500000)*('Rate Design'!$G$6/100)+MAX(0,G19-6000000)*('Rate Design'!$G$7/100)+'Rate Design'!$G$9+G83*'Rate Design'!$G$10-0.2*G56</f>
        <v>146813.87117600002</v>
      </c>
      <c r="H139" s="432">
        <f>500000*('Rate Design'!$G$5/100)+MIN(5500000,H19-500000)*('Rate Design'!$G$6/100)+MAX(0,H19-6000000)*('Rate Design'!$G$7/100)+'Rate Design'!$G$9+H83*'Rate Design'!$G$10-0.2*H56</f>
        <v>138575.070524</v>
      </c>
      <c r="I139" s="432">
        <f>500000*('Rate Design'!$G$5/100)+MIN(5500000,I19-500000)*('Rate Design'!$G$6/100)+MAX(0,I19-6000000)*('Rate Design'!$G$7/100)+'Rate Design'!$G$9+I83*'Rate Design'!$G$10-0.2*I56</f>
        <v>141479.79180800004</v>
      </c>
      <c r="J139" s="432">
        <f>500000*('Rate Design'!$G$5/100)+MIN(5500000,J19-500000)*('Rate Design'!$G$6/100)+MAX(0,J19-6000000)*('Rate Design'!$G$7/100)+'Rate Design'!$G$9+J83*'Rate Design'!$G$10-0.2*J56</f>
        <v>145712.080292</v>
      </c>
      <c r="K139" s="432">
        <f>500000*('Rate Design'!$G$5/100)+MIN(5500000,K19-500000)*('Rate Design'!$G$6/100)+MAX(0,K19-6000000)*('Rate Design'!$G$7/100)+'Rate Design'!$G$9+K83*'Rate Design'!$G$10-0.2*K56</f>
        <v>135558.931988</v>
      </c>
      <c r="L139" s="432">
        <f>500000*('Rate Design'!$G$5/100)+MIN(5500000,L19-500000)*('Rate Design'!$G$6/100)+MAX(0,L19-6000000)*('Rate Design'!$G$7/100)+'Rate Design'!$G$9+L83*'Rate Design'!$G$10-0.2*L56</f>
        <v>128376.030452</v>
      </c>
      <c r="M139" s="432">
        <f>500000*('Rate Design'!$G$5/100)+MIN(5500000,M19-500000)*('Rate Design'!$G$6/100)+MAX(0,M19-6000000)*('Rate Design'!$G$7/100)+'Rate Design'!$G$9+M83*'Rate Design'!$G$10-0.2*M56</f>
        <v>151925.818556</v>
      </c>
      <c r="N139" s="432">
        <f>500000*('Rate Design'!$G$5/100)+MIN(5500000,N19-500000)*('Rate Design'!$G$6/100)+MAX(0,N19-6000000)*('Rate Design'!$G$7/100)+'Rate Design'!$G$9+N83*'Rate Design'!$G$10-0.2*N56</f>
        <v>149696.16384800003</v>
      </c>
      <c r="O139" s="432">
        <f>500000*('Rate Design'!$G$5/100)+MIN(5500000,O19-500000)*('Rate Design'!$G$6/100)+MAX(0,O19-6000000)*('Rate Design'!$G$7/100)+'Rate Design'!$G$9+O83*'Rate Design'!$G$10-0.2*O56</f>
        <v>148927.34026400003</v>
      </c>
      <c r="P139" s="43">
        <f t="shared" si="65"/>
        <v>1775132.9257440001</v>
      </c>
      <c r="T139" s="769">
        <f t="shared" si="66"/>
        <v>0</v>
      </c>
    </row>
    <row r="140" spans="2:20" ht="12.75">
      <c r="B140" s="642">
        <f t="shared" si="64"/>
        <v>0</v>
      </c>
      <c r="C140" s="327">
        <v>1300001</v>
      </c>
      <c r="D140" s="432">
        <f>500000*('Rate Design'!$G$5/100)+MIN(5500000,D20-500000)*('Rate Design'!$G$6/100)+MAX(0,D20-6000000)*('Rate Design'!$G$7/100)+'Rate Design'!$G$9+D84*'Rate Design'!$G$10-0.2*D57</f>
        <v>175604.64965600002</v>
      </c>
      <c r="E140" s="432">
        <f>500000*('Rate Design'!$G$5/100)+MIN(5500000,E20-500000)*('Rate Design'!$G$6/100)+MAX(0,E20-6000000)*('Rate Design'!$G$7/100)+'Rate Design'!$G$9+E84*'Rate Design'!$G$10-0.2*E57</f>
        <v>170221.810328</v>
      </c>
      <c r="F140" s="432">
        <f>500000*('Rate Design'!$G$5/100)+MIN(5500000,F20-500000)*('Rate Design'!$G$6/100)+MAX(0,F20-6000000)*('Rate Design'!$G$7/100)+'Rate Design'!$G$9+F84*'Rate Design'!$G$10-0.2*F57</f>
        <v>181699.984112</v>
      </c>
      <c r="G140" s="432">
        <f>500000*('Rate Design'!$G$5/100)+MIN(5500000,G20-500000)*('Rate Design'!$G$6/100)+MAX(0,G20-6000000)*('Rate Design'!$G$7/100)+'Rate Design'!$G$9+G84*'Rate Design'!$G$10-0.2*G57</f>
        <v>164646.404816</v>
      </c>
      <c r="H140" s="432">
        <f>500000*('Rate Design'!$G$5/100)+MIN(5500000,H20-500000)*('Rate Design'!$G$6/100)+MAX(0,H20-6000000)*('Rate Design'!$G$7/100)+'Rate Design'!$G$9+H84*'Rate Design'!$G$10-0.2*H57</f>
        <v>160500.08388800002</v>
      </c>
      <c r="I140" s="432">
        <f>500000*('Rate Design'!$G$5/100)+MIN(5500000,I20-500000)*('Rate Design'!$G$6/100)+MAX(0,I20-6000000)*('Rate Design'!$G$7/100)+'Rate Design'!$G$9+I84*'Rate Design'!$G$10-0.2*I57</f>
        <v>153106.895396</v>
      </c>
      <c r="J140" s="432">
        <f>500000*('Rate Design'!$G$5/100)+MIN(5500000,J20-500000)*('Rate Design'!$G$6/100)+MAX(0,J20-6000000)*('Rate Design'!$G$7/100)+'Rate Design'!$G$9+J84*'Rate Design'!$G$10-0.2*J57</f>
        <v>157250.99588</v>
      </c>
      <c r="K140" s="432">
        <f>500000*('Rate Design'!$G$5/100)+MIN(5500000,K20-500000)*('Rate Design'!$G$6/100)+MAX(0,K20-6000000)*('Rate Design'!$G$7/100)+'Rate Design'!$G$9+K84*'Rate Design'!$G$10-0.2*K57</f>
        <v>163907.57998399998</v>
      </c>
      <c r="L140" s="432">
        <f>500000*('Rate Design'!$G$5/100)+MIN(5500000,L20-500000)*('Rate Design'!$G$6/100)+MAX(0,L20-6000000)*('Rate Design'!$G$7/100)+'Rate Design'!$G$9+L84*'Rate Design'!$G$10-0.2*L57</f>
        <v>165908.76438799998</v>
      </c>
      <c r="M140" s="432">
        <f>500000*('Rate Design'!$G$5/100)+MIN(5500000,M20-500000)*('Rate Design'!$G$6/100)+MAX(0,M20-6000000)*('Rate Design'!$G$7/100)+'Rate Design'!$G$9+M84*'Rate Design'!$G$10-0.2*M57</f>
        <v>173455.67850799998</v>
      </c>
      <c r="N140" s="432">
        <f>500000*('Rate Design'!$G$5/100)+MIN(5500000,N20-500000)*('Rate Design'!$G$6/100)+MAX(0,N20-6000000)*('Rate Design'!$G$7/100)+'Rate Design'!$G$9+N84*'Rate Design'!$G$10-0.2*N57</f>
        <v>169375.923476</v>
      </c>
      <c r="O140" s="432">
        <f>500000*('Rate Design'!$G$5/100)+MIN(5500000,O20-500000)*('Rate Design'!$G$6/100)+MAX(0,O20-6000000)*('Rate Design'!$G$7/100)+'Rate Design'!$G$9+O84*'Rate Design'!$G$10-0.2*O57</f>
        <v>173395.187564</v>
      </c>
      <c r="P140" s="43">
        <f t="shared" si="65"/>
        <v>2009073.957996</v>
      </c>
      <c r="T140" s="769">
        <f t="shared" si="66"/>
        <v>0</v>
      </c>
    </row>
    <row r="141" spans="2:20" ht="12.75">
      <c r="B141" s="642">
        <f t="shared" si="64"/>
        <v>0</v>
      </c>
      <c r="C141" s="327">
        <v>290081951</v>
      </c>
      <c r="D141" s="432">
        <f>500000*('Rate Design'!$G$5/100)+MIN(5500000,D21-500000)*('Rate Design'!$G$6/100)+MAX(0,D21-6000000)*('Rate Design'!$G$7/100)+'Rate Design'!$G$9+D85*'Rate Design'!$G$10-0.2*D58</f>
        <v>271550.18191910005</v>
      </c>
      <c r="E141" s="432">
        <f>500000*('Rate Design'!$G$5/100)+MIN(5500000,E21-500000)*('Rate Design'!$G$6/100)+MAX(0,E21-6000000)*('Rate Design'!$G$7/100)+'Rate Design'!$G$9+E85*'Rate Design'!$G$10-0.2*E58</f>
        <v>252814.30592240003</v>
      </c>
      <c r="F141" s="432">
        <f>500000*('Rate Design'!$G$5/100)+MIN(5500000,F21-500000)*('Rate Design'!$G$6/100)+MAX(0,F21-6000000)*('Rate Design'!$G$7/100)+'Rate Design'!$G$9+F85*'Rate Design'!$G$10-0.2*F58</f>
        <v>257128.99460000003</v>
      </c>
      <c r="G141" s="432">
        <f>500000*('Rate Design'!$G$5/100)+MIN(5500000,G21-500000)*('Rate Design'!$G$6/100)+MAX(0,G21-6000000)*('Rate Design'!$G$7/100)+'Rate Design'!$G$9+G85*'Rate Design'!$G$10-0.2*G58</f>
        <v>241205.430557</v>
      </c>
      <c r="H141" s="432">
        <f>500000*('Rate Design'!$G$5/100)+MIN(5500000,H21-500000)*('Rate Design'!$G$6/100)+MAX(0,H21-6000000)*('Rate Design'!$G$7/100)+'Rate Design'!$G$9+H85*'Rate Design'!$G$10-0.2*H58</f>
        <v>272689.96576100006</v>
      </c>
      <c r="I141" s="432">
        <f>500000*('Rate Design'!$G$5/100)+MIN(5500000,I21-500000)*('Rate Design'!$G$6/100)+MAX(0,I21-6000000)*('Rate Design'!$G$7/100)+'Rate Design'!$G$9+I85*'Rate Design'!$G$10-0.2*I58</f>
        <v>292698.761999</v>
      </c>
      <c r="J141" s="432">
        <f>500000*('Rate Design'!$G$5/100)+MIN(5500000,J21-500000)*('Rate Design'!$G$6/100)+MAX(0,J21-6000000)*('Rate Design'!$G$7/100)+'Rate Design'!$G$9+J85*'Rate Design'!$G$10-0.2*J58</f>
        <v>330767.5637597</v>
      </c>
      <c r="K141" s="432">
        <f>500000*('Rate Design'!$G$5/100)+MIN(5500000,K21-500000)*('Rate Design'!$G$6/100)+MAX(0,K21-6000000)*('Rate Design'!$G$7/100)+'Rate Design'!$G$9+K85*'Rate Design'!$G$10-0.2*K58</f>
        <v>357858.19143169996</v>
      </c>
      <c r="L141" s="432">
        <f>500000*('Rate Design'!$G$5/100)+MIN(5500000,L21-500000)*('Rate Design'!$G$6/100)+MAX(0,L21-6000000)*('Rate Design'!$G$7/100)+'Rate Design'!$G$9+L85*'Rate Design'!$G$10-0.2*L58</f>
        <v>305244.8604857</v>
      </c>
      <c r="M141" s="432">
        <f>500000*('Rate Design'!$G$5/100)+MIN(5500000,M21-500000)*('Rate Design'!$G$6/100)+MAX(0,M21-6000000)*('Rate Design'!$G$7/100)+'Rate Design'!$G$9+M85*'Rate Design'!$G$10-0.2*M58</f>
        <v>263496.1356731</v>
      </c>
      <c r="N141" s="432">
        <f>500000*('Rate Design'!$G$5/100)+MIN(5500000,N21-500000)*('Rate Design'!$G$6/100)+MAX(0,N21-6000000)*('Rate Design'!$G$7/100)+'Rate Design'!$G$9+N85*'Rate Design'!$G$10-0.2*N58</f>
        <v>272948.0605031</v>
      </c>
      <c r="O141" s="432">
        <f>500000*('Rate Design'!$G$5/100)+MIN(5500000,O21-500000)*('Rate Design'!$G$6/100)+MAX(0,O21-6000000)*('Rate Design'!$G$7/100)+'Rate Design'!$G$9+O85*'Rate Design'!$G$10-0.2*O58</f>
        <v>277930.51733</v>
      </c>
      <c r="P141" s="43">
        <f t="shared" si="65"/>
        <v>3396332.9699418</v>
      </c>
      <c r="T141" s="769">
        <f t="shared" si="66"/>
        <v>0</v>
      </c>
    </row>
    <row r="142" spans="2:20" ht="12.75">
      <c r="B142" s="642">
        <f t="shared" si="64"/>
        <v>0</v>
      </c>
      <c r="C142" s="327">
        <v>500033</v>
      </c>
      <c r="D142" s="432">
        <f>500000*('Rate Design'!$G$5/100)+MIN(5500000,D22-500000)*('Rate Design'!$G$6/100)+MAX(0,D22-6000000)*('Rate Design'!$G$7/100)+'Rate Design'!$G$9+D86*'Rate Design'!$G$10-0.2*D59</f>
        <v>221864.31836600002</v>
      </c>
      <c r="E142" s="432">
        <f>500000*('Rate Design'!$G$5/100)+MIN(5500000,E22-500000)*('Rate Design'!$G$6/100)+MAX(0,E22-6000000)*('Rate Design'!$G$7/100)+'Rate Design'!$G$9+E86*'Rate Design'!$G$10-0.2*E59</f>
        <v>208389.466364</v>
      </c>
      <c r="F142" s="432">
        <f>500000*('Rate Design'!$G$5/100)+MIN(5500000,F22-500000)*('Rate Design'!$G$6/100)+MAX(0,F22-6000000)*('Rate Design'!$G$7/100)+'Rate Design'!$G$9+F86*'Rate Design'!$G$10-0.2*F59</f>
        <v>210105.02528600002</v>
      </c>
      <c r="G142" s="432">
        <f>500000*('Rate Design'!$G$5/100)+MIN(5500000,G22-500000)*('Rate Design'!$G$6/100)+MAX(0,G22-6000000)*('Rate Design'!$G$7/100)+'Rate Design'!$G$9+G86*'Rate Design'!$G$10-0.2*G59</f>
        <v>199442.58031400002</v>
      </c>
      <c r="H142" s="432">
        <f>500000*('Rate Design'!$G$5/100)+MIN(5500000,H22-500000)*('Rate Design'!$G$6/100)+MAX(0,H22-6000000)*('Rate Design'!$G$7/100)+'Rate Design'!$G$9+H86*'Rate Design'!$G$10-0.2*H59</f>
        <v>191001.88263200002</v>
      </c>
      <c r="I142" s="432">
        <f>500000*('Rate Design'!$G$5/100)+MIN(5500000,I22-500000)*('Rate Design'!$G$6/100)+MAX(0,I22-6000000)*('Rate Design'!$G$7/100)+'Rate Design'!$G$9+I86*'Rate Design'!$G$10-0.2*I59</f>
        <v>182525.49512600002</v>
      </c>
      <c r="J142" s="432">
        <f>500000*('Rate Design'!$G$5/100)+MIN(5500000,J22-500000)*('Rate Design'!$G$6/100)+MAX(0,J22-6000000)*('Rate Design'!$G$7/100)+'Rate Design'!$G$9+J86*'Rate Design'!$G$10-0.2*J59</f>
        <v>186474.92225</v>
      </c>
      <c r="K142" s="432">
        <f>500000*('Rate Design'!$G$5/100)+MIN(5500000,K22-500000)*('Rate Design'!$G$6/100)+MAX(0,K22-6000000)*('Rate Design'!$G$7/100)+'Rate Design'!$G$9+K86*'Rate Design'!$G$10-0.2*K59</f>
        <v>194118.27812153002</v>
      </c>
      <c r="L142" s="432">
        <f>500000*('Rate Design'!$G$5/100)+MIN(5500000,L22-500000)*('Rate Design'!$G$6/100)+MAX(0,L22-6000000)*('Rate Design'!$G$7/100)+'Rate Design'!$G$9+L86*'Rate Design'!$G$10-0.2*L59</f>
        <v>196578.784634</v>
      </c>
      <c r="M142" s="432">
        <f>500000*('Rate Design'!$G$5/100)+MIN(5500000,M22-500000)*('Rate Design'!$G$6/100)+MAX(0,M22-6000000)*('Rate Design'!$G$7/100)+'Rate Design'!$G$9+M86*'Rate Design'!$G$10-0.2*M59</f>
        <v>212614.27752200002</v>
      </c>
      <c r="N142" s="432">
        <f>500000*('Rate Design'!$G$5/100)+MIN(5500000,N22-500000)*('Rate Design'!$G$6/100)+MAX(0,N22-6000000)*('Rate Design'!$G$7/100)+'Rate Design'!$G$9+N86*'Rate Design'!$G$10-0.2*N59</f>
        <v>216680.87282000002</v>
      </c>
      <c r="O142" s="432">
        <f>500000*('Rate Design'!$G$5/100)+MIN(5500000,O22-500000)*('Rate Design'!$G$6/100)+MAX(0,O22-6000000)*('Rate Design'!$G$7/100)+'Rate Design'!$G$9+O86*'Rate Design'!$G$10-0.2*O59</f>
        <v>224890.84932800004</v>
      </c>
      <c r="P142" s="43">
        <f t="shared" si="65"/>
        <v>2444686.7527635302</v>
      </c>
      <c r="T142" s="769">
        <f t="shared" si="66"/>
        <v>0</v>
      </c>
    </row>
    <row r="143" spans="2:20" ht="12.75">
      <c r="B143" s="642">
        <f t="shared" si="64"/>
        <v>0</v>
      </c>
      <c r="C143" s="327">
        <v>410031282</v>
      </c>
      <c r="D143" s="432">
        <f>500000*('Rate Design'!$G$5/100)+MIN(5500000,D23-500000)*('Rate Design'!$G$6/100)+MAX(0,D23-6000000)*('Rate Design'!$G$7/100)+'Rate Design'!$G$9+D87*'Rate Design'!$G$10</f>
        <v>204423.40848</v>
      </c>
      <c r="E143" s="432">
        <f>500000*('Rate Design'!$G$5/100)+MIN(5500000,E23-500000)*('Rate Design'!$G$6/100)+MAX(0,E23-6000000)*('Rate Design'!$G$7/100)+'Rate Design'!$G$9+E87*'Rate Design'!$G$10</f>
        <v>234864.12192000003</v>
      </c>
      <c r="F143" s="432">
        <f>500000*('Rate Design'!$G$5/100)+MIN(5500000,F23-500000)*('Rate Design'!$G$6/100)+MAX(0,F23-6000000)*('Rate Design'!$G$7/100)+'Rate Design'!$G$9+F87*'Rate Design'!$G$10</f>
        <v>206735.02808000002</v>
      </c>
      <c r="G143" s="432">
        <f>500000*('Rate Design'!$G$5/100)+MIN(5500000,G23-500000)*('Rate Design'!$G$6/100)+MAX(0,G23-6000000)*('Rate Design'!$G$7/100)+'Rate Design'!$G$9+G87*'Rate Design'!$G$10</f>
        <v>185182.80186000004</v>
      </c>
      <c r="H143" s="432">
        <f>500000*('Rate Design'!$G$5/100)+MIN(5500000,H23-500000)*('Rate Design'!$G$6/100)+MAX(0,H23-6000000)*('Rate Design'!$G$7/100)+'Rate Design'!$G$9+H87*'Rate Design'!$G$10</f>
        <v>179162.90646</v>
      </c>
      <c r="I143" s="432">
        <f>500000*('Rate Design'!$G$5/100)+MIN(5500000,I23-500000)*('Rate Design'!$G$6/100)+MAX(0,I23-6000000)*('Rate Design'!$G$7/100)+'Rate Design'!$G$9+I87*'Rate Design'!$G$10</f>
        <v>174039.97834000003</v>
      </c>
      <c r="J143" s="432">
        <f>500000*('Rate Design'!$G$5/100)+MIN(5500000,J23-500000)*('Rate Design'!$G$6/100)+MAX(0,J23-6000000)*('Rate Design'!$G$7/100)+'Rate Design'!$G$9+J87*'Rate Design'!$G$10</f>
        <v>172954.74914</v>
      </c>
      <c r="K143" s="432">
        <f>500000*('Rate Design'!$G$5/100)+MIN(5500000,K23-500000)*('Rate Design'!$G$6/100)+MAX(0,K23-6000000)*('Rate Design'!$G$7/100)+'Rate Design'!$G$9+K87*'Rate Design'!$G$10</f>
        <v>177232.20544000002</v>
      </c>
      <c r="L143" s="432">
        <f>500000*('Rate Design'!$G$5/100)+MIN(5500000,L23-500000)*('Rate Design'!$G$6/100)+MAX(0,L23-6000000)*('Rate Design'!$G$7/100)+'Rate Design'!$G$9+L87*'Rate Design'!$G$10</f>
        <v>170339.97864000002</v>
      </c>
      <c r="M143" s="432">
        <f>500000*('Rate Design'!$G$5/100)+MIN(5500000,M23-500000)*('Rate Design'!$G$6/100)+MAX(0,M23-6000000)*('Rate Design'!$G$7/100)+'Rate Design'!$G$9+M87*'Rate Design'!$G$10</f>
        <v>178039.10664</v>
      </c>
      <c r="N143" s="432">
        <f>500000*('Rate Design'!$G$5/100)+MIN(5500000,N23-500000)*('Rate Design'!$G$6/100)+MAX(0,N23-6000000)*('Rate Design'!$G$7/100)+'Rate Design'!$G$9+N87*'Rate Design'!$G$10</f>
        <v>178365.01176000002</v>
      </c>
      <c r="O143" s="432">
        <f>500000*('Rate Design'!$G$5/100)+MIN(5500000,O23-500000)*('Rate Design'!$G$6/100)+MAX(0,O23-6000000)*('Rate Design'!$G$7/100)+'Rate Design'!$G$9+O87*'Rate Design'!$G$10</f>
        <v>178419.11000000002</v>
      </c>
      <c r="P143" s="43">
        <f t="shared" si="65"/>
        <v>2239758.40676</v>
      </c>
      <c r="T143" s="769">
        <f t="shared" si="66"/>
        <v>0</v>
      </c>
    </row>
    <row r="144" spans="2:20" ht="12.75">
      <c r="B144" s="642">
        <f t="shared" si="64"/>
        <v>0</v>
      </c>
      <c r="C144" s="327">
        <v>500032</v>
      </c>
      <c r="D144" s="432">
        <f>500000*('Rate Design'!$G$5/100)+MIN(5500000,D24-500000)*('Rate Design'!$G$6/100)+MAX(0,D24-6000000)*('Rate Design'!$G$7/100)+'Rate Design'!$G$9+D88*'Rate Design'!$G$10</f>
        <v>161266.480972</v>
      </c>
      <c r="E144" s="432">
        <f>500000*('Rate Design'!$G$5/100)+MIN(5500000,E24-500000)*('Rate Design'!$G$6/100)+MAX(0,E24-6000000)*('Rate Design'!$G$7/100)+'Rate Design'!$G$9+E88*'Rate Design'!$G$10</f>
        <v>152987.00008800003</v>
      </c>
      <c r="F144" s="432">
        <f>500000*('Rate Design'!$G$5/100)+MIN(5500000,F24-500000)*('Rate Design'!$G$6/100)+MAX(0,F24-6000000)*('Rate Design'!$G$7/100)+'Rate Design'!$G$9+F88*'Rate Design'!$G$10</f>
        <v>156346.98808399998</v>
      </c>
      <c r="G144" s="432">
        <f>500000*('Rate Design'!$G$5/100)+MIN(5500000,G24-500000)*('Rate Design'!$G$6/100)+MAX(0,G24-6000000)*('Rate Design'!$G$7/100)+'Rate Design'!$G$9+G88*'Rate Design'!$G$10</f>
        <v>160564.58096800002</v>
      </c>
      <c r="H144" s="432">
        <f>500000*('Rate Design'!$G$5/100)+MIN(5500000,H24-500000)*('Rate Design'!$G$6/100)+MAX(0,H24-6000000)*('Rate Design'!$G$7/100)+'Rate Design'!$G$9+H88*'Rate Design'!$G$10</f>
        <v>164067.019852</v>
      </c>
      <c r="I144" s="432">
        <f>500000*('Rate Design'!$G$5/100)+MIN(5500000,I24-500000)*('Rate Design'!$G$6/100)+MAX(0,I24-6000000)*('Rate Design'!$G$7/100)+'Rate Design'!$G$9+I88*'Rate Design'!$G$10</f>
        <v>190108.31215600003</v>
      </c>
      <c r="J144" s="432">
        <f>500000*('Rate Design'!$G$5/100)+MIN(5500000,J24-500000)*('Rate Design'!$G$6/100)+MAX(0,J24-6000000)*('Rate Design'!$G$7/100)+'Rate Design'!$G$9+J88*'Rate Design'!$G$10</f>
        <v>210736.98584</v>
      </c>
      <c r="K144" s="432">
        <f>500000*('Rate Design'!$G$5/100)+MIN(5500000,K24-500000)*('Rate Design'!$G$6/100)+MAX(0,K24-6000000)*('Rate Design'!$G$7/100)+'Rate Design'!$G$9+K88*'Rate Design'!$G$10</f>
        <v>246808.08200400003</v>
      </c>
      <c r="L144" s="432">
        <f>500000*('Rate Design'!$G$5/100)+MIN(5500000,L24-500000)*('Rate Design'!$G$6/100)+MAX(0,L24-6000000)*('Rate Design'!$G$7/100)+'Rate Design'!$G$9+L88*'Rate Design'!$G$10</f>
        <v>238496.913012</v>
      </c>
      <c r="M144" s="432">
        <f>500000*('Rate Design'!$G$5/100)+MIN(5500000,M24-500000)*('Rate Design'!$G$6/100)+MAX(0,M24-6000000)*('Rate Design'!$G$7/100)+'Rate Design'!$G$9+M88*'Rate Design'!$G$10</f>
        <v>206085.62318</v>
      </c>
      <c r="N144" s="432">
        <f>500000*('Rate Design'!$G$5/100)+MIN(5500000,N24-500000)*('Rate Design'!$G$6/100)+MAX(0,N24-6000000)*('Rate Design'!$G$7/100)+'Rate Design'!$G$9+N88*'Rate Design'!$G$10</f>
        <v>153405.058952</v>
      </c>
      <c r="O144" s="432">
        <f>500000*('Rate Design'!$G$5/100)+MIN(5500000,O24-500000)*('Rate Design'!$G$6/100)+MAX(0,O24-6000000)*('Rate Design'!$G$7/100)+'Rate Design'!$G$9+O88*'Rate Design'!$G$10</f>
        <v>146867.554212</v>
      </c>
      <c r="P144" s="43">
        <f t="shared" si="65"/>
        <v>2187740.59932</v>
      </c>
      <c r="T144" s="769">
        <f t="shared" si="66"/>
        <v>0</v>
      </c>
    </row>
    <row r="145" spans="2:20" s="752" customFormat="1" ht="12.75">
      <c r="B145" s="642">
        <f t="shared" si="64"/>
        <v>0</v>
      </c>
      <c r="C145" s="327"/>
      <c r="D145" s="432">
        <f>500000*('Rate Design'!$G$5/100)+MIN(5500000,D25-500000)*('Rate Design'!$G$6/100)+MAX(0,D25-6000000)*('Rate Design'!$G$7/100)+'Rate Design'!$G$9+D89*'Rate Design'!$G$10</f>
        <v>70862.723672</v>
      </c>
      <c r="E145" s="432">
        <f>500000*('Rate Design'!$G$5/100)+MIN(5500000,E25-500000)*('Rate Design'!$G$6/100)+MAX(0,E25-6000000)*('Rate Design'!$G$7/100)+'Rate Design'!$G$9+E89*'Rate Design'!$G$10</f>
        <v>68863.732496</v>
      </c>
      <c r="F145" s="432">
        <f>500000*('Rate Design'!$G$5/100)+MIN(5500000,F25-500000)*('Rate Design'!$G$6/100)+MAX(0,F25-6000000)*('Rate Design'!$G$7/100)+'Rate Design'!$G$9+F89*'Rate Design'!$G$10</f>
        <v>68012.490104</v>
      </c>
      <c r="G145" s="432">
        <f>500000*('Rate Design'!$G$5/100)+MIN(5500000,G25-500000)*('Rate Design'!$G$6/100)+MAX(0,G25-6000000)*('Rate Design'!$G$7/100)+'Rate Design'!$G$9+G89*'Rate Design'!$G$10</f>
        <v>71064.37020800001</v>
      </c>
      <c r="H145" s="432">
        <f>500000*('Rate Design'!$G$5/100)+MIN(5500000,H25-500000)*('Rate Design'!$G$6/100)+MAX(0,H25-6000000)*('Rate Design'!$G$7/100)+'Rate Design'!$G$9+H89*'Rate Design'!$G$10</f>
        <v>73564.56536000001</v>
      </c>
      <c r="I145" s="432">
        <f>500000*('Rate Design'!$G$5/100)+MIN(5500000,I25-500000)*('Rate Design'!$G$6/100)+MAX(0,I25-6000000)*('Rate Design'!$G$7/100)+'Rate Design'!$G$9+I89*'Rate Design'!$G$10</f>
        <v>71637.967232</v>
      </c>
      <c r="J145" s="432">
        <f>500000*('Rate Design'!$G$5/100)+MIN(5500000,J25-500000)*('Rate Design'!$G$6/100)+MAX(0,J25-6000000)*('Rate Design'!$G$7/100)+'Rate Design'!$G$9+J89*'Rate Design'!$G$10</f>
        <v>71366.701328</v>
      </c>
      <c r="K145" s="432">
        <f>500000*('Rate Design'!$G$5/100)+MIN(5500000,K25-500000)*('Rate Design'!$G$6/100)+MAX(0,K25-6000000)*('Rate Design'!$G$7/100)+'Rate Design'!$G$9+K89*'Rate Design'!$G$10</f>
        <v>72998.73464000001</v>
      </c>
      <c r="L145" s="432">
        <f>500000*('Rate Design'!$G$5/100)+MIN(5500000,L25-500000)*('Rate Design'!$G$6/100)+MAX(0,L25-6000000)*('Rate Design'!$G$7/100)+'Rate Design'!$G$9+L89*'Rate Design'!$G$10</f>
        <v>72209.62268</v>
      </c>
      <c r="M145" s="432">
        <f>500000*('Rate Design'!$G$5/100)+MIN(5500000,M25-500000)*('Rate Design'!$G$6/100)+MAX(0,M25-6000000)*('Rate Design'!$G$7/100)+'Rate Design'!$G$9+M89*'Rate Design'!$G$10</f>
        <v>189428.981604</v>
      </c>
      <c r="N145" s="432">
        <f>500000*('Rate Design'!$G$5/100)+MIN(5500000,N25-500000)*('Rate Design'!$G$6/100)+MAX(0,N25-6000000)*('Rate Design'!$G$7/100)+'Rate Design'!$G$9+N89*'Rate Design'!$G$10</f>
        <v>205659.539084</v>
      </c>
      <c r="O145" s="432">
        <f>500000*('Rate Design'!$G$5/100)+MIN(5500000,O25-500000)*('Rate Design'!$G$6/100)+MAX(0,O25-6000000)*('Rate Design'!$G$7/100)+'Rate Design'!$G$9+O89*'Rate Design'!$G$10</f>
        <v>200233.824572</v>
      </c>
      <c r="P145" s="542">
        <f>SUM(D145:O145)</f>
        <v>1235903.2529799999</v>
      </c>
      <c r="T145" s="769">
        <f t="shared" si="66"/>
        <v>0</v>
      </c>
    </row>
    <row r="146" spans="2:20" s="752" customFormat="1" ht="12.75">
      <c r="B146" s="642">
        <f t="shared" si="64"/>
        <v>0</v>
      </c>
      <c r="C146" s="327"/>
      <c r="D146" s="432">
        <f>500000*('Rate Design'!$G$5/100)+MIN(5500000,D26-500000)*('Rate Design'!$G$6/100)+MAX(0,D26-6000000)*('Rate Design'!$G$7/100)+'Rate Design'!$G$9+D90*'Rate Design'!$G$10-0.2*D63</f>
        <v>83373.160766</v>
      </c>
      <c r="E146" s="432">
        <f>500000*('Rate Design'!$G$5/100)+MIN(5500000,E26-500000)*('Rate Design'!$G$6/100)+MAX(0,E26-6000000)*('Rate Design'!$G$7/100)+'Rate Design'!$G$9+E90*'Rate Design'!$G$10-0.2*E63</f>
        <v>82090.85498599999</v>
      </c>
      <c r="F146" s="432">
        <f>500000*('Rate Design'!$G$5/100)+MIN(5500000,F26-500000)*('Rate Design'!$G$6/100)+MAX(0,F26-6000000)*('Rate Design'!$G$7/100)+'Rate Design'!$G$9+F90*'Rate Design'!$G$10-0.2*F63</f>
        <v>80496.200264</v>
      </c>
      <c r="G146" s="432">
        <f>500000*('Rate Design'!$G$5/100)+MIN(5500000,G26-500000)*('Rate Design'!$G$6/100)+MAX(0,G26-6000000)*('Rate Design'!$G$7/100)+'Rate Design'!$G$9+G90*'Rate Design'!$G$10-0.2*G63</f>
        <v>77056.11642199999</v>
      </c>
      <c r="H146" s="432">
        <f>500000*('Rate Design'!$G$5/100)+MIN(5500000,H26-500000)*('Rate Design'!$G$6/100)+MAX(0,H26-6000000)*('Rate Design'!$G$7/100)+'Rate Design'!$G$9+H90*'Rate Design'!$G$10-0.2*H63</f>
        <v>79155.508532</v>
      </c>
      <c r="I146" s="432">
        <f>500000*('Rate Design'!$G$5/100)+MIN(5500000,I26-500000)*('Rate Design'!$G$6/100)+MAX(0,I26-6000000)*('Rate Design'!$G$7/100)+'Rate Design'!$G$9+I90*'Rate Design'!$G$10-0.2*I63</f>
        <v>77349.899552</v>
      </c>
      <c r="J146" s="432">
        <f>500000*('Rate Design'!$G$5/100)+MIN(5500000,J26-500000)*('Rate Design'!$G$6/100)+MAX(0,J26-6000000)*('Rate Design'!$G$7/100)+'Rate Design'!$G$9+J90*'Rate Design'!$G$10-0.2*J63</f>
        <v>79659.95243</v>
      </c>
      <c r="K146" s="432">
        <f>500000*('Rate Design'!$G$5/100)+MIN(5500000,K26-500000)*('Rate Design'!$G$6/100)+MAX(0,K26-6000000)*('Rate Design'!$G$7/100)+'Rate Design'!$G$9+K90*'Rate Design'!$G$10-0.2*K63</f>
        <v>80503.47608000001</v>
      </c>
      <c r="L146" s="432">
        <f>500000*('Rate Design'!$G$5/100)+MIN(5500000,L26-500000)*('Rate Design'!$G$6/100)+MAX(0,L26-6000000)*('Rate Design'!$G$7/100)+'Rate Design'!$G$9+L90*'Rate Design'!$G$10-0.2*L63</f>
        <v>75664.67459</v>
      </c>
      <c r="M146" s="432">
        <f>500000*('Rate Design'!$G$5/100)+MIN(5500000,M26-500000)*('Rate Design'!$G$6/100)+MAX(0,M26-6000000)*('Rate Design'!$G$7/100)+'Rate Design'!$G$9+M90*'Rate Design'!$G$10-0.2*M63</f>
        <v>79916.22329</v>
      </c>
      <c r="N146" s="432">
        <f>500000*('Rate Design'!$G$5/100)+MIN(5500000,N26-500000)*('Rate Design'!$G$6/100)+MAX(0,N26-6000000)*('Rate Design'!$G$7/100)+'Rate Design'!$G$9+N90*'Rate Design'!$G$10-0.2*N63</f>
        <v>79918.116008</v>
      </c>
      <c r="O146" s="432">
        <f>500000*('Rate Design'!$G$5/100)+MIN(5500000,O26-500000)*('Rate Design'!$G$6/100)+MAX(0,O26-6000000)*('Rate Design'!$G$7/100)+'Rate Design'!$G$9+O90*'Rate Design'!$G$10-0.2*O63</f>
        <v>79142.15039</v>
      </c>
      <c r="P146" s="542">
        <f>SUM(D146:O146)</f>
        <v>954326.3333099999</v>
      </c>
      <c r="T146" s="769">
        <f t="shared" si="66"/>
        <v>0</v>
      </c>
    </row>
    <row r="147" spans="2:20" ht="12.75">
      <c r="B147" t="s">
        <v>365</v>
      </c>
      <c r="P147" s="43">
        <f>SUM(P124:P146)</f>
        <v>69248167.05750395</v>
      </c>
      <c r="Q147" s="542">
        <f ca="1">P147-'Pres &amp; Prop Rev'!G152</f>
        <v>0.0001039654016494751</v>
      </c>
      <c r="T147">
        <f>SUM(T124:T144)</f>
        <v>0</v>
      </c>
    </row>
    <row r="148" s="555" customFormat="1" ht="12.75">
      <c r="P148" s="542"/>
    </row>
    <row r="149" spans="1:21" s="555" customFormat="1" ht="12.75">
      <c r="A149" s="693"/>
      <c r="B149" s="642"/>
      <c r="C149" s="327"/>
      <c r="D149" s="432" t="e">
        <f>500000*('Rate Design'!$G$15/100)+MIN(5500000,#REF!-500000)*('Rate Design'!$G$16/100)+MAX(0,#REF!-6000000)*('Rate Design'!$G$17/100)+'Rate Design'!$G$31+#REF!*'Rate Design'!$G$32</f>
        <v>#REF!</v>
      </c>
      <c r="E149" s="432" t="e">
        <f>500000*('Rate Design'!$G$15/100)+MIN(5500000,#REF!-500000)*('Rate Design'!$G$16/100)+MAX(0,#REF!-6000000)*('Rate Design'!$G$17/100)+'Rate Design'!$G$31+#REF!*'Rate Design'!$G$32</f>
        <v>#REF!</v>
      </c>
      <c r="F149" s="432" t="e">
        <f>500000*('Rate Design'!$G$15/100)+MIN(5500000,#REF!-500000)*('Rate Design'!$G$16/100)+MAX(0,#REF!-6000000)*('Rate Design'!$G$17/100)+'Rate Design'!$G$31+#REF!*'Rate Design'!$G$32</f>
        <v>#REF!</v>
      </c>
      <c r="G149" s="727" t="e">
        <f>500000*('Rate Design'!$G$27/100)+MIN(5500000,#REF!-500000)*('Rate Design'!$G$28/100)+MAX(0,#REF!-6000000)*('Rate Design'!$G$29/100)+'Rate Design'!$G$31+#REF!*'Rate Design'!$G$32</f>
        <v>#REF!</v>
      </c>
      <c r="H149" s="727" t="e">
        <f>500000*('Rate Design'!$G$27/100)+MIN(5500000,#REF!-500000)*('Rate Design'!$G$28/100)+MAX(0,#REF!-6000000)*('Rate Design'!$G$29/100)+'Rate Design'!$G$31+#REF!*'Rate Design'!$G$32</f>
        <v>#REF!</v>
      </c>
      <c r="I149" s="727" t="e">
        <f>500000*('Rate Design'!$G$27/100)+MIN(5500000,#REF!-500000)*('Rate Design'!$G$28/100)+MAX(0,#REF!-6000000)*('Rate Design'!$G$29/100)+'Rate Design'!$G$31+#REF!*'Rate Design'!$G$32</f>
        <v>#REF!</v>
      </c>
      <c r="J149" s="727" t="e">
        <f>500000*('Rate Design'!$G$27/100)+MIN(5500000,#REF!-500000)*('Rate Design'!$G$28/100)+MAX(0,#REF!-6000000)*('Rate Design'!$G$29/100)+'Rate Design'!$G$31+#REF!*'Rate Design'!$G$32</f>
        <v>#REF!</v>
      </c>
      <c r="K149" s="727" t="e">
        <f>500000*('Rate Design'!$G$27/100)+MIN(5500000,#REF!-500000)*('Rate Design'!$G$28/100)+MAX(0,#REF!-6000000)*('Rate Design'!$G$29/100)+'Rate Design'!$G$31+#REF!*'Rate Design'!$G$32</f>
        <v>#REF!</v>
      </c>
      <c r="L149" s="727" t="e">
        <f>500000*('Rate Design'!$G$27/100)+MIN(5500000,#REF!-500000)*('Rate Design'!$G$28/100)+MAX(0,#REF!-6000000)*('Rate Design'!$G$29/100)+'Rate Design'!$G$31+#REF!*'Rate Design'!$G$32</f>
        <v>#REF!</v>
      </c>
      <c r="M149" s="727" t="e">
        <f>500000*('Rate Design'!$G$27/100)+MIN(5500000,#REF!-500000)*('Rate Design'!$G$28/100)+MAX(0,#REF!-6000000)*('Rate Design'!$G$29/100)+'Rate Design'!$G$31+#REF!*'Rate Design'!$G$32</f>
        <v>#REF!</v>
      </c>
      <c r="N149" s="727" t="e">
        <f>500000*('Rate Design'!$G$27/100)+MIN(5500000,#REF!-500000)*('Rate Design'!$G$28/100)+MAX(0,#REF!-6000000)*('Rate Design'!$G$29/100)+'Rate Design'!$G$31+#REF!*'Rate Design'!$G$32</f>
        <v>#REF!</v>
      </c>
      <c r="O149" s="727" t="e">
        <f>500000*('Rate Design'!$G$27/100)+MIN(5500000,#REF!-500000)*('Rate Design'!$G$28/100)+MAX(0,#REF!-6000000)*('Rate Design'!$G$29/100)+'Rate Design'!$G$31+#REF!*'Rate Design'!$G$32</f>
        <v>#REF!</v>
      </c>
      <c r="P149" s="542" t="e">
        <f>SUM(D149:O149)</f>
        <v>#REF!</v>
      </c>
      <c r="Q149" s="693"/>
      <c r="R149" s="693"/>
      <c r="S149" s="693"/>
      <c r="T149" s="693"/>
      <c r="U149" s="693" t="e">
        <f>IF(P149&lt;RD!M52,RD!M52-P149,0)</f>
        <v>#REF!</v>
      </c>
    </row>
    <row r="150" s="555" customFormat="1" ht="12.75">
      <c r="P150" s="542"/>
    </row>
    <row r="151" spans="1:16" ht="12.75">
      <c r="A151" s="540"/>
      <c r="B151" s="540"/>
      <c r="C151" s="540"/>
      <c r="D151" s="540">
        <v>24</v>
      </c>
      <c r="E151" s="540">
        <v>24</v>
      </c>
      <c r="F151" s="540">
        <v>24</v>
      </c>
      <c r="G151" s="540">
        <v>24</v>
      </c>
      <c r="H151" s="540">
        <v>24</v>
      </c>
      <c r="I151" s="540">
        <v>24</v>
      </c>
      <c r="J151" s="540">
        <v>24</v>
      </c>
      <c r="K151" s="540">
        <v>24</v>
      </c>
      <c r="L151" s="540">
        <v>24</v>
      </c>
      <c r="M151" s="540">
        <v>24</v>
      </c>
      <c r="N151" s="540">
        <v>24</v>
      </c>
      <c r="O151" s="540">
        <v>24</v>
      </c>
      <c r="P151" s="600"/>
    </row>
    <row r="152" spans="1:16" ht="12.75">
      <c r="A152" s="540"/>
      <c r="B152" s="540"/>
      <c r="C152" s="540"/>
      <c r="D152" s="540">
        <v>31</v>
      </c>
      <c r="E152" s="540">
        <v>30</v>
      </c>
      <c r="F152" s="540">
        <v>31</v>
      </c>
      <c r="G152" s="540">
        <v>31</v>
      </c>
      <c r="H152" s="540">
        <v>28</v>
      </c>
      <c r="I152" s="540">
        <v>31</v>
      </c>
      <c r="J152" s="540">
        <v>30</v>
      </c>
      <c r="K152" s="540">
        <v>31</v>
      </c>
      <c r="L152" s="540">
        <v>30</v>
      </c>
      <c r="M152" s="540">
        <v>31</v>
      </c>
      <c r="N152" s="540">
        <v>31</v>
      </c>
      <c r="O152" s="540">
        <v>30</v>
      </c>
      <c r="P152" s="600">
        <f>SUM(D152:O152)</f>
        <v>365</v>
      </c>
    </row>
    <row r="153" spans="1:16" ht="12.75">
      <c r="A153" s="540"/>
      <c r="B153" s="540"/>
      <c r="C153" s="540"/>
      <c r="D153" s="540">
        <f>D151*D152</f>
        <v>744</v>
      </c>
      <c r="E153" s="600">
        <f>E151*E152</f>
        <v>720</v>
      </c>
      <c r="F153" s="600">
        <f aca="true" t="shared" si="67" ref="F153:O153">F151*F152</f>
        <v>744</v>
      </c>
      <c r="G153" s="600">
        <f t="shared" si="67"/>
        <v>744</v>
      </c>
      <c r="H153" s="600">
        <f t="shared" si="67"/>
        <v>672</v>
      </c>
      <c r="I153" s="600">
        <f t="shared" si="67"/>
        <v>744</v>
      </c>
      <c r="J153" s="600">
        <f t="shared" si="67"/>
        <v>720</v>
      </c>
      <c r="K153" s="600">
        <f t="shared" si="67"/>
        <v>744</v>
      </c>
      <c r="L153" s="600">
        <f t="shared" si="67"/>
        <v>720</v>
      </c>
      <c r="M153" s="600">
        <f t="shared" si="67"/>
        <v>744</v>
      </c>
      <c r="N153" s="600">
        <f t="shared" si="67"/>
        <v>744</v>
      </c>
      <c r="O153" s="600">
        <f t="shared" si="67"/>
        <v>720</v>
      </c>
      <c r="P153" s="540">
        <f>SUM(D153:O153)</f>
        <v>8760</v>
      </c>
    </row>
    <row r="154" spans="1:17" ht="12.75">
      <c r="A154" s="540"/>
      <c r="B154" s="543" t="s">
        <v>569</v>
      </c>
      <c r="C154" s="540"/>
      <c r="D154" s="544">
        <f aca="true" t="shared" si="68" ref="D154:O154">D3</f>
        <v>43466</v>
      </c>
      <c r="E154" s="569">
        <f t="shared" si="68"/>
        <v>43497</v>
      </c>
      <c r="F154" s="569">
        <f t="shared" si="68"/>
        <v>43525</v>
      </c>
      <c r="G154" s="569">
        <f t="shared" si="68"/>
        <v>43556</v>
      </c>
      <c r="H154" s="569">
        <f t="shared" si="68"/>
        <v>43586</v>
      </c>
      <c r="I154" s="569">
        <f t="shared" si="68"/>
        <v>43617</v>
      </c>
      <c r="J154" s="569">
        <f t="shared" si="68"/>
        <v>43647</v>
      </c>
      <c r="K154" s="569">
        <f t="shared" si="68"/>
        <v>43678</v>
      </c>
      <c r="L154" s="569">
        <f t="shared" si="68"/>
        <v>43709</v>
      </c>
      <c r="M154" s="569">
        <f t="shared" si="68"/>
        <v>43739</v>
      </c>
      <c r="N154" s="569">
        <f t="shared" si="68"/>
        <v>43770</v>
      </c>
      <c r="O154" s="569">
        <f t="shared" si="68"/>
        <v>43800</v>
      </c>
      <c r="P154" s="541" t="s">
        <v>570</v>
      </c>
      <c r="Q154" s="540" t="s">
        <v>571</v>
      </c>
    </row>
    <row r="155" spans="1:17" ht="12.75">
      <c r="A155" s="540">
        <v>1</v>
      </c>
      <c r="B155" s="641" t="s">
        <v>75</v>
      </c>
      <c r="C155" s="540"/>
      <c r="D155" s="545">
        <f aca="true" t="shared" si="69" ref="D155:O155">(D4/D$153)/D41</f>
        <v>0.7692798631195285</v>
      </c>
      <c r="E155" s="545">
        <f t="shared" si="69"/>
        <v>0.6186955875946766</v>
      </c>
      <c r="F155" s="545">
        <f t="shared" si="69"/>
        <v>0.7117728382395948</v>
      </c>
      <c r="G155" s="545">
        <f t="shared" si="69"/>
        <v>0.6213656389012508</v>
      </c>
      <c r="H155" s="545">
        <f t="shared" si="69"/>
        <v>0.4953523000887087</v>
      </c>
      <c r="I155" s="545">
        <f t="shared" si="69"/>
        <v>0.7633077775321133</v>
      </c>
      <c r="J155" s="545">
        <f t="shared" si="69"/>
        <v>0.8214889892592112</v>
      </c>
      <c r="K155" s="545">
        <f t="shared" si="69"/>
        <v>0.7987884780217211</v>
      </c>
      <c r="L155" s="545">
        <f t="shared" si="69"/>
        <v>0.8305807433307256</v>
      </c>
      <c r="M155" s="545">
        <f t="shared" si="69"/>
        <v>0.5848321622906848</v>
      </c>
      <c r="N155" s="545">
        <f t="shared" si="69"/>
        <v>0.7174474287626755</v>
      </c>
      <c r="O155" s="545">
        <f t="shared" si="69"/>
        <v>0.6914943648797046</v>
      </c>
      <c r="P155" s="546">
        <f>AVERAGE(D155:O155)</f>
        <v>0.7020338476683828</v>
      </c>
      <c r="Q155" s="546">
        <f aca="true" t="shared" si="70" ref="Q155:Q175">(P4/8760)/Q41</f>
        <v>0.40112624925569795</v>
      </c>
    </row>
    <row r="156" spans="1:17" ht="12.75">
      <c r="A156" s="540">
        <v>2</v>
      </c>
      <c r="B156" s="641" t="s">
        <v>76</v>
      </c>
      <c r="C156" s="540"/>
      <c r="D156" s="545">
        <f aca="true" t="shared" si="71" ref="D156:O156">(D5/D$153)/D42</f>
        <v>0.6098584201379064</v>
      </c>
      <c r="E156" s="545">
        <f t="shared" si="71"/>
        <v>0.7475576411412448</v>
      </c>
      <c r="F156" s="545">
        <f t="shared" si="71"/>
        <v>0.7820174323628019</v>
      </c>
      <c r="G156" s="545">
        <f t="shared" si="71"/>
        <v>0.788907778102455</v>
      </c>
      <c r="H156" s="545">
        <f t="shared" si="71"/>
        <v>0.8772363451698836</v>
      </c>
      <c r="I156" s="545">
        <f t="shared" si="71"/>
        <v>0.7625256187973481</v>
      </c>
      <c r="J156" s="545">
        <f t="shared" si="71"/>
        <v>0.7802732242477871</v>
      </c>
      <c r="K156" s="545">
        <f t="shared" si="71"/>
        <v>0.7924798894913743</v>
      </c>
      <c r="L156" s="545">
        <f t="shared" si="71"/>
        <v>0.7657334597420197</v>
      </c>
      <c r="M156" s="545">
        <f t="shared" si="71"/>
        <v>0.7868518910628498</v>
      </c>
      <c r="N156" s="545">
        <f t="shared" si="71"/>
        <v>0.7479494486495148</v>
      </c>
      <c r="O156" s="545">
        <f t="shared" si="71"/>
        <v>0.5656909692326544</v>
      </c>
      <c r="P156" s="546">
        <f aca="true" t="shared" si="72" ref="P156:P175">AVERAGE(D156:O156)</f>
        <v>0.7505901765114866</v>
      </c>
      <c r="Q156" s="546">
        <f t="shared" si="70"/>
        <v>0.7039478220668157</v>
      </c>
    </row>
    <row r="157" spans="1:17" ht="12.75">
      <c r="A157" s="540">
        <v>3</v>
      </c>
      <c r="B157" s="641" t="s">
        <v>77</v>
      </c>
      <c r="C157" s="540"/>
      <c r="D157" s="545">
        <f aca="true" t="shared" si="73" ref="D157:O157">(D6/D$153)/D43</f>
        <v>0.653190996210364</v>
      </c>
      <c r="E157" s="545">
        <f t="shared" si="73"/>
        <v>0.6327470425217264</v>
      </c>
      <c r="F157" s="545">
        <f t="shared" si="73"/>
        <v>0.6580303143171667</v>
      </c>
      <c r="G157" s="545">
        <f t="shared" si="73"/>
        <v>0.6166869611869342</v>
      </c>
      <c r="H157" s="545">
        <f t="shared" si="73"/>
        <v>0.7224917105931644</v>
      </c>
      <c r="I157" s="545">
        <f t="shared" si="73"/>
        <v>0.6413329183118467</v>
      </c>
      <c r="J157" s="545">
        <f t="shared" si="73"/>
        <v>0.6700715582119996</v>
      </c>
      <c r="K157" s="545">
        <f t="shared" si="73"/>
        <v>0.587806472957227</v>
      </c>
      <c r="L157" s="545">
        <f t="shared" si="73"/>
        <v>0.643177147193389</v>
      </c>
      <c r="M157" s="545">
        <f t="shared" si="73"/>
        <v>0.6636172949179003</v>
      </c>
      <c r="N157" s="545">
        <f t="shared" si="73"/>
        <v>0.6049541805753533</v>
      </c>
      <c r="O157" s="545">
        <f t="shared" si="73"/>
        <v>0.6208417024047624</v>
      </c>
      <c r="P157" s="546">
        <f t="shared" si="72"/>
        <v>0.6429123582834861</v>
      </c>
      <c r="Q157" s="546">
        <f t="shared" si="70"/>
        <v>0.5709138328455101</v>
      </c>
    </row>
    <row r="158" spans="1:17" ht="12.75">
      <c r="A158" s="540">
        <v>4</v>
      </c>
      <c r="B158" s="641" t="s">
        <v>78</v>
      </c>
      <c r="C158" s="540"/>
      <c r="D158" s="545">
        <f aca="true" t="shared" si="74" ref="D158:O158">(D7/D$153)/D44</f>
        <v>0.6550753278953546</v>
      </c>
      <c r="E158" s="545">
        <f t="shared" si="74"/>
        <v>0.6439330744399698</v>
      </c>
      <c r="F158" s="545">
        <f t="shared" si="74"/>
        <v>0.6991014160563116</v>
      </c>
      <c r="G158" s="545">
        <f t="shared" si="74"/>
        <v>0.6657529056002995</v>
      </c>
      <c r="H158" s="545">
        <f t="shared" si="74"/>
        <v>0.7593775024734987</v>
      </c>
      <c r="I158" s="545">
        <f t="shared" si="74"/>
        <v>0.608306487751627</v>
      </c>
      <c r="J158" s="545">
        <f t="shared" si="74"/>
        <v>0.6801755835680483</v>
      </c>
      <c r="K158" s="545">
        <f t="shared" si="74"/>
        <v>0.6450582080301301</v>
      </c>
      <c r="L158" s="545">
        <f t="shared" si="74"/>
        <v>0.6519153015255921</v>
      </c>
      <c r="M158" s="545">
        <f t="shared" si="74"/>
        <v>0.6906387008929391</v>
      </c>
      <c r="N158" s="545">
        <f t="shared" si="74"/>
        <v>0.6475919220574596</v>
      </c>
      <c r="O158" s="545">
        <f t="shared" si="74"/>
        <v>0.6674289984852133</v>
      </c>
      <c r="P158" s="546">
        <f t="shared" si="72"/>
        <v>0.667862952398037</v>
      </c>
      <c r="Q158" s="546">
        <f t="shared" si="70"/>
        <v>0.5999709327835778</v>
      </c>
    </row>
    <row r="159" spans="1:17" ht="12.75">
      <c r="A159" s="540">
        <v>5</v>
      </c>
      <c r="B159" s="641" t="s">
        <v>79</v>
      </c>
      <c r="C159" s="540"/>
      <c r="D159" s="545">
        <f aca="true" t="shared" si="75" ref="D159:O159">(D8/D$153)/D45</f>
        <v>0.8176051230508363</v>
      </c>
      <c r="E159" s="545">
        <f t="shared" si="75"/>
        <v>0.7554338537892564</v>
      </c>
      <c r="F159" s="545">
        <f t="shared" si="75"/>
        <v>0.7962224789319323</v>
      </c>
      <c r="G159" s="545">
        <f t="shared" si="75"/>
        <v>0.6994950860057517</v>
      </c>
      <c r="H159" s="545">
        <f t="shared" si="75"/>
        <v>0.8121369920764807</v>
      </c>
      <c r="I159" s="545">
        <f t="shared" si="75"/>
        <v>0.6755817186956156</v>
      </c>
      <c r="J159" s="545">
        <f t="shared" si="75"/>
        <v>0.7339405752746683</v>
      </c>
      <c r="K159" s="545">
        <f t="shared" si="75"/>
        <v>0.7592692479458041</v>
      </c>
      <c r="L159" s="545">
        <f t="shared" si="75"/>
        <v>0.6881115475506163</v>
      </c>
      <c r="M159" s="545">
        <f t="shared" si="75"/>
        <v>0.8083894283096948</v>
      </c>
      <c r="N159" s="545">
        <f t="shared" si="75"/>
        <v>0.7606518711586667</v>
      </c>
      <c r="O159" s="545">
        <f t="shared" si="75"/>
        <v>0.8172449098911747</v>
      </c>
      <c r="P159" s="546">
        <f t="shared" si="72"/>
        <v>0.7603402360567082</v>
      </c>
      <c r="Q159" s="546">
        <f t="shared" si="70"/>
        <v>0.6194109137951682</v>
      </c>
    </row>
    <row r="160" spans="1:17" ht="12.75">
      <c r="A160" s="540">
        <v>6</v>
      </c>
      <c r="B160" s="641" t="s">
        <v>80</v>
      </c>
      <c r="C160" s="540"/>
      <c r="D160" s="545">
        <f aca="true" t="shared" si="76" ref="D160:O160">(D9/D$153)/D46</f>
        <v>0.6598955493099544</v>
      </c>
      <c r="E160" s="545">
        <f t="shared" si="76"/>
        <v>0.7237658540867</v>
      </c>
      <c r="F160" s="545">
        <f t="shared" si="76"/>
        <v>0.6847752097193505</v>
      </c>
      <c r="G160" s="545">
        <f t="shared" si="76"/>
        <v>0.645260258459429</v>
      </c>
      <c r="H160" s="545">
        <f t="shared" si="76"/>
        <v>0.5645773150564671</v>
      </c>
      <c r="I160" s="545">
        <f t="shared" si="76"/>
        <v>0.48497288852147835</v>
      </c>
      <c r="J160" s="545">
        <f t="shared" si="76"/>
        <v>0.5316400560426103</v>
      </c>
      <c r="K160" s="545">
        <f t="shared" si="76"/>
        <v>0.503383580970964</v>
      </c>
      <c r="L160" s="545">
        <f t="shared" si="76"/>
        <v>0.5228127338814568</v>
      </c>
      <c r="M160" s="545">
        <f t="shared" si="76"/>
        <v>0.6988839587198645</v>
      </c>
      <c r="N160" s="545">
        <f t="shared" si="76"/>
        <v>0.6434924589527417</v>
      </c>
      <c r="O160" s="545">
        <f t="shared" si="76"/>
        <v>0.6609756809437809</v>
      </c>
      <c r="P160" s="546">
        <f t="shared" si="72"/>
        <v>0.6103696287220665</v>
      </c>
      <c r="Q160" s="546">
        <f t="shared" si="70"/>
        <v>0.5157464085909779</v>
      </c>
    </row>
    <row r="161" spans="1:17" ht="12.75">
      <c r="A161" s="540">
        <v>7</v>
      </c>
      <c r="B161" s="641" t="s">
        <v>81</v>
      </c>
      <c r="C161" s="540"/>
      <c r="D161" s="545">
        <f aca="true" t="shared" si="77" ref="D161:O161">(D10/D$153)/D47</f>
        <v>0.5821913110770223</v>
      </c>
      <c r="E161" s="545">
        <f t="shared" si="77"/>
        <v>0.5343509079850304</v>
      </c>
      <c r="F161" s="545">
        <f t="shared" si="77"/>
        <v>0.5761949148866669</v>
      </c>
      <c r="G161" s="545">
        <f t="shared" si="77"/>
        <v>0.5409403397548206</v>
      </c>
      <c r="H161" s="545">
        <f t="shared" si="77"/>
        <v>0.6266463163614672</v>
      </c>
      <c r="I161" s="545">
        <f t="shared" si="77"/>
        <v>0.5358124340011527</v>
      </c>
      <c r="J161" s="545">
        <f t="shared" si="77"/>
        <v>0.5663480962992311</v>
      </c>
      <c r="K161" s="545">
        <f t="shared" si="77"/>
        <v>0.5500342313219793</v>
      </c>
      <c r="L161" s="545">
        <f t="shared" si="77"/>
        <v>0.5427054140976377</v>
      </c>
      <c r="M161" s="545">
        <f t="shared" si="77"/>
        <v>0.5527576871686231</v>
      </c>
      <c r="N161" s="545">
        <f t="shared" si="77"/>
        <v>0.5469062813898706</v>
      </c>
      <c r="O161" s="545">
        <f t="shared" si="77"/>
        <v>0.5569511411495879</v>
      </c>
      <c r="P161" s="546">
        <f t="shared" si="72"/>
        <v>0.5593199229577575</v>
      </c>
      <c r="Q161" s="546">
        <f t="shared" si="70"/>
        <v>0.48994134761295777</v>
      </c>
    </row>
    <row r="162" spans="1:17" ht="12.75">
      <c r="A162" s="540">
        <v>8</v>
      </c>
      <c r="B162" s="641" t="s">
        <v>94</v>
      </c>
      <c r="C162" s="540"/>
      <c r="D162" s="545">
        <f aca="true" t="shared" si="78" ref="D162:O162">(D11/D$153)/D48</f>
        <v>0.32945648205827727</v>
      </c>
      <c r="E162" s="545">
        <f t="shared" si="78"/>
        <v>0.30927803051723074</v>
      </c>
      <c r="F162" s="545">
        <f t="shared" si="78"/>
        <v>0.34017264678460607</v>
      </c>
      <c r="G162" s="545">
        <f t="shared" si="78"/>
        <v>0.3343055622813022</v>
      </c>
      <c r="H162" s="545">
        <f t="shared" si="78"/>
        <v>0.38916884067810925</v>
      </c>
      <c r="I162" s="545">
        <f t="shared" si="78"/>
        <v>0.34753162053998155</v>
      </c>
      <c r="J162" s="545">
        <f t="shared" si="78"/>
        <v>0.3624397851771406</v>
      </c>
      <c r="K162" s="545">
        <f t="shared" si="78"/>
        <v>0.3594390273633016</v>
      </c>
      <c r="L162" s="545">
        <f t="shared" si="78"/>
        <v>0.3310440092790983</v>
      </c>
      <c r="M162" s="545">
        <f t="shared" si="78"/>
        <v>0.35877863454160486</v>
      </c>
      <c r="N162" s="545">
        <f t="shared" si="78"/>
        <v>0.30845237787259394</v>
      </c>
      <c r="O162" s="545">
        <f t="shared" si="78"/>
        <v>0.32903756318995747</v>
      </c>
      <c r="P162" s="546">
        <f t="shared" si="72"/>
        <v>0.3415920483569337</v>
      </c>
      <c r="Q162" s="546">
        <f t="shared" si="70"/>
        <v>0.33415687559752394</v>
      </c>
    </row>
    <row r="163" spans="1:17" ht="12.75">
      <c r="A163" s="540">
        <v>9</v>
      </c>
      <c r="B163" s="641" t="s">
        <v>345</v>
      </c>
      <c r="C163" s="540"/>
      <c r="D163" s="545">
        <f aca="true" t="shared" si="79" ref="D163:O163">(D12/D$153)/D49</f>
        <v>0.8530168176978474</v>
      </c>
      <c r="E163" s="545">
        <f t="shared" si="79"/>
        <v>0.8324091203903402</v>
      </c>
      <c r="F163" s="545">
        <f t="shared" si="79"/>
        <v>0.780813918585065</v>
      </c>
      <c r="G163" s="545">
        <f t="shared" si="79"/>
        <v>0.7591781029878027</v>
      </c>
      <c r="H163" s="545">
        <f t="shared" si="79"/>
        <v>0.9653370269267793</v>
      </c>
      <c r="I163" s="545">
        <f t="shared" si="79"/>
        <v>0.8422406686351529</v>
      </c>
      <c r="J163" s="545">
        <f t="shared" si="79"/>
        <v>0.9185852103161322</v>
      </c>
      <c r="K163" s="545">
        <f t="shared" si="79"/>
        <v>0.8674261660624527</v>
      </c>
      <c r="L163" s="545">
        <f t="shared" si="79"/>
        <v>0.8889305558548211</v>
      </c>
      <c r="M163" s="545">
        <f t="shared" si="79"/>
        <v>0.8903572927666472</v>
      </c>
      <c r="N163" s="545">
        <f t="shared" si="79"/>
        <v>0.7306080964437487</v>
      </c>
      <c r="O163" s="545">
        <f t="shared" si="79"/>
        <v>0.9007835028296981</v>
      </c>
      <c r="P163" s="546">
        <f t="shared" si="72"/>
        <v>0.852473873291374</v>
      </c>
      <c r="Q163" s="546">
        <f t="shared" si="70"/>
        <v>0.8188560995197687</v>
      </c>
    </row>
    <row r="164" spans="1:17" ht="12.75">
      <c r="A164" s="540">
        <v>10</v>
      </c>
      <c r="B164" s="641" t="s">
        <v>82</v>
      </c>
      <c r="C164" s="540"/>
      <c r="D164" s="545">
        <f aca="true" t="shared" si="80" ref="D164:O164">(D13/D$153)/D50</f>
        <v>0.7681064653830377</v>
      </c>
      <c r="E164" s="545">
        <f t="shared" si="80"/>
        <v>0.6930478531678429</v>
      </c>
      <c r="F164" s="545">
        <f t="shared" si="80"/>
        <v>0.8590301959435843</v>
      </c>
      <c r="G164" s="545">
        <f t="shared" si="80"/>
        <v>0.6593992974069955</v>
      </c>
      <c r="H164" s="545">
        <f t="shared" si="80"/>
        <v>0.9766798580764947</v>
      </c>
      <c r="I164" s="545">
        <f t="shared" si="80"/>
        <v>0.8512699091964848</v>
      </c>
      <c r="J164" s="545">
        <f t="shared" si="80"/>
        <v>0.9153227662504937</v>
      </c>
      <c r="K164" s="545">
        <f t="shared" si="80"/>
        <v>0.8855101531599179</v>
      </c>
      <c r="L164" s="545">
        <f t="shared" si="80"/>
        <v>0.8914131169948885</v>
      </c>
      <c r="M164" s="545">
        <f t="shared" si="80"/>
        <v>0.8569612182104221</v>
      </c>
      <c r="N164" s="545">
        <f t="shared" si="80"/>
        <v>0.7859412829258011</v>
      </c>
      <c r="O164" s="545">
        <f t="shared" si="80"/>
        <v>0.801102828494922</v>
      </c>
      <c r="P164" s="546">
        <f t="shared" si="72"/>
        <v>0.8286487454342405</v>
      </c>
      <c r="Q164" s="546">
        <f t="shared" si="70"/>
        <v>0.7389778433164707</v>
      </c>
    </row>
    <row r="165" spans="1:17" ht="12.75">
      <c r="A165" s="540">
        <v>11</v>
      </c>
      <c r="B165" s="641" t="s">
        <v>83</v>
      </c>
      <c r="C165" s="540"/>
      <c r="D165" s="545">
        <f aca="true" t="shared" si="81" ref="D165:O165">(D14/D$153)/D51</f>
        <v>0.8951310269451321</v>
      </c>
      <c r="E165" s="545">
        <f t="shared" si="81"/>
        <v>0.7572721023402755</v>
      </c>
      <c r="F165" s="545">
        <f t="shared" si="81"/>
        <v>0.8320040182345518</v>
      </c>
      <c r="G165" s="545">
        <f t="shared" si="81"/>
        <v>0.489614149353244</v>
      </c>
      <c r="H165" s="545">
        <f t="shared" si="81"/>
        <v>0.9243966037437578</v>
      </c>
      <c r="I165" s="545">
        <f t="shared" si="81"/>
        <v>0.7811434272011276</v>
      </c>
      <c r="J165" s="545">
        <f t="shared" si="81"/>
        <v>0.8577433158577522</v>
      </c>
      <c r="K165" s="545">
        <f t="shared" si="81"/>
        <v>0.8300966131175769</v>
      </c>
      <c r="L165" s="545">
        <f t="shared" si="81"/>
        <v>0.7971982281003861</v>
      </c>
      <c r="M165" s="545">
        <f t="shared" si="81"/>
        <v>0.7976682383419123</v>
      </c>
      <c r="N165" s="545">
        <f t="shared" si="81"/>
        <v>0.4919556425491236</v>
      </c>
      <c r="O165" s="545">
        <f t="shared" si="81"/>
        <v>0.7318817677436358</v>
      </c>
      <c r="P165" s="546">
        <f t="shared" si="72"/>
        <v>0.7655087611273731</v>
      </c>
      <c r="Q165" s="546">
        <f t="shared" si="70"/>
        <v>0.7241730605646235</v>
      </c>
    </row>
    <row r="166" spans="1:17" ht="12.75">
      <c r="A166" s="540">
        <v>12</v>
      </c>
      <c r="B166" s="641" t="s">
        <v>84</v>
      </c>
      <c r="C166" s="540"/>
      <c r="D166" s="545">
        <f aca="true" t="shared" si="82" ref="D166:O166">(D15/D$153)/D52</f>
        <v>0.8488871193699753</v>
      </c>
      <c r="E166" s="545">
        <f t="shared" si="82"/>
        <v>0.8075287903723267</v>
      </c>
      <c r="F166" s="545">
        <f t="shared" si="82"/>
        <v>0.7573376769217747</v>
      </c>
      <c r="G166" s="545">
        <f t="shared" si="82"/>
        <v>0.700990586889498</v>
      </c>
      <c r="H166" s="545">
        <f t="shared" si="82"/>
        <v>0.8155944578441854</v>
      </c>
      <c r="I166" s="545">
        <f t="shared" si="82"/>
        <v>0.7038913458012781</v>
      </c>
      <c r="J166" s="545">
        <f t="shared" si="82"/>
        <v>0.7765827490411571</v>
      </c>
      <c r="K166" s="545">
        <f t="shared" si="82"/>
        <v>0.7602458536117233</v>
      </c>
      <c r="L166" s="545">
        <f t="shared" si="82"/>
        <v>0.7173408838139528</v>
      </c>
      <c r="M166" s="545">
        <f t="shared" si="82"/>
        <v>0.7426898349530259</v>
      </c>
      <c r="N166" s="545">
        <f t="shared" si="82"/>
        <v>0.8188733634270181</v>
      </c>
      <c r="O166" s="545">
        <f t="shared" si="82"/>
        <v>0.8738101752140611</v>
      </c>
      <c r="P166" s="546">
        <f t="shared" si="72"/>
        <v>0.7769810697716646</v>
      </c>
      <c r="Q166" s="546">
        <f t="shared" si="70"/>
        <v>0.6291568184803753</v>
      </c>
    </row>
    <row r="167" spans="1:17" ht="12.75">
      <c r="A167" s="540">
        <v>13</v>
      </c>
      <c r="B167" s="641" t="s">
        <v>85</v>
      </c>
      <c r="C167" s="540"/>
      <c r="D167" s="545">
        <f aca="true" t="shared" si="83" ref="D167:O167">(D16/D$153)/D53</f>
        <v>0.6780056828981383</v>
      </c>
      <c r="E167" s="545">
        <f t="shared" si="83"/>
        <v>0.6460398440656674</v>
      </c>
      <c r="F167" s="545">
        <f t="shared" si="83"/>
        <v>0.6795451948665994</v>
      </c>
      <c r="G167" s="545">
        <f t="shared" si="83"/>
        <v>0.5817490201617479</v>
      </c>
      <c r="H167" s="545">
        <f t="shared" si="83"/>
        <v>0.6646109270286501</v>
      </c>
      <c r="I167" s="545">
        <f t="shared" si="83"/>
        <v>0.5678102199632995</v>
      </c>
      <c r="J167" s="545">
        <f t="shared" si="83"/>
        <v>0.6093590795971283</v>
      </c>
      <c r="K167" s="545">
        <f t="shared" si="83"/>
        <v>0.5898962630649758</v>
      </c>
      <c r="L167" s="545">
        <f t="shared" si="83"/>
        <v>0.5730766355340919</v>
      </c>
      <c r="M167" s="545">
        <f t="shared" si="83"/>
        <v>0.5997105774774087</v>
      </c>
      <c r="N167" s="545">
        <f t="shared" si="83"/>
        <v>0.6610017963311433</v>
      </c>
      <c r="O167" s="545">
        <f t="shared" si="83"/>
        <v>0.6983735794973266</v>
      </c>
      <c r="P167" s="546">
        <f t="shared" si="72"/>
        <v>0.6290982350405149</v>
      </c>
      <c r="Q167" s="546">
        <f t="shared" si="70"/>
        <v>0.5053377900626084</v>
      </c>
    </row>
    <row r="168" spans="1:17" ht="12.75">
      <c r="A168" s="540">
        <v>14</v>
      </c>
      <c r="B168" s="641" t="s">
        <v>86</v>
      </c>
      <c r="C168" s="540"/>
      <c r="D168" s="545">
        <f aca="true" t="shared" si="84" ref="D168:O168">(D17/D$153)/D54</f>
        <v>0.2365062522931686</v>
      </c>
      <c r="E168" s="545">
        <f t="shared" si="84"/>
        <v>0.22293287308252466</v>
      </c>
      <c r="F168" s="545">
        <f t="shared" si="84"/>
        <v>0.22210171816410404</v>
      </c>
      <c r="G168" s="545">
        <f t="shared" si="84"/>
        <v>0.23060570885672824</v>
      </c>
      <c r="H168" s="545">
        <f t="shared" si="84"/>
        <v>0.24997168414646512</v>
      </c>
      <c r="I168" s="545">
        <f t="shared" si="84"/>
        <v>0.20824977519251017</v>
      </c>
      <c r="J168" s="545">
        <f t="shared" si="84"/>
        <v>0.22475227502527803</v>
      </c>
      <c r="K168" s="545">
        <f t="shared" si="84"/>
        <v>0.20708910370522057</v>
      </c>
      <c r="L168" s="545">
        <f t="shared" si="84"/>
        <v>0.20623173697780342</v>
      </c>
      <c r="M168" s="545">
        <f t="shared" si="84"/>
        <v>0.222235354763139</v>
      </c>
      <c r="N168" s="545">
        <f t="shared" si="84"/>
        <v>0.16614500885567102</v>
      </c>
      <c r="O168" s="545">
        <f t="shared" si="84"/>
        <v>0.19915401621593654</v>
      </c>
      <c r="P168" s="546">
        <f t="shared" si="72"/>
        <v>0.21633129227321243</v>
      </c>
      <c r="Q168" s="546">
        <f t="shared" si="70"/>
        <v>0.20719848238663507</v>
      </c>
    </row>
    <row r="169" spans="1:17" ht="12.75">
      <c r="A169" s="540">
        <v>15</v>
      </c>
      <c r="B169" s="641" t="s">
        <v>87</v>
      </c>
      <c r="C169" s="540"/>
      <c r="D169" s="545">
        <f aca="true" t="shared" si="85" ref="D169:O169">(D18/D$153)/D55</f>
        <v>0.5845967021979342</v>
      </c>
      <c r="E169" s="545">
        <f t="shared" si="85"/>
        <v>0.5288075925018599</v>
      </c>
      <c r="F169" s="545">
        <f t="shared" si="85"/>
        <v>0.5539440382951316</v>
      </c>
      <c r="G169" s="545">
        <f t="shared" si="85"/>
        <v>0.5314411817604349</v>
      </c>
      <c r="H169" s="545">
        <f t="shared" si="85"/>
        <v>0.5391723544883542</v>
      </c>
      <c r="I169" s="545">
        <f t="shared" si="85"/>
        <v>0.5057151437387812</v>
      </c>
      <c r="J169" s="545">
        <f t="shared" si="85"/>
        <v>0.5391134815128893</v>
      </c>
      <c r="K169" s="545">
        <f t="shared" si="85"/>
        <v>0.5245459368057009</v>
      </c>
      <c r="L169" s="545">
        <f t="shared" si="85"/>
        <v>0.4573118760252434</v>
      </c>
      <c r="M169" s="545">
        <f t="shared" si="85"/>
        <v>0.5057735578353839</v>
      </c>
      <c r="N169" s="545">
        <f t="shared" si="85"/>
        <v>0.5438367610764305</v>
      </c>
      <c r="O169" s="545">
        <f t="shared" si="85"/>
        <v>0.5216984995538649</v>
      </c>
      <c r="P169" s="546">
        <f t="shared" si="72"/>
        <v>0.5279964271493341</v>
      </c>
      <c r="Q169" s="546">
        <f t="shared" si="70"/>
        <v>0.4533378138193286</v>
      </c>
    </row>
    <row r="170" spans="1:17" ht="12.75">
      <c r="A170" s="540">
        <v>16</v>
      </c>
      <c r="B170" s="641" t="s">
        <v>88</v>
      </c>
      <c r="C170" s="540"/>
      <c r="D170" s="545">
        <f aca="true" t="shared" si="86" ref="D170:O170">(D19/D$153)/D56</f>
        <v>0.6530859548392066</v>
      </c>
      <c r="E170" s="545">
        <f t="shared" si="86"/>
        <v>0.6219616239125612</v>
      </c>
      <c r="F170" s="545">
        <f t="shared" si="86"/>
        <v>0.6355935655490033</v>
      </c>
      <c r="G170" s="545">
        <f t="shared" si="86"/>
        <v>0.5938878187041853</v>
      </c>
      <c r="H170" s="545">
        <f t="shared" si="86"/>
        <v>0.604889052993804</v>
      </c>
      <c r="I170" s="545">
        <f t="shared" si="86"/>
        <v>0.6014026407304379</v>
      </c>
      <c r="J170" s="545">
        <f t="shared" si="86"/>
        <v>0.6425573081766066</v>
      </c>
      <c r="K170" s="545">
        <f t="shared" si="86"/>
        <v>0.5937246423802469</v>
      </c>
      <c r="L170" s="545">
        <f t="shared" si="86"/>
        <v>0.5433858757542642</v>
      </c>
      <c r="M170" s="545">
        <f t="shared" si="86"/>
        <v>0.6470002253848587</v>
      </c>
      <c r="N170" s="545">
        <f t="shared" si="86"/>
        <v>0.6126217112440888</v>
      </c>
      <c r="O170" s="545">
        <f t="shared" si="86"/>
        <v>0.6433106121801122</v>
      </c>
      <c r="P170" s="546">
        <f t="shared" si="72"/>
        <v>0.6161184193207814</v>
      </c>
      <c r="Q170" s="546">
        <f t="shared" si="70"/>
        <v>0.5626178807279966</v>
      </c>
    </row>
    <row r="171" spans="1:17" ht="12.75">
      <c r="A171" s="540">
        <v>17</v>
      </c>
      <c r="B171" s="641" t="s">
        <v>89</v>
      </c>
      <c r="C171" s="540"/>
      <c r="D171" s="545">
        <f aca="true" t="shared" si="87" ref="D171:O171">(D20/D$153)/D57</f>
        <v>0.7710735233923841</v>
      </c>
      <c r="E171" s="545">
        <f t="shared" si="87"/>
        <v>0.7599935583947769</v>
      </c>
      <c r="F171" s="545">
        <f t="shared" si="87"/>
        <v>0.7607467476388264</v>
      </c>
      <c r="G171" s="545">
        <f t="shared" si="87"/>
        <v>0.772574557815977</v>
      </c>
      <c r="H171" s="545">
        <f t="shared" si="87"/>
        <v>0.8494235643431357</v>
      </c>
      <c r="I171" s="545">
        <f t="shared" si="87"/>
        <v>0.7548372540759679</v>
      </c>
      <c r="J171" s="545">
        <f t="shared" si="87"/>
        <v>0.7998844339603284</v>
      </c>
      <c r="K171" s="545">
        <f t="shared" si="87"/>
        <v>0.7806340951639419</v>
      </c>
      <c r="L171" s="545">
        <f t="shared" si="87"/>
        <v>0.7323775427251252</v>
      </c>
      <c r="M171" s="545">
        <f t="shared" si="87"/>
        <v>0.7721491133364595</v>
      </c>
      <c r="N171" s="545">
        <f t="shared" si="87"/>
        <v>0.7624083355364679</v>
      </c>
      <c r="O171" s="545">
        <f t="shared" si="87"/>
        <v>0.8042432282333828</v>
      </c>
      <c r="P171" s="546">
        <f t="shared" si="72"/>
        <v>0.7766954962180644</v>
      </c>
      <c r="Q171" s="546">
        <f t="shared" si="70"/>
        <v>0.7115050204775538</v>
      </c>
    </row>
    <row r="172" spans="1:17" ht="12.75">
      <c r="A172" s="540">
        <v>18</v>
      </c>
      <c r="B172" s="641" t="s">
        <v>90</v>
      </c>
      <c r="C172" s="540"/>
      <c r="D172" s="545">
        <f aca="true" t="shared" si="88" ref="D172:O172">(D21/D$153)/D58</f>
        <v>0.7241563335321255</v>
      </c>
      <c r="E172" s="545">
        <f t="shared" si="88"/>
        <v>0.7088004195764919</v>
      </c>
      <c r="F172" s="545">
        <f t="shared" si="88"/>
        <v>0.7611627774630059</v>
      </c>
      <c r="G172" s="545">
        <f t="shared" si="88"/>
        <v>0.6250508022709007</v>
      </c>
      <c r="H172" s="545">
        <f t="shared" si="88"/>
        <v>0.7126207325493784</v>
      </c>
      <c r="I172" s="545">
        <f t="shared" si="88"/>
        <v>0.5727626666376696</v>
      </c>
      <c r="J172" s="545">
        <f t="shared" si="88"/>
        <v>0.6110649762372742</v>
      </c>
      <c r="K172" s="545">
        <f t="shared" si="88"/>
        <v>0.6168843387653267</v>
      </c>
      <c r="L172" s="545">
        <f t="shared" si="88"/>
        <v>0.5434525185799837</v>
      </c>
      <c r="M172" s="545">
        <f t="shared" si="88"/>
        <v>0.7288782009635135</v>
      </c>
      <c r="N172" s="545">
        <f t="shared" si="88"/>
        <v>0.707875563218506</v>
      </c>
      <c r="O172" s="545">
        <f t="shared" si="88"/>
        <v>0.7608933124318675</v>
      </c>
      <c r="P172" s="546">
        <f t="shared" si="72"/>
        <v>0.6728002201855037</v>
      </c>
      <c r="Q172" s="546">
        <f t="shared" si="70"/>
        <v>0.5006205815537521</v>
      </c>
    </row>
    <row r="173" spans="1:17" ht="12.75">
      <c r="A173" s="540">
        <v>19</v>
      </c>
      <c r="B173" s="641" t="s">
        <v>91</v>
      </c>
      <c r="C173" s="540"/>
      <c r="D173" s="545">
        <f aca="true" t="shared" si="89" ref="D173:O173">(D22/D$153)/D59</f>
        <v>0.7572878419180459</v>
      </c>
      <c r="E173" s="545">
        <f t="shared" si="89"/>
        <v>0.7343819700946788</v>
      </c>
      <c r="F173" s="545">
        <f t="shared" si="89"/>
        <v>0.7846158014795398</v>
      </c>
      <c r="G173" s="545">
        <f t="shared" si="89"/>
        <v>0.7307444388611312</v>
      </c>
      <c r="H173" s="545">
        <f t="shared" si="89"/>
        <v>0.9076859143424508</v>
      </c>
      <c r="I173" s="545">
        <f t="shared" si="89"/>
        <v>0.774051322085097</v>
      </c>
      <c r="J173" s="545">
        <f t="shared" si="89"/>
        <v>0.8442331569324131</v>
      </c>
      <c r="K173" s="545">
        <f t="shared" si="89"/>
        <v>0.7328633252353066</v>
      </c>
      <c r="L173" s="545">
        <f t="shared" si="89"/>
        <v>0.7742780270795386</v>
      </c>
      <c r="M173" s="545">
        <f t="shared" si="89"/>
        <v>0.755602962196289</v>
      </c>
      <c r="N173" s="545">
        <f t="shared" si="89"/>
        <v>0.7546511850226716</v>
      </c>
      <c r="O173" s="545">
        <f t="shared" si="89"/>
        <v>0.7974670277430717</v>
      </c>
      <c r="P173" s="546">
        <f t="shared" si="72"/>
        <v>0.7789885810825194</v>
      </c>
      <c r="Q173" s="546">
        <f t="shared" si="70"/>
        <v>0.707083987567095</v>
      </c>
    </row>
    <row r="174" spans="1:17" ht="12.75">
      <c r="A174" s="540">
        <v>20</v>
      </c>
      <c r="B174" s="641" t="s">
        <v>92</v>
      </c>
      <c r="C174" s="540"/>
      <c r="D174" s="545">
        <f aca="true" t="shared" si="90" ref="D174:O174">(D23/D$153)/D60</f>
        <v>0.7338915535317286</v>
      </c>
      <c r="E174" s="545">
        <f t="shared" si="90"/>
        <v>0.44051170367868697</v>
      </c>
      <c r="F174" s="545">
        <f t="shared" si="90"/>
        <v>0.7185165661126057</v>
      </c>
      <c r="G174" s="545">
        <f t="shared" si="90"/>
        <v>0.7155787235251206</v>
      </c>
      <c r="H174" s="545">
        <f t="shared" si="90"/>
        <v>0.7875251380198571</v>
      </c>
      <c r="I174" s="545">
        <f t="shared" si="90"/>
        <v>0.7075206642661523</v>
      </c>
      <c r="J174" s="545">
        <f t="shared" si="90"/>
        <v>0.760158908191979</v>
      </c>
      <c r="K174" s="545">
        <f t="shared" si="90"/>
        <v>0.7171356513752444</v>
      </c>
      <c r="L174" s="545">
        <f t="shared" si="90"/>
        <v>0.6848881709859922</v>
      </c>
      <c r="M174" s="545">
        <f t="shared" si="90"/>
        <v>0.6844461805551126</v>
      </c>
      <c r="N174" s="545">
        <f t="shared" si="90"/>
        <v>0.6986712245952754</v>
      </c>
      <c r="O174" s="545">
        <f t="shared" si="90"/>
        <v>0.7356027674598278</v>
      </c>
      <c r="P174" s="546">
        <f t="shared" si="72"/>
        <v>0.6987039376914653</v>
      </c>
      <c r="Q174" s="546">
        <f t="shared" si="70"/>
        <v>0.3908102204230112</v>
      </c>
    </row>
    <row r="175" spans="1:17" ht="12.75">
      <c r="A175" s="540">
        <v>21</v>
      </c>
      <c r="B175" s="641" t="s">
        <v>93</v>
      </c>
      <c r="C175" s="540"/>
      <c r="D175" s="545">
        <f aca="true" t="shared" si="91" ref="D175:O175">(D24/D$153)/D61</f>
        <v>0.7424936748815585</v>
      </c>
      <c r="E175" s="545">
        <f t="shared" si="91"/>
        <v>0.7116597570493922</v>
      </c>
      <c r="F175" s="545">
        <f t="shared" si="91"/>
        <v>0.7240688424627945</v>
      </c>
      <c r="G175" s="545">
        <f t="shared" si="91"/>
        <v>0.6809770566560013</v>
      </c>
      <c r="H175" s="545">
        <f t="shared" si="91"/>
        <v>0.6697023060961552</v>
      </c>
      <c r="I175" s="545">
        <f t="shared" si="91"/>
        <v>0.5558236635551034</v>
      </c>
      <c r="J175" s="545">
        <f t="shared" si="91"/>
        <v>0.725220250115521</v>
      </c>
      <c r="K175" s="545">
        <f t="shared" si="91"/>
        <v>0.6739173661153942</v>
      </c>
      <c r="L175" s="545">
        <f t="shared" si="91"/>
        <v>0.4422258106721581</v>
      </c>
      <c r="M175" s="545">
        <f t="shared" si="91"/>
        <v>0.42264728666320156</v>
      </c>
      <c r="N175" s="545">
        <f t="shared" si="91"/>
        <v>0.7008396624275103</v>
      </c>
      <c r="O175" s="545">
        <f t="shared" si="91"/>
        <v>0.6900290981236021</v>
      </c>
      <c r="P175" s="546">
        <f t="shared" si="72"/>
        <v>0.6449670645681994</v>
      </c>
      <c r="Q175" s="546">
        <f t="shared" si="70"/>
        <v>0.36666636143159864</v>
      </c>
    </row>
  </sheetData>
  <conditionalFormatting sqref="P38">
    <cfRule type="expression" priority="2" dxfId="0" stopIfTrue="1">
      <formula>ABS(P38-#REF!)&gt;1</formula>
    </cfRule>
  </conditionalFormatting>
  <conditionalFormatting sqref="S28">
    <cfRule type="cellIs" priority="1" dxfId="21" operator="notEqual">
      <formula>$P$27</formula>
    </cfRule>
    <cfRule type="expression" priority="3" dxfId="0" stopIfTrue="1">
      <formula>ABS($P$27-$S$28)&gt;0.5</formula>
    </cfRule>
  </conditionalFormatting>
  <printOptions horizontalCentered="1"/>
  <pageMargins left="0.25" right="0.25" top="0.87" bottom="0.21" header="0.4" footer="0.18"/>
  <pageSetup fitToHeight="2" fitToWidth="1" horizontalDpi="600" verticalDpi="600" orientation="landscape" scale="56" r:id="rId3"/>
  <rowBreaks count="1" manualBreakCount="1">
    <brk id="66"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B1:P55"/>
  <sheetViews>
    <sheetView showGridLines="0" view="pageBreakPreview" zoomScale="85" zoomScaleSheetLayoutView="85" workbookViewId="0" topLeftCell="A1">
      <selection activeCell="M30" sqref="M30"/>
    </sheetView>
  </sheetViews>
  <sheetFormatPr defaultColWidth="11.421875" defaultRowHeight="12.75"/>
  <cols>
    <col min="1" max="1" width="9.28125" style="0" customWidth="1"/>
    <col min="2" max="2" width="15.421875" style="0" customWidth="1"/>
    <col min="3" max="3" width="11.421875" style="0" customWidth="1"/>
    <col min="4" max="4" width="12.421875" style="0" customWidth="1"/>
    <col min="5" max="5" width="1.7109375" style="0" customWidth="1"/>
    <col min="6" max="6" width="11.421875" style="0" customWidth="1"/>
    <col min="7" max="7" width="13.421875" style="0" customWidth="1"/>
    <col min="8" max="8" width="1.7109375" style="0" customWidth="1"/>
    <col min="9" max="9" width="14.00390625" style="0" bestFit="1" customWidth="1"/>
    <col min="12" max="12" width="12.28125" style="0" bestFit="1" customWidth="1"/>
    <col min="14" max="14" width="12.7109375" style="551" customWidth="1"/>
  </cols>
  <sheetData>
    <row r="1" spans="2:10" ht="12.75">
      <c r="B1" s="138" t="s">
        <v>101</v>
      </c>
      <c r="C1" s="55"/>
      <c r="D1" s="56"/>
      <c r="E1" s="55"/>
      <c r="F1" s="55"/>
      <c r="G1" s="55"/>
      <c r="H1" s="55"/>
      <c r="I1" s="55"/>
      <c r="J1" s="55"/>
    </row>
    <row r="2" spans="2:10" ht="12.75">
      <c r="B2" s="138" t="s">
        <v>405</v>
      </c>
      <c r="C2" s="55"/>
      <c r="D2" s="56"/>
      <c r="E2" s="55"/>
      <c r="F2" s="55"/>
      <c r="G2" s="55"/>
      <c r="H2" s="55"/>
      <c r="I2" s="55"/>
      <c r="J2" s="55"/>
    </row>
    <row r="3" spans="2:10" ht="12.75">
      <c r="B3" s="138" t="s">
        <v>102</v>
      </c>
      <c r="C3" s="55"/>
      <c r="D3" s="56"/>
      <c r="E3" s="55"/>
      <c r="F3" s="55"/>
      <c r="G3" s="55"/>
      <c r="H3" s="55"/>
      <c r="I3" s="55"/>
      <c r="J3" s="55"/>
    </row>
    <row r="4" spans="2:10" ht="12.75">
      <c r="B4" s="138" t="s">
        <v>985</v>
      </c>
      <c r="C4" s="55"/>
      <c r="D4" s="56"/>
      <c r="E4" s="55"/>
      <c r="F4" s="55"/>
      <c r="G4" s="55"/>
      <c r="H4" s="55"/>
      <c r="I4" s="55"/>
      <c r="J4" s="55"/>
    </row>
    <row r="5" spans="2:7" ht="12.75">
      <c r="B5" s="55"/>
      <c r="C5" s="55"/>
      <c r="D5" s="55"/>
      <c r="F5" s="55"/>
      <c r="G5" s="55"/>
    </row>
    <row r="6" spans="2:7" ht="12.75">
      <c r="B6" s="55"/>
      <c r="C6" s="55"/>
      <c r="D6" s="55"/>
      <c r="F6" s="55"/>
      <c r="G6" s="55"/>
    </row>
    <row r="7" spans="3:10" ht="12.75">
      <c r="C7" s="781" t="str">
        <f>"Present "&amp;IF(Base1_Billing2=2,"Billing ","")&amp;"Rates(1)"</f>
        <v>Present Rates(1)</v>
      </c>
      <c r="D7" s="781" t="str">
        <f>"Present "&amp;IF(Base1_Billing2=2,"Billing","")&amp;" Rates"</f>
        <v>Present  Rates</v>
      </c>
      <c r="F7" s="781" t="str">
        <f>"Proposed "&amp;IF(Base1_Billing2=2,"Billing ","")&amp;"Rates(2)"</f>
        <v>Proposed Rates(2)</v>
      </c>
      <c r="G7" s="781" t="str">
        <f>"Proposed "&amp;IF(Base1_Billing2=2,"Billing ","")&amp;"Rates"</f>
        <v>Proposed Rates</v>
      </c>
      <c r="I7" s="311" t="s">
        <v>414</v>
      </c>
      <c r="J7" s="55"/>
    </row>
    <row r="8" spans="3:16" ht="12.75">
      <c r="C8" s="35" t="s">
        <v>105</v>
      </c>
      <c r="D8" s="35" t="s">
        <v>73</v>
      </c>
      <c r="F8" s="35" t="s">
        <v>105</v>
      </c>
      <c r="G8" s="35" t="s">
        <v>73</v>
      </c>
      <c r="I8" s="55"/>
      <c r="J8" s="55"/>
      <c r="L8" s="59" t="s">
        <v>421</v>
      </c>
      <c r="N8" s="551" t="s">
        <v>73</v>
      </c>
      <c r="O8" s="456" t="s">
        <v>284</v>
      </c>
      <c r="P8" s="456" t="s">
        <v>286</v>
      </c>
    </row>
    <row r="9" spans="3:16" ht="12.75">
      <c r="C9" s="57" t="s">
        <v>106</v>
      </c>
      <c r="D9" s="57" t="s">
        <v>106</v>
      </c>
      <c r="F9" s="57" t="s">
        <v>106</v>
      </c>
      <c r="G9" s="57" t="s">
        <v>106</v>
      </c>
      <c r="I9" s="57" t="s">
        <v>415</v>
      </c>
      <c r="J9" s="57" t="s">
        <v>227</v>
      </c>
      <c r="L9" s="281" t="s">
        <v>422</v>
      </c>
      <c r="N9" s="551" t="s">
        <v>522</v>
      </c>
      <c r="O9" s="456" t="s">
        <v>463</v>
      </c>
      <c r="P9" s="456" t="s">
        <v>463</v>
      </c>
    </row>
    <row r="10" spans="3:7" ht="12.75">
      <c r="C10" s="57"/>
      <c r="D10" s="57"/>
      <c r="F10" s="57"/>
      <c r="G10" s="57"/>
    </row>
    <row r="11" spans="2:14" ht="12.75">
      <c r="B11" t="s">
        <v>416</v>
      </c>
      <c r="C11" s="60">
        <f>'St Lts'!Y$104*IF(Base1_Billing2=2,(1+$I$39),1)</f>
        <v>181.27</v>
      </c>
      <c r="D11" s="49">
        <f>C11*12</f>
        <v>2175.2400000000002</v>
      </c>
      <c r="F11" s="60">
        <f>'St Lts'!AQ$104*IF(Base1_Billing2=2,1+$D$39,1)</f>
        <v>181.27</v>
      </c>
      <c r="G11" s="49">
        <f aca="true" t="shared" si="0" ref="G11:G17">F11*12</f>
        <v>2175.2400000000002</v>
      </c>
      <c r="I11" s="158">
        <f aca="true" t="shared" si="1" ref="I11:I17">G11/D11-1</f>
        <v>0</v>
      </c>
      <c r="J11" s="312">
        <v>0</v>
      </c>
      <c r="L11" s="182">
        <v>0</v>
      </c>
      <c r="N11" s="612">
        <f>'REVRUNS 12ME1219'!P207</f>
        <v>28214.475000000002</v>
      </c>
    </row>
    <row r="12" spans="2:14" ht="12.75">
      <c r="B12" t="s">
        <v>417</v>
      </c>
      <c r="C12" s="251">
        <f>'St Lts'!Z$104*IF(Base1_Billing2=2,1+$I$39,1)</f>
        <v>350635.22</v>
      </c>
      <c r="D12" s="252">
        <f aca="true" t="shared" si="2" ref="D12:D17">C12*12</f>
        <v>4207622.64</v>
      </c>
      <c r="E12" s="253"/>
      <c r="F12" s="251">
        <f>'St Lts'!AR$104*IF(Base1_Billing2=2,1+$D$39,1)</f>
        <v>350635.22</v>
      </c>
      <c r="G12" s="252">
        <f>F12*12</f>
        <v>4207622.64</v>
      </c>
      <c r="I12" s="158">
        <f>G12/D12-1</f>
        <v>0</v>
      </c>
      <c r="J12" s="312">
        <v>0</v>
      </c>
      <c r="L12" s="382">
        <f>L11</f>
        <v>0</v>
      </c>
      <c r="N12" s="612">
        <f>'REVRUNS 12ME1219'!P216</f>
        <v>9111659.55367</v>
      </c>
    </row>
    <row r="13" spans="2:14" ht="12.75">
      <c r="B13" t="s">
        <v>418</v>
      </c>
      <c r="C13" s="251">
        <f>'St Lts'!AA$104*IF(Base1_Billing2=2,1+$I$39,1)</f>
        <v>1995.6</v>
      </c>
      <c r="D13" s="252">
        <f t="shared" si="2"/>
        <v>23947.199999999997</v>
      </c>
      <c r="E13" s="253"/>
      <c r="F13" s="251">
        <f>'St Lts'!AS$104*IF(Base1_Billing2=2,1+$D$39,1)</f>
        <v>1995.6</v>
      </c>
      <c r="G13" s="252">
        <f t="shared" si="0"/>
        <v>23947.199999999997</v>
      </c>
      <c r="I13" s="158">
        <f t="shared" si="1"/>
        <v>0</v>
      </c>
      <c r="J13" s="312">
        <v>0</v>
      </c>
      <c r="L13" s="382">
        <f>L11</f>
        <v>0</v>
      </c>
      <c r="N13" s="612">
        <f>'REVRUNS 12ME1219'!P225</f>
        <v>123112.35188</v>
      </c>
    </row>
    <row r="14" spans="2:14" ht="12.75">
      <c r="B14" t="s">
        <v>419</v>
      </c>
      <c r="C14" s="251">
        <f>'St Lts'!AB$104*IF(Base1_Billing2=2,1+$I$39,1)</f>
        <v>2720.82</v>
      </c>
      <c r="D14" s="252">
        <f t="shared" si="2"/>
        <v>32649.840000000004</v>
      </c>
      <c r="E14" s="253"/>
      <c r="F14" s="251">
        <f>'St Lts'!AT$104*IF(Base1_Billing2=2,1+$D$39,1)</f>
        <v>2720.82</v>
      </c>
      <c r="G14" s="252">
        <f t="shared" si="0"/>
        <v>32649.840000000004</v>
      </c>
      <c r="I14" s="158">
        <f t="shared" si="1"/>
        <v>0</v>
      </c>
      <c r="J14" s="312">
        <v>0</v>
      </c>
      <c r="L14" s="382">
        <f>L11</f>
        <v>0</v>
      </c>
      <c r="N14" s="612">
        <f>'REVRUNS 12ME1219'!P234</f>
        <v>424923.172</v>
      </c>
    </row>
    <row r="15" spans="2:16" ht="12.75">
      <c r="B15" t="s">
        <v>420</v>
      </c>
      <c r="C15" s="251">
        <f>'St Lts'!AC$104*IF(Base1_Billing2=2,1+$I$39,1)</f>
        <v>9042.34</v>
      </c>
      <c r="D15" s="252">
        <f t="shared" si="2"/>
        <v>108508.08</v>
      </c>
      <c r="E15" s="253"/>
      <c r="F15" s="251">
        <f>'St Lts'!AU$104*IF(Base1_Billing2=2,1+$D$39,1)</f>
        <v>9042.63</v>
      </c>
      <c r="G15" s="252">
        <f t="shared" si="0"/>
        <v>108511.56</v>
      </c>
      <c r="I15" s="158">
        <f t="shared" si="1"/>
        <v>3.207134436444825E-05</v>
      </c>
      <c r="J15" s="312">
        <v>0</v>
      </c>
      <c r="L15" s="382">
        <f>L11</f>
        <v>0</v>
      </c>
      <c r="N15" s="612">
        <f>'REVRUNS 12ME1219'!P243</f>
        <v>1041932.9840000002</v>
      </c>
      <c r="O15" s="553">
        <f>D15/N15</f>
        <v>0.10414113159508154</v>
      </c>
      <c r="P15" s="553">
        <f>G15/N15</f>
        <v>0.10414447154117541</v>
      </c>
    </row>
    <row r="16" spans="2:15" ht="12.75">
      <c r="B16" t="s">
        <v>424</v>
      </c>
      <c r="C16" s="251">
        <f>'Area Lts'!S61*IF(Base1_Billing2=2,1+$I$39,1)</f>
        <v>120179.88999999998</v>
      </c>
      <c r="D16" s="252">
        <f t="shared" si="2"/>
        <v>1442158.6799999997</v>
      </c>
      <c r="E16" s="253"/>
      <c r="F16" s="251">
        <f>IF(Base1_Billing2=1,'Area Lts'!AG61,'Area Lts'!AG70)</f>
        <v>120179.88999999998</v>
      </c>
      <c r="G16" s="252">
        <f t="shared" si="0"/>
        <v>1442158.6799999997</v>
      </c>
      <c r="I16" s="158">
        <f t="shared" si="1"/>
        <v>0</v>
      </c>
      <c r="J16" s="312">
        <v>0</v>
      </c>
      <c r="L16" s="382">
        <f>L11</f>
        <v>0</v>
      </c>
      <c r="N16" s="612">
        <f>'REVRUNS 12ME1219'!P252</f>
        <v>4732835.947129999</v>
      </c>
      <c r="O16" s="553"/>
    </row>
    <row r="17" spans="2:14" ht="15">
      <c r="B17" t="s">
        <v>425</v>
      </c>
      <c r="C17" s="254">
        <f>'Area Lts'!T61*IF(Base1_Billing2=2,1+$I$39,1)</f>
        <v>67625.05016599999</v>
      </c>
      <c r="D17" s="254">
        <f t="shared" si="2"/>
        <v>811500.6019919999</v>
      </c>
      <c r="E17" s="253"/>
      <c r="F17" s="254">
        <f>IF(Base1_Billing2=1,'Area Lts'!AH61,'Area Lts'!AH70)</f>
        <v>67625.05016599999</v>
      </c>
      <c r="G17" s="254">
        <f t="shared" si="0"/>
        <v>811500.6019919999</v>
      </c>
      <c r="I17" s="158">
        <f t="shared" si="1"/>
        <v>0</v>
      </c>
      <c r="J17" s="312">
        <v>0</v>
      </c>
      <c r="L17" s="382">
        <f>L11</f>
        <v>0</v>
      </c>
      <c r="N17" s="687">
        <f>'REVRUNS 12ME1219'!P262</f>
        <v>2499245.17629</v>
      </c>
    </row>
    <row r="18" spans="9:14" ht="12.75">
      <c r="I18" s="85"/>
      <c r="L18" s="382"/>
      <c r="N18" s="419"/>
    </row>
    <row r="19" spans="2:14" ht="15">
      <c r="B19" t="s">
        <v>66</v>
      </c>
      <c r="C19" s="255">
        <f>SUM(C11:C17)</f>
        <v>552380.190166</v>
      </c>
      <c r="D19" s="255">
        <f>SUM(D11:D17)</f>
        <v>6628562.281992</v>
      </c>
      <c r="F19" s="255">
        <f>SUM(F11:F17)</f>
        <v>552380.480166</v>
      </c>
      <c r="G19" s="255">
        <f>SUM(G11:G17)</f>
        <v>6628565.761991999</v>
      </c>
      <c r="I19" s="328">
        <f>G19/D19-1</f>
        <v>5.250007244494981E-07</v>
      </c>
      <c r="J19" s="313">
        <v>0</v>
      </c>
      <c r="L19" s="382">
        <f>L11</f>
        <v>0</v>
      </c>
      <c r="N19" s="419">
        <f>SUM(N11:N18)</f>
        <v>17961923.65997</v>
      </c>
    </row>
    <row r="20" spans="3:14" ht="12.75">
      <c r="C20" s="69">
        <f>ROUND(C19-CHOOSE(Base1_Billing2,'St Lts'!AC106+'Area Lts'!T62,'St Lts'!AC112+'Area Lts'!T71+G52),0)</f>
        <v>0</v>
      </c>
      <c r="F20" s="69">
        <f>ROUND(F19-CHOOSE(Base1_Billing2,'St Lts'!AU105+'Area Lts'!AH62,'St Lts'!AU111+'Area Lts'!AH71),0)</f>
        <v>0</v>
      </c>
      <c r="L20" s="158">
        <f>I19-L19</f>
        <v>5.250007244494981E-07</v>
      </c>
      <c r="N20" s="419"/>
    </row>
    <row r="21" spans="2:14" s="537" customFormat="1" ht="12.75">
      <c r="B21" s="117" t="s">
        <v>564</v>
      </c>
      <c r="C21" s="69"/>
      <c r="D21" s="601">
        <f>D15/N15</f>
        <v>0.10414113159508154</v>
      </c>
      <c r="E21" s="597"/>
      <c r="F21" s="597"/>
      <c r="G21" s="601">
        <f>G15/N15</f>
        <v>0.10414447154117541</v>
      </c>
      <c r="L21" s="158"/>
      <c r="N21" s="551"/>
    </row>
    <row r="22" spans="3:14" s="537" customFormat="1" ht="12.75">
      <c r="C22" s="69"/>
      <c r="F22" s="69"/>
      <c r="L22" s="158"/>
      <c r="N22" s="551"/>
    </row>
    <row r="23" spans="2:12" ht="12.75">
      <c r="B23" s="773" t="s">
        <v>986</v>
      </c>
      <c r="C23" s="19"/>
      <c r="L23" s="317">
        <f ca="1">G19-('Rate Spread GRC'!H25*1000)</f>
        <v>3.4799999995157123</v>
      </c>
    </row>
    <row r="24" spans="2:11" ht="12.75">
      <c r="B24" s="773" t="s">
        <v>987</v>
      </c>
      <c r="C24" s="19"/>
      <c r="D24" s="19"/>
      <c r="E24" s="19"/>
      <c r="F24" s="19"/>
      <c r="G24" s="19"/>
      <c r="H24" s="19"/>
      <c r="I24" s="19"/>
      <c r="J24" s="19"/>
      <c r="K24" s="19"/>
    </row>
    <row r="25" spans="2:14" s="537" customFormat="1" ht="12.75">
      <c r="B25" s="95"/>
      <c r="C25" s="19"/>
      <c r="D25" s="19"/>
      <c r="E25" s="19"/>
      <c r="F25" s="19"/>
      <c r="G25" s="19"/>
      <c r="H25" s="19"/>
      <c r="I25" s="19"/>
      <c r="J25" s="19"/>
      <c r="K25" s="19"/>
      <c r="N25" s="551"/>
    </row>
    <row r="26" spans="3:11" ht="12.75">
      <c r="C26" s="86" t="s">
        <v>355</v>
      </c>
      <c r="D26" s="258">
        <f>D19*(1+I39)+'Area Lts'!T69*12</f>
        <v>6628562.281992</v>
      </c>
      <c r="E26" s="19"/>
      <c r="F26" s="86" t="s">
        <v>575</v>
      </c>
      <c r="G26" s="258">
        <f>G19*(1+J39)+'Area Lts'!AH69*12</f>
        <v>6628565.761991999</v>
      </c>
      <c r="I26" s="259">
        <f>G26/D26-1</f>
        <v>5.250007244494981E-07</v>
      </c>
      <c r="J26" s="19"/>
      <c r="K26" s="258">
        <f>G26-D26</f>
        <v>3.4799999995157123</v>
      </c>
    </row>
    <row r="27" spans="3:11" ht="12.75">
      <c r="C27" s="260" t="s">
        <v>71</v>
      </c>
      <c r="D27" s="261">
        <f>D26-D19</f>
        <v>0</v>
      </c>
      <c r="E27" s="262"/>
      <c r="F27" s="263" t="s">
        <v>575</v>
      </c>
      <c r="G27" s="264">
        <f>G26-G19</f>
        <v>0</v>
      </c>
      <c r="I27" s="19"/>
      <c r="J27" s="19"/>
      <c r="K27" s="19"/>
    </row>
    <row r="28" spans="3:13" ht="12.75">
      <c r="C28" s="265" t="s">
        <v>573</v>
      </c>
      <c r="D28" s="266">
        <f>D$19*(I36+I37)</f>
        <v>0</v>
      </c>
      <c r="E28" s="267"/>
      <c r="F28" s="268" t="s">
        <v>574</v>
      </c>
      <c r="G28" s="269">
        <f>G$19*(J36+J37)</f>
        <v>0</v>
      </c>
      <c r="I28" s="19"/>
      <c r="J28" s="19"/>
      <c r="K28" s="19"/>
      <c r="L28" s="19"/>
      <c r="M28" s="19"/>
    </row>
    <row r="29" spans="3:13" ht="12.75">
      <c r="C29" s="270" t="s">
        <v>356</v>
      </c>
      <c r="D29" s="271">
        <f>D$19*I38</f>
        <v>0</v>
      </c>
      <c r="E29" s="170"/>
      <c r="F29" s="272" t="s">
        <v>576</v>
      </c>
      <c r="G29" s="273">
        <f>G$19*J38</f>
        <v>0</v>
      </c>
      <c r="I29" s="19"/>
      <c r="J29" s="19"/>
      <c r="K29" s="19"/>
      <c r="L29" s="19"/>
      <c r="M29" s="19"/>
    </row>
    <row r="30" spans="3:13" ht="12.75">
      <c r="C30" s="86" t="s">
        <v>577</v>
      </c>
      <c r="D30" s="258">
        <f>D28*($L$36+L37)</f>
        <v>0</v>
      </c>
      <c r="E30" s="19"/>
      <c r="F30" s="86"/>
      <c r="G30" s="258"/>
      <c r="I30" s="19"/>
      <c r="J30" s="19"/>
      <c r="K30" s="19"/>
      <c r="L30" s="19"/>
      <c r="M30" s="19"/>
    </row>
    <row r="31" spans="3:13" ht="12.75">
      <c r="C31" s="86" t="s">
        <v>355</v>
      </c>
      <c r="D31" s="295">
        <f>D26</f>
        <v>6628562.281992</v>
      </c>
      <c r="E31" s="19"/>
      <c r="F31" s="86" t="s">
        <v>616</v>
      </c>
      <c r="G31" s="295">
        <f>G19*(1+D39)+'Area Lts'!AH69*12</f>
        <v>6628565.761991999</v>
      </c>
      <c r="I31" s="259">
        <f>G31/D31-1</f>
        <v>5.250007244494981E-07</v>
      </c>
      <c r="J31" s="19"/>
      <c r="K31" s="258">
        <f>G31-D26</f>
        <v>3.4799999995157123</v>
      </c>
      <c r="L31" s="258">
        <f>K31-J$19</f>
        <v>3.4799999995157123</v>
      </c>
      <c r="M31" s="19"/>
    </row>
    <row r="32" spans="3:13" ht="12.75">
      <c r="C32" s="86"/>
      <c r="D32" s="258"/>
      <c r="E32" s="19"/>
      <c r="F32" s="86"/>
      <c r="G32" s="258"/>
      <c r="I32" s="19"/>
      <c r="J32" s="19"/>
      <c r="K32" s="19"/>
      <c r="L32" s="19"/>
      <c r="M32" s="19"/>
    </row>
    <row r="33" spans="3:13" ht="12.75">
      <c r="C33" s="86"/>
      <c r="D33" s="258"/>
      <c r="E33" s="19"/>
      <c r="F33" s="86"/>
      <c r="G33" s="258"/>
      <c r="I33" s="19"/>
      <c r="J33" s="19"/>
      <c r="K33" s="19"/>
      <c r="L33" s="19"/>
      <c r="M33" s="19"/>
    </row>
    <row r="34" spans="3:13" ht="12.75">
      <c r="C34" s="19"/>
      <c r="D34" s="258"/>
      <c r="E34" s="19"/>
      <c r="F34" s="19"/>
      <c r="G34" s="19"/>
      <c r="I34" s="19"/>
      <c r="J34" s="86" t="s">
        <v>354</v>
      </c>
      <c r="K34" s="259"/>
      <c r="L34" s="19"/>
      <c r="M34" s="19"/>
    </row>
    <row r="35" spans="4:13" ht="12.75">
      <c r="D35" s="277" t="s">
        <v>286</v>
      </c>
      <c r="E35" s="19"/>
      <c r="F35" s="19"/>
      <c r="G35" s="19"/>
      <c r="I35" s="277" t="s">
        <v>284</v>
      </c>
      <c r="J35" s="277" t="s">
        <v>284</v>
      </c>
      <c r="K35" s="277" t="s">
        <v>286</v>
      </c>
      <c r="L35" s="19"/>
      <c r="M35" s="19"/>
    </row>
    <row r="36" spans="4:13" ht="12.75">
      <c r="D36" s="278">
        <f>K36</f>
        <v>0</v>
      </c>
      <c r="E36" s="19"/>
      <c r="F36" s="19"/>
      <c r="G36" s="19" t="s">
        <v>433</v>
      </c>
      <c r="I36" s="615">
        <v>0</v>
      </c>
      <c r="J36" s="259">
        <f>(L19+(1+I36))/(1+L19)-1</f>
        <v>0</v>
      </c>
      <c r="K36" s="278">
        <f>J36*(1+L36)</f>
        <v>0</v>
      </c>
      <c r="L36" s="274">
        <v>0</v>
      </c>
      <c r="M36" s="19"/>
    </row>
    <row r="37" spans="4:14" s="329" customFormat="1" ht="12.75">
      <c r="D37" s="278">
        <f>K37</f>
        <v>0</v>
      </c>
      <c r="E37" s="19"/>
      <c r="F37" s="19"/>
      <c r="G37" s="19" t="s">
        <v>572</v>
      </c>
      <c r="I37" s="274">
        <v>0</v>
      </c>
      <c r="J37" s="259">
        <f>(L19+(1+I37))/(1+L19)-1</f>
        <v>0</v>
      </c>
      <c r="K37" s="278">
        <f>J37*(1+L37)</f>
        <v>0</v>
      </c>
      <c r="L37" s="274">
        <v>0</v>
      </c>
      <c r="M37" s="19" t="s">
        <v>445</v>
      </c>
      <c r="N37" s="551"/>
    </row>
    <row r="38" spans="4:13" ht="12.75">
      <c r="D38" s="278">
        <f>K38</f>
        <v>0</v>
      </c>
      <c r="E38" s="19"/>
      <c r="F38" s="19"/>
      <c r="G38" s="19"/>
      <c r="I38" s="274">
        <v>0</v>
      </c>
      <c r="J38" s="259">
        <f>(L19+(1+I38))/(1+L19)-1</f>
        <v>0</v>
      </c>
      <c r="K38" s="259">
        <f>J38*(1+$L$38)</f>
        <v>0</v>
      </c>
      <c r="L38" s="274">
        <v>0</v>
      </c>
      <c r="M38" s="19"/>
    </row>
    <row r="39" spans="3:13" ht="12.75">
      <c r="C39" s="19"/>
      <c r="D39" s="275">
        <f>D36+D37+D38</f>
        <v>0</v>
      </c>
      <c r="E39" s="19"/>
      <c r="F39" s="19"/>
      <c r="G39" s="86" t="s">
        <v>353</v>
      </c>
      <c r="I39" s="276">
        <f>I36+I37+I38</f>
        <v>0</v>
      </c>
      <c r="J39" s="276">
        <f>J36+J37+J38</f>
        <v>0</v>
      </c>
      <c r="K39" s="275">
        <f>K36+K37+K38</f>
        <v>0</v>
      </c>
      <c r="L39" s="19"/>
      <c r="M39" s="19"/>
    </row>
    <row r="40" spans="3:13" ht="12.75">
      <c r="C40" s="19"/>
      <c r="D40" s="19"/>
      <c r="E40" s="19"/>
      <c r="F40" s="19"/>
      <c r="G40" s="19"/>
      <c r="I40" s="19"/>
      <c r="J40" s="19"/>
      <c r="K40" s="19"/>
      <c r="L40" s="19"/>
      <c r="M40" s="19"/>
    </row>
    <row r="41" spans="3:15" ht="12.75">
      <c r="C41" s="19" t="s">
        <v>633</v>
      </c>
      <c r="D41" s="19" t="s">
        <v>650</v>
      </c>
      <c r="E41" s="19" t="s">
        <v>634</v>
      </c>
      <c r="F41" s="19"/>
      <c r="G41" s="19" t="s">
        <v>773</v>
      </c>
      <c r="H41" s="19"/>
      <c r="J41" s="19"/>
      <c r="K41" s="19"/>
      <c r="L41" s="19"/>
      <c r="M41" s="19"/>
      <c r="N41" s="19"/>
      <c r="O41" s="551"/>
    </row>
    <row r="42" spans="2:15" ht="12.75" hidden="1">
      <c r="B42" s="59" t="s">
        <v>375</v>
      </c>
      <c r="C42" s="325">
        <v>488916.65005000005</v>
      </c>
      <c r="D42" s="325">
        <v>488917.65005</v>
      </c>
      <c r="E42" s="325">
        <v>5866999.800600001</v>
      </c>
      <c r="F42" s="326"/>
      <c r="G42" s="325">
        <v>556466.5400500001</v>
      </c>
      <c r="H42" s="325">
        <v>6677598.480599999</v>
      </c>
      <c r="I42" s="19"/>
      <c r="J42" s="19"/>
      <c r="K42" s="19"/>
      <c r="L42" s="19"/>
      <c r="M42" s="19"/>
      <c r="N42"/>
      <c r="O42" s="551"/>
    </row>
    <row r="43" spans="2:15" ht="12.75" hidden="1">
      <c r="B43" s="59" t="s">
        <v>376</v>
      </c>
      <c r="C43" s="58">
        <f>C19-C42</f>
        <v>63463.54011599999</v>
      </c>
      <c r="D43" s="58">
        <f>D19-D42</f>
        <v>6139644.631941999</v>
      </c>
      <c r="E43" s="58">
        <f>D19-E42</f>
        <v>761562.4813919989</v>
      </c>
      <c r="G43" s="58">
        <f>F19-G42</f>
        <v>-4086.059884000104</v>
      </c>
      <c r="H43" s="58">
        <f>G19-H42</f>
        <v>-49032.718608000316</v>
      </c>
      <c r="N43"/>
      <c r="O43" s="551"/>
    </row>
    <row r="44" spans="2:15" ht="12.75" hidden="1">
      <c r="B44" s="59" t="s">
        <v>377</v>
      </c>
      <c r="C44" s="85">
        <f>C43/C42</f>
        <v>0.1298044157618886</v>
      </c>
      <c r="D44" s="85">
        <f>D43/D42</f>
        <v>12.557625259211072</v>
      </c>
      <c r="E44" s="85">
        <f>E43/E42</f>
        <v>0.12980441576188842</v>
      </c>
      <c r="F44" s="85"/>
      <c r="G44" s="85">
        <f>G43/G42</f>
        <v>-0.007342867162566432</v>
      </c>
      <c r="H44" s="85">
        <f>H43/H42</f>
        <v>-0.007342867162566294</v>
      </c>
      <c r="N44"/>
      <c r="O44" s="551"/>
    </row>
    <row r="45" spans="2:15" ht="12.75">
      <c r="B45" s="627" t="s">
        <v>416</v>
      </c>
      <c r="C45" s="401"/>
      <c r="D45" s="401"/>
      <c r="E45" s="401"/>
      <c r="G45" s="643">
        <f>C45+D45+F45</f>
        <v>0</v>
      </c>
      <c r="N45"/>
      <c r="O45" s="551"/>
    </row>
    <row r="46" spans="2:15" ht="12.75">
      <c r="B46" s="627" t="s">
        <v>417</v>
      </c>
      <c r="C46" s="401"/>
      <c r="D46" s="401"/>
      <c r="G46" s="643">
        <f aca="true" t="shared" si="3" ref="G46:G51">C46+D46+F46</f>
        <v>0</v>
      </c>
      <c r="N46"/>
      <c r="O46" s="551"/>
    </row>
    <row r="47" spans="2:15" ht="12.75">
      <c r="B47" s="627" t="s">
        <v>418</v>
      </c>
      <c r="C47" s="401"/>
      <c r="D47" s="401"/>
      <c r="G47" s="643">
        <f t="shared" si="3"/>
        <v>0</v>
      </c>
      <c r="N47"/>
      <c r="O47" s="551"/>
    </row>
    <row r="48" spans="2:15" ht="12.75">
      <c r="B48" s="627" t="s">
        <v>419</v>
      </c>
      <c r="C48" s="401"/>
      <c r="D48" s="401"/>
      <c r="G48" s="643">
        <f t="shared" si="3"/>
        <v>0</v>
      </c>
      <c r="N48"/>
      <c r="O48" s="551"/>
    </row>
    <row r="49" spans="2:15" ht="12.75">
      <c r="B49" s="627" t="s">
        <v>420</v>
      </c>
      <c r="C49" s="401"/>
      <c r="D49" s="401"/>
      <c r="G49" s="643">
        <f t="shared" si="3"/>
        <v>0</v>
      </c>
      <c r="N49"/>
      <c r="O49" s="551"/>
    </row>
    <row r="50" spans="2:15" ht="12.75">
      <c r="B50" s="627" t="s">
        <v>424</v>
      </c>
      <c r="C50" s="401"/>
      <c r="D50" s="401"/>
      <c r="G50" s="643">
        <f t="shared" si="3"/>
        <v>0</v>
      </c>
      <c r="N50"/>
      <c r="O50" s="551"/>
    </row>
    <row r="51" spans="2:15" ht="12.75">
      <c r="B51" s="627" t="s">
        <v>425</v>
      </c>
      <c r="C51" s="401"/>
      <c r="D51" s="401"/>
      <c r="F51" s="401"/>
      <c r="G51" s="643">
        <f t="shared" si="3"/>
        <v>0</v>
      </c>
      <c r="N51"/>
      <c r="O51" s="551"/>
    </row>
    <row r="52" spans="2:15" ht="13.5" thickBot="1">
      <c r="B52" s="627" t="s">
        <v>66</v>
      </c>
      <c r="C52" s="628">
        <f>C45+C46+C47+C48+C49+C50+C51</f>
        <v>0</v>
      </c>
      <c r="D52" s="628">
        <f>D45+D46+D47+D48+D49+D50+D51</f>
        <v>0</v>
      </c>
      <c r="F52" s="628">
        <f>E45+E46+E47+E48+E49+E50+F51</f>
        <v>0</v>
      </c>
      <c r="G52" s="58">
        <f>C52+F52+D52</f>
        <v>0</v>
      </c>
      <c r="I52" s="58"/>
      <c r="N52"/>
      <c r="O52" s="551"/>
    </row>
    <row r="53" spans="3:15" ht="13.5" thickTop="1">
      <c r="C53" s="629"/>
      <c r="D53" s="629"/>
      <c r="F53" s="629"/>
      <c r="N53"/>
      <c r="O53" s="551"/>
    </row>
    <row r="55" spans="6:7" ht="12.75">
      <c r="F55" t="s">
        <v>309</v>
      </c>
      <c r="G55" s="58">
        <f>D31+G52</f>
        <v>6628562.281992</v>
      </c>
    </row>
  </sheetData>
  <mergeCells count="2">
    <mergeCell ref="C7:D7"/>
    <mergeCell ref="F7:G7"/>
  </mergeCells>
  <conditionalFormatting sqref="C20:C22 F20 F22">
    <cfRule type="expression" priority="1" dxfId="0" stopIfTrue="1">
      <formula>ABS(C20)&gt;0.5</formula>
    </cfRule>
  </conditionalFormatting>
  <printOptions horizontalCentered="1"/>
  <pageMargins left="0.75" right="0.75" top="1" bottom="1" header="0.5" footer="0.5"/>
  <pageSetup fitToHeight="1" fitToWidth="1"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FW152"/>
  <sheetViews>
    <sheetView showGridLines="0" zoomScale="80" zoomScaleNormal="80" workbookViewId="0" topLeftCell="O1">
      <selection activeCell="AR16" sqref="AR16"/>
    </sheetView>
  </sheetViews>
  <sheetFormatPr defaultColWidth="9.140625" defaultRowHeight="12.75"/>
  <cols>
    <col min="1" max="1" width="7.7109375" style="0" customWidth="1"/>
    <col min="2" max="2" width="6.7109375" style="35" customWidth="1"/>
    <col min="3" max="3" width="7.57421875" style="35" customWidth="1"/>
    <col min="4" max="4" width="10.421875" style="35" customWidth="1"/>
    <col min="5" max="5" width="12.28125" style="0" customWidth="1"/>
    <col min="6" max="6" width="1.7109375" style="0" customWidth="1"/>
    <col min="7" max="7" width="9.7109375" style="0" customWidth="1"/>
    <col min="8" max="8" width="7.7109375" style="584" bestFit="1" customWidth="1"/>
    <col min="9" max="9" width="28.421875" style="0" customWidth="1"/>
    <col min="10" max="10" width="27.00390625" style="0" bestFit="1" customWidth="1"/>
    <col min="11" max="11" width="14.421875" style="59" bestFit="1" customWidth="1"/>
    <col min="12" max="12" width="7.57421875" style="0" customWidth="1"/>
    <col min="13" max="13" width="6.7109375" style="0" customWidth="1"/>
    <col min="14" max="14" width="7.28125" style="0" customWidth="1"/>
    <col min="15" max="16" width="6.7109375" style="0" customWidth="1"/>
    <col min="17" max="17" width="7.28125" style="0" customWidth="1"/>
    <col min="18" max="18" width="2.7109375" style="0" customWidth="1"/>
    <col min="19" max="19" width="7.57421875" style="0" customWidth="1"/>
    <col min="20" max="20" width="9.28125" style="0" customWidth="1"/>
    <col min="21" max="22" width="7.57421875" style="0" customWidth="1"/>
    <col min="23" max="23" width="7.28125" style="0" customWidth="1"/>
    <col min="24" max="24" width="2.7109375" style="0" customWidth="1"/>
    <col min="25" max="25" width="8.28125" style="0" customWidth="1"/>
    <col min="26" max="26" width="9.7109375" style="0" customWidth="1"/>
    <col min="27" max="27" width="7.28125" style="0" customWidth="1"/>
    <col min="28" max="28" width="8.28125" style="0" customWidth="1"/>
    <col min="29" max="29" width="9.7109375" style="0" customWidth="1"/>
    <col min="30" max="30" width="10.7109375" style="0" customWidth="1"/>
    <col min="31" max="31" width="6.7109375" style="0" customWidth="1"/>
    <col min="32" max="32" width="7.28125" style="0" customWidth="1"/>
    <col min="33" max="35" width="6.7109375" style="0" customWidth="1"/>
    <col min="36" max="36" width="2.7109375" style="0" customWidth="1"/>
    <col min="37" max="41" width="8.00390625" style="0" customWidth="1"/>
    <col min="42" max="42" width="2.7109375" style="0" customWidth="1"/>
    <col min="43" max="43" width="8.28125" style="0" customWidth="1"/>
    <col min="44" max="44" width="9.7109375" style="0" bestFit="1" customWidth="1"/>
    <col min="45" max="46" width="8.28125" style="0" customWidth="1"/>
    <col min="47" max="47" width="9.421875" style="0" bestFit="1" customWidth="1"/>
    <col min="48" max="48" width="10.7109375" style="0" customWidth="1"/>
    <col min="49" max="49" width="6.421875" style="446" customWidth="1"/>
    <col min="55" max="55" width="9.28125" style="446" customWidth="1"/>
    <col min="56" max="56" width="11.57421875" style="0" bestFit="1" customWidth="1"/>
    <col min="57" max="57" width="9.28125" style="0" customWidth="1"/>
  </cols>
  <sheetData>
    <row r="1" spans="1:64" ht="18">
      <c r="A1" s="61" t="s">
        <v>112</v>
      </c>
      <c r="I1" s="747" t="s">
        <v>945</v>
      </c>
      <c r="AJ1" s="59" t="s">
        <v>423</v>
      </c>
      <c r="AK1" s="205">
        <f>'Lighting summary'!L11</f>
        <v>0</v>
      </c>
      <c r="AL1" s="205">
        <f>'Lighting summary'!L12</f>
        <v>0</v>
      </c>
      <c r="AM1" s="205">
        <f>'Lighting summary'!L13</f>
        <v>0</v>
      </c>
      <c r="AN1" s="205">
        <f>'Lighting summary'!L14</f>
        <v>0</v>
      </c>
      <c r="AO1" s="205">
        <f>'Lighting summary'!L15</f>
        <v>0</v>
      </c>
      <c r="AX1" s="165"/>
      <c r="BD1" s="624">
        <f>-0.00789-0.00045-0.00339</f>
        <v>-0.01173</v>
      </c>
      <c r="BE1" t="s">
        <v>408</v>
      </c>
      <c r="BL1" s="85">
        <f>BE2</f>
        <v>1.0151</v>
      </c>
    </row>
    <row r="2" spans="1:70" ht="15">
      <c r="A2" s="63" t="s">
        <v>980</v>
      </c>
      <c r="M2" s="64" t="s">
        <v>382</v>
      </c>
      <c r="N2" s="65"/>
      <c r="O2" s="65"/>
      <c r="P2" s="65"/>
      <c r="Q2" s="65"/>
      <c r="S2" s="64" t="s">
        <v>103</v>
      </c>
      <c r="T2" s="65"/>
      <c r="U2" s="65"/>
      <c r="V2" s="65"/>
      <c r="W2" s="65"/>
      <c r="Y2" s="64" t="s">
        <v>114</v>
      </c>
      <c r="Z2" s="65"/>
      <c r="AA2" s="65"/>
      <c r="AB2" s="65"/>
      <c r="AC2" s="65"/>
      <c r="AE2" s="64" t="s">
        <v>113</v>
      </c>
      <c r="AF2" s="65"/>
      <c r="AG2" s="65"/>
      <c r="AH2" s="65"/>
      <c r="AI2" s="65"/>
      <c r="AK2" s="64" t="s">
        <v>104</v>
      </c>
      <c r="AL2" s="65"/>
      <c r="AM2" s="65"/>
      <c r="AN2" s="65"/>
      <c r="AO2" s="65"/>
      <c r="AQ2" s="64" t="s">
        <v>208</v>
      </c>
      <c r="AR2" s="65"/>
      <c r="AS2" s="65"/>
      <c r="AT2" s="65"/>
      <c r="AU2" s="65"/>
      <c r="AX2" s="64" t="s">
        <v>361</v>
      </c>
      <c r="AY2" s="65"/>
      <c r="AZ2" s="65"/>
      <c r="BA2" s="65"/>
      <c r="BB2" s="65"/>
      <c r="BC2" s="384"/>
      <c r="BD2" s="624">
        <v>0.01394</v>
      </c>
      <c r="BE2" s="772">
        <f>1+0.0151</f>
        <v>1.0151</v>
      </c>
      <c r="BF2" t="s">
        <v>824</v>
      </c>
      <c r="BL2" t="s">
        <v>378</v>
      </c>
      <c r="BN2" s="284"/>
      <c r="BR2" s="378" t="s">
        <v>292</v>
      </c>
    </row>
    <row r="3" spans="1:74" ht="12.75" customHeight="1" thickBot="1">
      <c r="A3" s="63"/>
      <c r="I3" s="66" t="s">
        <v>115</v>
      </c>
      <c r="J3" s="66" t="s">
        <v>116</v>
      </c>
      <c r="K3" s="67" t="s">
        <v>117</v>
      </c>
      <c r="L3" s="66" t="s">
        <v>118</v>
      </c>
      <c r="M3" s="68" t="s">
        <v>119</v>
      </c>
      <c r="N3" s="68" t="s">
        <v>120</v>
      </c>
      <c r="O3" s="68" t="s">
        <v>121</v>
      </c>
      <c r="P3" s="68" t="s">
        <v>122</v>
      </c>
      <c r="Q3" s="68" t="s">
        <v>123</v>
      </c>
      <c r="S3" s="68" t="s">
        <v>119</v>
      </c>
      <c r="T3" s="68" t="s">
        <v>120</v>
      </c>
      <c r="U3" s="68" t="s">
        <v>121</v>
      </c>
      <c r="V3" s="68" t="s">
        <v>122</v>
      </c>
      <c r="W3" s="68" t="s">
        <v>123</v>
      </c>
      <c r="Y3" s="68" t="s">
        <v>119</v>
      </c>
      <c r="Z3" s="68" t="s">
        <v>120</v>
      </c>
      <c r="AA3" s="68" t="s">
        <v>121</v>
      </c>
      <c r="AB3" s="68" t="s">
        <v>122</v>
      </c>
      <c r="AC3" s="68" t="s">
        <v>123</v>
      </c>
      <c r="AE3" s="68" t="s">
        <v>119</v>
      </c>
      <c r="AF3" s="68" t="s">
        <v>120</v>
      </c>
      <c r="AG3" s="68" t="s">
        <v>121</v>
      </c>
      <c r="AH3" s="68" t="s">
        <v>122</v>
      </c>
      <c r="AI3" s="68" t="s">
        <v>123</v>
      </c>
      <c r="AK3" s="68" t="s">
        <v>119</v>
      </c>
      <c r="AL3" s="68" t="s">
        <v>120</v>
      </c>
      <c r="AM3" s="68" t="s">
        <v>121</v>
      </c>
      <c r="AN3" s="68" t="s">
        <v>122</v>
      </c>
      <c r="AO3" s="68" t="s">
        <v>123</v>
      </c>
      <c r="AQ3" s="68" t="s">
        <v>119</v>
      </c>
      <c r="AR3" s="68" t="s">
        <v>120</v>
      </c>
      <c r="AS3" s="68" t="s">
        <v>121</v>
      </c>
      <c r="AT3" s="68" t="s">
        <v>122</v>
      </c>
      <c r="AU3" s="68" t="s">
        <v>123</v>
      </c>
      <c r="AW3" s="289" t="s">
        <v>386</v>
      </c>
      <c r="AX3" s="68" t="s">
        <v>119</v>
      </c>
      <c r="AY3" s="68" t="s">
        <v>120</v>
      </c>
      <c r="AZ3" s="68" t="s">
        <v>121</v>
      </c>
      <c r="BA3" s="68" t="s">
        <v>122</v>
      </c>
      <c r="BB3" s="68" t="s">
        <v>123</v>
      </c>
      <c r="BC3" s="385"/>
      <c r="BD3" s="588" t="s">
        <v>588</v>
      </c>
      <c r="BE3" s="68" t="s">
        <v>119</v>
      </c>
      <c r="BF3" s="68" t="s">
        <v>120</v>
      </c>
      <c r="BG3" s="68" t="s">
        <v>121</v>
      </c>
      <c r="BH3" s="68" t="s">
        <v>122</v>
      </c>
      <c r="BI3" s="68" t="s">
        <v>123</v>
      </c>
      <c r="BL3" s="68" t="s">
        <v>119</v>
      </c>
      <c r="BM3" s="68" t="s">
        <v>120</v>
      </c>
      <c r="BN3" s="68" t="s">
        <v>121</v>
      </c>
      <c r="BO3" s="68" t="s">
        <v>122</v>
      </c>
      <c r="BP3" s="68" t="s">
        <v>123</v>
      </c>
      <c r="BR3" s="68" t="s">
        <v>119</v>
      </c>
      <c r="BS3" s="68" t="s">
        <v>120</v>
      </c>
      <c r="BT3" s="68" t="s">
        <v>121</v>
      </c>
      <c r="BU3" s="68" t="s">
        <v>122</v>
      </c>
      <c r="BV3" s="68" t="s">
        <v>123</v>
      </c>
    </row>
    <row r="4" spans="8:74" ht="12.75" customHeight="1">
      <c r="H4" s="200"/>
      <c r="I4" t="s">
        <v>124</v>
      </c>
      <c r="J4" t="s">
        <v>110</v>
      </c>
      <c r="K4" s="59">
        <v>4000</v>
      </c>
      <c r="L4" s="97">
        <v>214</v>
      </c>
      <c r="M4" s="69">
        <f aca="true" t="shared" si="0" ref="M4:Q13">SUMIF($G:$G,TEXT(M$3,"000")&amp;TEXT($L4,"000"),$E:$E)</f>
        <v>0</v>
      </c>
      <c r="N4" s="69">
        <f t="shared" si="0"/>
        <v>0</v>
      </c>
      <c r="O4" s="69">
        <f t="shared" si="0"/>
        <v>0</v>
      </c>
      <c r="P4" s="69">
        <f t="shared" si="0"/>
        <v>0</v>
      </c>
      <c r="Q4" s="69">
        <f t="shared" si="0"/>
        <v>0</v>
      </c>
      <c r="R4" s="581">
        <f aca="true" t="shared" si="1" ref="R4:R48">IF(SUM(M4:Q4)&gt;0,0,1)</f>
        <v>1</v>
      </c>
      <c r="S4" s="620">
        <v>14.67</v>
      </c>
      <c r="T4" s="620">
        <v>0</v>
      </c>
      <c r="U4" s="620">
        <v>0</v>
      </c>
      <c r="V4" s="620">
        <v>0</v>
      </c>
      <c r="W4" s="620">
        <v>0</v>
      </c>
      <c r="Y4" s="70">
        <f>IF(AND(M4&lt;&gt;0,S4=0),#VALUE!,M4*S4)</f>
        <v>0</v>
      </c>
      <c r="Z4" s="70">
        <f>IF(AND(N4&lt;&gt;0,T4=0),#VALUE!,N4*T4)</f>
        <v>0</v>
      </c>
      <c r="AA4" s="70">
        <f>IF(AND(O4&lt;&gt;0,U4=0),#VALUE!,O4*U4)</f>
        <v>0</v>
      </c>
      <c r="AB4" s="70">
        <f>IF(AND(P4&lt;&gt;0,V4=0),#VALUE!,P4*V4)</f>
        <v>0</v>
      </c>
      <c r="AC4" s="70">
        <f>IF(AND(Q4&lt;&gt;0,W4=0),#VALUE!,Q4*W4)</f>
        <v>0</v>
      </c>
      <c r="AE4" s="69">
        <f>M4</f>
        <v>0</v>
      </c>
      <c r="AF4" s="69">
        <f>N4</f>
        <v>0</v>
      </c>
      <c r="AG4" s="69">
        <f>O4</f>
        <v>0</v>
      </c>
      <c r="AH4" s="69">
        <f>P4</f>
        <v>0</v>
      </c>
      <c r="AI4" s="69">
        <f>Q4</f>
        <v>0</v>
      </c>
      <c r="AK4" s="231">
        <f aca="true" t="shared" si="2" ref="AK4:AL32">ROUND(S4*(1+AK$1),2)</f>
        <v>14.67</v>
      </c>
      <c r="AL4" s="436">
        <f t="shared" si="2"/>
        <v>0</v>
      </c>
      <c r="AM4" s="436">
        <f aca="true" t="shared" si="3" ref="AM4:AM53">ROUND(U4*(1+AM$1),2)</f>
        <v>0</v>
      </c>
      <c r="AN4" s="436">
        <f aca="true" t="shared" si="4" ref="AN4:AN53">ROUND(V4*(1+AN$1),2)</f>
        <v>0</v>
      </c>
      <c r="AO4" s="436">
        <f aca="true" t="shared" si="5" ref="AO4:AO53">ROUND(W4*(1+AO$1),2)</f>
        <v>0</v>
      </c>
      <c r="AQ4" s="70">
        <f aca="true" t="shared" si="6" ref="AQ4:AQ51">IF(AND(AE4&lt;&gt;0,AK4=0),#VALUE!,AE4*AK4)</f>
        <v>0</v>
      </c>
      <c r="AR4" s="70">
        <f aca="true" t="shared" si="7" ref="AR4:AR51">IF(AND(AF4&lt;&gt;0,AL4=0),#VALUE!,AF4*AL4)</f>
        <v>0</v>
      </c>
      <c r="AS4" s="70">
        <f aca="true" t="shared" si="8" ref="AS4:AS51">IF(AND(AG4&lt;&gt;0,AM4=0),#VALUE!,AG4*AM4)</f>
        <v>0</v>
      </c>
      <c r="AT4" s="70">
        <f aca="true" t="shared" si="9" ref="AT4:AT51">IF(AND(AH4&lt;&gt;0,AN4=0),#VALUE!,AH4*AN4)</f>
        <v>0</v>
      </c>
      <c r="AU4" s="70">
        <f aca="true" t="shared" si="10" ref="AU4:AU51">IF(AND(AI4&lt;&gt;0,AO4=0),#VALUE!,AI4*AO4)</f>
        <v>0</v>
      </c>
      <c r="AV4" s="70">
        <f aca="true" t="shared" si="11" ref="AV4:AV32">SUM(AQ4:AU4)-SUM(Y4:AC4)</f>
        <v>0</v>
      </c>
      <c r="AW4" s="448">
        <v>42</v>
      </c>
      <c r="AX4" s="583">
        <v>14.99</v>
      </c>
      <c r="AY4" s="583"/>
      <c r="AZ4" s="583"/>
      <c r="BA4" s="583"/>
      <c r="BB4" s="583"/>
      <c r="BC4" s="140"/>
      <c r="BD4" s="449">
        <f>ROUND(AW4*$BD$2,2)+ROUND(AW4*$BD$1,2)</f>
        <v>0.09999999999999998</v>
      </c>
      <c r="BE4" s="54">
        <f>ROUND((S4*$BE$2),2)+ROUND($BD4-AX4,2)</f>
        <v>0</v>
      </c>
      <c r="BF4" s="54"/>
      <c r="BG4" s="54"/>
      <c r="BH4" s="54"/>
      <c r="BI4" s="54"/>
      <c r="BL4" s="279">
        <f>AK4*$BL$1</f>
        <v>14.891516999999999</v>
      </c>
      <c r="BM4" s="279">
        <f>AL4*$BL$1</f>
        <v>0</v>
      </c>
      <c r="BN4" s="279">
        <f>AM4*$BL$1</f>
        <v>0</v>
      </c>
      <c r="BO4" s="279">
        <f>AN4*$BL$1</f>
        <v>0</v>
      </c>
      <c r="BP4" s="279">
        <f>AO4*$BL$1</f>
        <v>0</v>
      </c>
      <c r="BR4" s="54">
        <f>BL4-AX4</f>
        <v>-0.09848300000000165</v>
      </c>
      <c r="BS4" s="54">
        <f>BM4-AY4</f>
        <v>0</v>
      </c>
      <c r="BT4" s="54">
        <f>BN4-AZ4</f>
        <v>0</v>
      </c>
      <c r="BU4" s="54">
        <f>BO4-BA4</f>
        <v>0</v>
      </c>
      <c r="BV4" s="54">
        <f>BP4-BB4</f>
        <v>0</v>
      </c>
    </row>
    <row r="5" spans="2:122" ht="12.75" customHeight="1">
      <c r="B5" s="45" t="s">
        <v>125</v>
      </c>
      <c r="C5" s="45" t="s">
        <v>118</v>
      </c>
      <c r="D5" s="45" t="s">
        <v>126</v>
      </c>
      <c r="E5" s="71" t="s">
        <v>127</v>
      </c>
      <c r="F5" s="59"/>
      <c r="G5" s="59"/>
      <c r="H5" s="200"/>
      <c r="I5" s="769" t="s">
        <v>453</v>
      </c>
      <c r="J5" s="769" t="s">
        <v>131</v>
      </c>
      <c r="K5" s="215" t="s">
        <v>978</v>
      </c>
      <c r="L5" s="582" t="s">
        <v>859</v>
      </c>
      <c r="M5" s="581">
        <f t="shared" si="0"/>
        <v>0</v>
      </c>
      <c r="N5" s="581">
        <f t="shared" si="0"/>
        <v>0</v>
      </c>
      <c r="O5" s="581">
        <f t="shared" si="0"/>
        <v>0</v>
      </c>
      <c r="P5" s="581">
        <f t="shared" si="0"/>
        <v>0</v>
      </c>
      <c r="Q5" s="581">
        <f t="shared" si="0"/>
        <v>0</v>
      </c>
      <c r="R5" s="581">
        <f aca="true" t="shared" si="12" ref="R5">IF(SUM(M5:Q5)&gt;0,0,1)</f>
        <v>1</v>
      </c>
      <c r="S5" s="620">
        <v>0</v>
      </c>
      <c r="T5" s="620">
        <v>0</v>
      </c>
      <c r="U5" s="620">
        <v>0</v>
      </c>
      <c r="V5" s="620">
        <v>0</v>
      </c>
      <c r="W5" s="620">
        <v>0.21038</v>
      </c>
      <c r="X5" s="769"/>
      <c r="Y5" s="70">
        <f aca="true" t="shared" si="13" ref="Y5">IF(AND(M5&lt;&gt;0,S5=0),#VALUE!,M5*S5)</f>
        <v>0</v>
      </c>
      <c r="Z5" s="70">
        <f aca="true" t="shared" si="14" ref="Z5">IF(AND(N5&lt;&gt;0,T5=0),#VALUE!,N5*T5)</f>
        <v>0</v>
      </c>
      <c r="AA5" s="70">
        <f aca="true" t="shared" si="15" ref="AA5">IF(AND(O5&lt;&gt;0,U5=0),#VALUE!,O5*U5)</f>
        <v>0</v>
      </c>
      <c r="AB5" s="70">
        <f aca="true" t="shared" si="16" ref="AB5">IF(AND(P5&lt;&gt;0,V5=0),#VALUE!,P5*V5)</f>
        <v>0</v>
      </c>
      <c r="AC5" s="70">
        <f aca="true" t="shared" si="17" ref="AC5">IF(AND(Q5&lt;&gt;0,W5=0),#VALUE!,Q5*W5)</f>
        <v>0</v>
      </c>
      <c r="AD5" s="769"/>
      <c r="AE5" s="581">
        <f aca="true" t="shared" si="18" ref="AE5:AI14">SUMIF($G:$G,TEXT(AE$3,"000")&amp;TEXT($L5,"000"),$E:$E)</f>
        <v>0</v>
      </c>
      <c r="AF5" s="581">
        <f t="shared" si="18"/>
        <v>0</v>
      </c>
      <c r="AG5" s="581">
        <f t="shared" si="18"/>
        <v>0</v>
      </c>
      <c r="AH5" s="581">
        <f t="shared" si="18"/>
        <v>0</v>
      </c>
      <c r="AI5" s="581">
        <f t="shared" si="18"/>
        <v>0</v>
      </c>
      <c r="AJ5" s="769"/>
      <c r="AK5" s="586">
        <f t="shared" si="2"/>
        <v>0</v>
      </c>
      <c r="AL5" s="586"/>
      <c r="AM5" s="586">
        <f t="shared" si="3"/>
        <v>0</v>
      </c>
      <c r="AN5" s="586">
        <f t="shared" si="4"/>
        <v>0</v>
      </c>
      <c r="AO5" s="586">
        <f t="shared" si="5"/>
        <v>0.21</v>
      </c>
      <c r="AP5" s="769"/>
      <c r="AQ5" s="70">
        <f t="shared" si="6"/>
        <v>0</v>
      </c>
      <c r="AR5" s="70">
        <f t="shared" si="7"/>
        <v>0</v>
      </c>
      <c r="AS5" s="70">
        <f t="shared" si="8"/>
        <v>0</v>
      </c>
      <c r="AT5" s="70">
        <f t="shared" si="9"/>
        <v>0</v>
      </c>
      <c r="AU5" s="70">
        <f t="shared" si="10"/>
        <v>0</v>
      </c>
      <c r="AV5" s="769"/>
      <c r="AW5" s="593">
        <v>2</v>
      </c>
      <c r="AX5" s="583"/>
      <c r="AY5" s="583"/>
      <c r="AZ5" s="583"/>
      <c r="BA5" s="583"/>
      <c r="BB5" s="583">
        <v>0.21</v>
      </c>
      <c r="BC5" s="583"/>
      <c r="BD5" s="589">
        <f aca="true" t="shared" si="19" ref="BD5">ROUND(AW5*$BD$2,2)+ROUND(AW5*$BD$1,2)</f>
        <v>0.009999999999999998</v>
      </c>
      <c r="BE5" s="579"/>
      <c r="BF5" s="579"/>
      <c r="BG5" s="579"/>
      <c r="BH5" s="579"/>
      <c r="BI5" s="579">
        <f>ROUND((W5*$BE$2)+$BD5-BB5,2)</f>
        <v>0.01</v>
      </c>
      <c r="BJ5" s="769"/>
      <c r="BK5" s="769"/>
      <c r="BL5" s="587">
        <f aca="true" t="shared" si="20" ref="BL5">AK5*$BL$1</f>
        <v>0</v>
      </c>
      <c r="BM5" s="587">
        <f aca="true" t="shared" si="21" ref="BM5">AL5*$BL$1</f>
        <v>0</v>
      </c>
      <c r="BN5" s="587">
        <f aca="true" t="shared" si="22" ref="BN5">AM5*$BL$1</f>
        <v>0</v>
      </c>
      <c r="BO5" s="587">
        <f aca="true" t="shared" si="23" ref="BO5">AN5*$BL$1</f>
        <v>0</v>
      </c>
      <c r="BP5" s="587">
        <f>AO5*$BL$1</f>
        <v>0.21317099999999997</v>
      </c>
      <c r="BQ5" s="769"/>
      <c r="BR5" s="579">
        <f aca="true" t="shared" si="24" ref="BR5">BL5-AX5</f>
        <v>0</v>
      </c>
      <c r="BS5" s="579">
        <f aca="true" t="shared" si="25" ref="BS5">BM5-AY5</f>
        <v>0</v>
      </c>
      <c r="BT5" s="579">
        <f aca="true" t="shared" si="26" ref="BT5">BN5-AZ5</f>
        <v>0</v>
      </c>
      <c r="BU5" s="579">
        <f aca="true" t="shared" si="27" ref="BU5">BO5-BA5</f>
        <v>0</v>
      </c>
      <c r="BV5" s="579">
        <f>BP5-BB5</f>
        <v>0.0031709999999999794</v>
      </c>
      <c r="BW5" s="769"/>
      <c r="BX5" s="769"/>
      <c r="BY5" s="769"/>
      <c r="BZ5" s="769"/>
      <c r="CA5" s="769"/>
      <c r="CB5" s="769"/>
      <c r="CC5" s="769"/>
      <c r="CD5" s="769"/>
      <c r="CE5" s="769"/>
      <c r="CF5" s="769"/>
      <c r="CG5" s="769"/>
      <c r="CH5" s="769"/>
      <c r="CI5" s="769"/>
      <c r="CJ5" s="769"/>
      <c r="CK5" s="769"/>
      <c r="CL5" s="769"/>
      <c r="CM5" s="769"/>
      <c r="CN5" s="769"/>
      <c r="CO5" s="769"/>
      <c r="CP5" s="769"/>
      <c r="CQ5" s="769"/>
      <c r="CR5" s="769"/>
      <c r="CS5" s="769"/>
      <c r="CT5" s="769"/>
      <c r="CU5" s="769"/>
      <c r="CV5" s="769"/>
      <c r="CW5" s="769"/>
      <c r="CX5" s="769"/>
      <c r="CY5" s="769"/>
      <c r="CZ5" s="769"/>
      <c r="DA5" s="769"/>
      <c r="DB5" s="769"/>
      <c r="DC5" s="769"/>
      <c r="DD5" s="769"/>
      <c r="DE5" s="769"/>
      <c r="DF5" s="769"/>
      <c r="DG5" s="769"/>
      <c r="DH5" s="769"/>
      <c r="DI5" s="769"/>
      <c r="DJ5" s="769"/>
      <c r="DK5" s="769"/>
      <c r="DL5" s="769"/>
      <c r="DM5" s="769"/>
      <c r="DN5" s="769"/>
      <c r="DO5" s="769"/>
      <c r="DP5" s="769"/>
      <c r="DQ5" s="769"/>
      <c r="DR5" s="769"/>
    </row>
    <row r="6" spans="9:122" ht="12.75" customHeight="1">
      <c r="I6" s="769" t="s">
        <v>453</v>
      </c>
      <c r="J6" s="769" t="s">
        <v>131</v>
      </c>
      <c r="K6" s="215" t="s">
        <v>978</v>
      </c>
      <c r="L6" s="582" t="s">
        <v>860</v>
      </c>
      <c r="M6" s="581">
        <f t="shared" si="0"/>
        <v>0</v>
      </c>
      <c r="N6" s="581">
        <f t="shared" si="0"/>
        <v>0</v>
      </c>
      <c r="O6" s="581">
        <f t="shared" si="0"/>
        <v>0</v>
      </c>
      <c r="P6" s="581">
        <f t="shared" si="0"/>
        <v>0</v>
      </c>
      <c r="Q6" s="581">
        <f t="shared" si="0"/>
        <v>42</v>
      </c>
      <c r="R6" s="581">
        <f aca="true" t="shared" si="28" ref="R6:R26">IF(SUM(M6:Q6)&gt;0,0,1)</f>
        <v>0</v>
      </c>
      <c r="S6" s="620">
        <v>0</v>
      </c>
      <c r="T6" s="620">
        <v>0</v>
      </c>
      <c r="U6" s="620">
        <v>0</v>
      </c>
      <c r="V6" s="620">
        <v>0</v>
      </c>
      <c r="W6" s="620">
        <v>0.52595</v>
      </c>
      <c r="X6" s="769"/>
      <c r="Y6" s="70">
        <f aca="true" t="shared" si="29" ref="Y6:Y26">IF(AND(M6&lt;&gt;0,S6=0),#VALUE!,M6*S6)</f>
        <v>0</v>
      </c>
      <c r="Z6" s="70">
        <f aca="true" t="shared" si="30" ref="Z6:Z26">IF(AND(N6&lt;&gt;0,T6=0),#VALUE!,N6*T6)</f>
        <v>0</v>
      </c>
      <c r="AA6" s="70">
        <f aca="true" t="shared" si="31" ref="AA6:AA26">IF(AND(O6&lt;&gt;0,U6=0),#VALUE!,O6*U6)</f>
        <v>0</v>
      </c>
      <c r="AB6" s="70">
        <f aca="true" t="shared" si="32" ref="AB6:AB26">IF(AND(P6&lt;&gt;0,V6=0),#VALUE!,P6*V6)</f>
        <v>0</v>
      </c>
      <c r="AC6" s="70">
        <f aca="true" t="shared" si="33" ref="AC6:AC25">IF(AND(Q6&lt;&gt;0,W6=0),#VALUE!,Q6*W6)</f>
        <v>22.0899</v>
      </c>
      <c r="AD6" s="769"/>
      <c r="AE6" s="581">
        <f t="shared" si="18"/>
        <v>0</v>
      </c>
      <c r="AF6" s="581">
        <f t="shared" si="18"/>
        <v>0</v>
      </c>
      <c r="AG6" s="581">
        <f t="shared" si="18"/>
        <v>0</v>
      </c>
      <c r="AH6" s="581">
        <f t="shared" si="18"/>
        <v>0</v>
      </c>
      <c r="AI6" s="581">
        <f t="shared" si="18"/>
        <v>42</v>
      </c>
      <c r="AJ6" s="769"/>
      <c r="AK6" s="586">
        <f aca="true" t="shared" si="34" ref="AK6:AK26">ROUND(S6*(1+AK$1),2)</f>
        <v>0</v>
      </c>
      <c r="AL6" s="586"/>
      <c r="AM6" s="586">
        <f aca="true" t="shared" si="35" ref="AM6:AM26">ROUND(U6*(1+AM$1),2)</f>
        <v>0</v>
      </c>
      <c r="AN6" s="586">
        <f aca="true" t="shared" si="36" ref="AN6:AN26">ROUND(V6*(1+AN$1),2)</f>
        <v>0</v>
      </c>
      <c r="AO6" s="586">
        <f aca="true" t="shared" si="37" ref="AO6:AO25">ROUND(W6*(1+AO$1),2)</f>
        <v>0.53</v>
      </c>
      <c r="AP6" s="769"/>
      <c r="AQ6" s="70">
        <f aca="true" t="shared" si="38" ref="AQ6:AQ26">IF(AND(AE6&lt;&gt;0,AK6=0),#VALUE!,AE6*AK6)</f>
        <v>0</v>
      </c>
      <c r="AR6" s="70">
        <f aca="true" t="shared" si="39" ref="AR6:AR26">IF(AND(AF6&lt;&gt;0,AL6=0),#VALUE!,AF6*AL6)</f>
        <v>0</v>
      </c>
      <c r="AS6" s="70">
        <f aca="true" t="shared" si="40" ref="AS6:AS26">IF(AND(AG6&lt;&gt;0,AM6=0),#VALUE!,AG6*AM6)</f>
        <v>0</v>
      </c>
      <c r="AT6" s="70">
        <f aca="true" t="shared" si="41" ref="AT6:AT26">IF(AND(AH6&lt;&gt;0,AN6=0),#VALUE!,AH6*AN6)</f>
        <v>0</v>
      </c>
      <c r="AU6" s="70">
        <f>IF(AND(AI6&lt;&gt;0,AO6=0),#VALUE!,AI6*AO6)</f>
        <v>22.26</v>
      </c>
      <c r="AV6" s="769"/>
      <c r="AW6" s="593">
        <v>5</v>
      </c>
      <c r="AX6" s="583"/>
      <c r="AY6" s="583"/>
      <c r="AZ6" s="583"/>
      <c r="BA6" s="583"/>
      <c r="BB6" s="583">
        <v>0.55</v>
      </c>
      <c r="BC6" s="583"/>
      <c r="BD6" s="589">
        <f aca="true" t="shared" si="42" ref="BD6:BD26">ROUND(AW6*$BD$2,2)+ROUND(AW6*$BD$1,2)</f>
        <v>0.010000000000000009</v>
      </c>
      <c r="BE6" s="579"/>
      <c r="BF6" s="579"/>
      <c r="BG6" s="579"/>
      <c r="BH6" s="579"/>
      <c r="BI6" s="579">
        <f aca="true" t="shared" si="43" ref="BI6:BI26">ROUND((W6*$BE$2)+$BD6-BB6,2)</f>
        <v>-0.01</v>
      </c>
      <c r="BJ6" s="769"/>
      <c r="BK6" s="769"/>
      <c r="BL6" s="587">
        <f aca="true" t="shared" si="44" ref="BL6:BL26">AK6*$BL$1</f>
        <v>0</v>
      </c>
      <c r="BM6" s="587">
        <f aca="true" t="shared" si="45" ref="BM6:BM26">AL6*$BL$1</f>
        <v>0</v>
      </c>
      <c r="BN6" s="587">
        <f aca="true" t="shared" si="46" ref="BN6:BN26">AM6*$BL$1</f>
        <v>0</v>
      </c>
      <c r="BO6" s="587">
        <f aca="true" t="shared" si="47" ref="BO6:BO26">AN6*$BL$1</f>
        <v>0</v>
      </c>
      <c r="BP6" s="587">
        <f aca="true" t="shared" si="48" ref="BP6:BP26">AO6*$BL$1</f>
        <v>0.538003</v>
      </c>
      <c r="BQ6" s="769"/>
      <c r="BR6" s="579">
        <f aca="true" t="shared" si="49" ref="BR6:BR26">BL6-AX6</f>
        <v>0</v>
      </c>
      <c r="BS6" s="579">
        <f aca="true" t="shared" si="50" ref="BS6:BS26">BM6-AY6</f>
        <v>0</v>
      </c>
      <c r="BT6" s="579">
        <f aca="true" t="shared" si="51" ref="BT6:BT26">BN6-AZ6</f>
        <v>0</v>
      </c>
      <c r="BU6" s="579">
        <f aca="true" t="shared" si="52" ref="BU6:BU26">BO6-BA6</f>
        <v>0</v>
      </c>
      <c r="BV6" s="579">
        <f aca="true" t="shared" si="53" ref="BV6:BV26">BP6-BB6</f>
        <v>-0.011997000000000035</v>
      </c>
      <c r="BW6" s="769"/>
      <c r="BX6" s="769"/>
      <c r="BY6" s="769"/>
      <c r="BZ6" s="769"/>
      <c r="CA6" s="769"/>
      <c r="CB6" s="769"/>
      <c r="CC6" s="769"/>
      <c r="CD6" s="769"/>
      <c r="CE6" s="769"/>
      <c r="CF6" s="769"/>
      <c r="CG6" s="769"/>
      <c r="CH6" s="769"/>
      <c r="CI6" s="769"/>
      <c r="CJ6" s="769"/>
      <c r="CK6" s="769"/>
      <c r="CL6" s="769"/>
      <c r="CM6" s="769"/>
      <c r="CN6" s="769"/>
      <c r="CO6" s="769"/>
      <c r="CP6" s="769"/>
      <c r="CQ6" s="769"/>
      <c r="CR6" s="769"/>
      <c r="CS6" s="769"/>
      <c r="CT6" s="769"/>
      <c r="CU6" s="769"/>
      <c r="CV6" s="769"/>
      <c r="CW6" s="769"/>
      <c r="CX6" s="769"/>
      <c r="CY6" s="769"/>
      <c r="CZ6" s="769"/>
      <c r="DA6" s="769"/>
      <c r="DB6" s="769"/>
      <c r="DC6" s="769"/>
      <c r="DD6" s="769"/>
      <c r="DE6" s="769"/>
      <c r="DF6" s="769"/>
      <c r="DG6" s="769"/>
      <c r="DH6" s="769"/>
      <c r="DI6" s="769"/>
      <c r="DJ6" s="769"/>
      <c r="DK6" s="769"/>
      <c r="DL6" s="769"/>
      <c r="DM6" s="769"/>
      <c r="DN6" s="769"/>
      <c r="DO6" s="769"/>
      <c r="DP6" s="769"/>
      <c r="DQ6" s="769"/>
      <c r="DR6" s="769"/>
    </row>
    <row r="7" spans="2:122" ht="12.75" customHeight="1">
      <c r="B7" s="35">
        <v>2</v>
      </c>
      <c r="C7" s="72" t="s">
        <v>119</v>
      </c>
      <c r="D7" s="35">
        <v>214</v>
      </c>
      <c r="E7" s="96">
        <v>0</v>
      </c>
      <c r="F7" s="73"/>
      <c r="G7" s="73" t="str">
        <f>IF(OR(ISBLANK(C7),ISBLANK(D7)),"",TEXT(C7,"000")&amp;TEXT(D7,"000"))</f>
        <v>041214</v>
      </c>
      <c r="H7" s="46"/>
      <c r="I7" s="769" t="s">
        <v>453</v>
      </c>
      <c r="J7" s="769" t="s">
        <v>131</v>
      </c>
      <c r="K7" s="215" t="s">
        <v>978</v>
      </c>
      <c r="L7" s="582" t="s">
        <v>861</v>
      </c>
      <c r="M7" s="581">
        <f t="shared" si="0"/>
        <v>0</v>
      </c>
      <c r="N7" s="581">
        <f t="shared" si="0"/>
        <v>0</v>
      </c>
      <c r="O7" s="581">
        <f t="shared" si="0"/>
        <v>0</v>
      </c>
      <c r="P7" s="581">
        <f t="shared" si="0"/>
        <v>0</v>
      </c>
      <c r="Q7" s="581">
        <f t="shared" si="0"/>
        <v>45</v>
      </c>
      <c r="R7" s="581">
        <f t="shared" si="28"/>
        <v>0</v>
      </c>
      <c r="S7" s="620">
        <v>0</v>
      </c>
      <c r="T7" s="620">
        <v>0</v>
      </c>
      <c r="U7" s="620">
        <v>0</v>
      </c>
      <c r="V7" s="620">
        <v>0</v>
      </c>
      <c r="W7" s="620">
        <v>0.94671</v>
      </c>
      <c r="X7" s="769"/>
      <c r="Y7" s="70">
        <f t="shared" si="29"/>
        <v>0</v>
      </c>
      <c r="Z7" s="70">
        <f t="shared" si="30"/>
        <v>0</v>
      </c>
      <c r="AA7" s="70">
        <f t="shared" si="31"/>
        <v>0</v>
      </c>
      <c r="AB7" s="70">
        <f t="shared" si="32"/>
        <v>0</v>
      </c>
      <c r="AC7" s="70">
        <f t="shared" si="33"/>
        <v>42.60195</v>
      </c>
      <c r="AD7" s="769"/>
      <c r="AE7" s="581">
        <f t="shared" si="18"/>
        <v>0</v>
      </c>
      <c r="AF7" s="581">
        <f t="shared" si="18"/>
        <v>0</v>
      </c>
      <c r="AG7" s="581">
        <f t="shared" si="18"/>
        <v>0</v>
      </c>
      <c r="AH7" s="581">
        <f t="shared" si="18"/>
        <v>0</v>
      </c>
      <c r="AI7" s="581">
        <f t="shared" si="18"/>
        <v>45</v>
      </c>
      <c r="AJ7" s="769"/>
      <c r="AK7" s="586">
        <f t="shared" si="34"/>
        <v>0</v>
      </c>
      <c r="AL7" s="586"/>
      <c r="AM7" s="586">
        <f t="shared" si="35"/>
        <v>0</v>
      </c>
      <c r="AN7" s="586">
        <f t="shared" si="36"/>
        <v>0</v>
      </c>
      <c r="AO7" s="586">
        <f t="shared" si="37"/>
        <v>0.95</v>
      </c>
      <c r="AP7" s="769"/>
      <c r="AQ7" s="70">
        <f t="shared" si="38"/>
        <v>0</v>
      </c>
      <c r="AR7" s="70">
        <f t="shared" si="39"/>
        <v>0</v>
      </c>
      <c r="AS7" s="70">
        <f t="shared" si="40"/>
        <v>0</v>
      </c>
      <c r="AT7" s="70">
        <f t="shared" si="41"/>
        <v>0</v>
      </c>
      <c r="AU7" s="70">
        <f aca="true" t="shared" si="54" ref="AU7:AU25">IF(AND(AI7&lt;&gt;0,AO7=0),#VALUE!,AI7*AO7)</f>
        <v>42.75</v>
      </c>
      <c r="AV7" s="769"/>
      <c r="AW7" s="593">
        <v>9</v>
      </c>
      <c r="AX7" s="583"/>
      <c r="AY7" s="583"/>
      <c r="AZ7" s="583"/>
      <c r="BA7" s="583"/>
      <c r="BB7" s="583">
        <v>0.99</v>
      </c>
      <c r="BC7" s="583"/>
      <c r="BD7" s="589">
        <f t="shared" si="42"/>
        <v>0.020000000000000004</v>
      </c>
      <c r="BE7" s="579"/>
      <c r="BF7" s="579"/>
      <c r="BG7" s="579"/>
      <c r="BH7" s="579"/>
      <c r="BI7" s="579">
        <f t="shared" si="43"/>
        <v>-0.01</v>
      </c>
      <c r="BJ7" s="769"/>
      <c r="BK7" s="769"/>
      <c r="BL7" s="587">
        <f t="shared" si="44"/>
        <v>0</v>
      </c>
      <c r="BM7" s="587">
        <f t="shared" si="45"/>
        <v>0</v>
      </c>
      <c r="BN7" s="587">
        <f t="shared" si="46"/>
        <v>0</v>
      </c>
      <c r="BO7" s="587">
        <f t="shared" si="47"/>
        <v>0</v>
      </c>
      <c r="BP7" s="587">
        <f t="shared" si="48"/>
        <v>0.9643449999999999</v>
      </c>
      <c r="BQ7" s="769"/>
      <c r="BR7" s="579">
        <f t="shared" si="49"/>
        <v>0</v>
      </c>
      <c r="BS7" s="579">
        <f t="shared" si="50"/>
        <v>0</v>
      </c>
      <c r="BT7" s="579">
        <f t="shared" si="51"/>
        <v>0</v>
      </c>
      <c r="BU7" s="579">
        <f t="shared" si="52"/>
        <v>0</v>
      </c>
      <c r="BV7" s="579">
        <f t="shared" si="53"/>
        <v>-0.025655000000000094</v>
      </c>
      <c r="BW7" s="769"/>
      <c r="BX7" s="769"/>
      <c r="BY7" s="769"/>
      <c r="BZ7" s="769"/>
      <c r="CA7" s="769"/>
      <c r="CB7" s="769"/>
      <c r="CC7" s="769"/>
      <c r="CD7" s="769"/>
      <c r="CE7" s="769"/>
      <c r="CF7" s="769"/>
      <c r="CG7" s="769"/>
      <c r="CH7" s="769"/>
      <c r="CI7" s="769"/>
      <c r="CJ7" s="769"/>
      <c r="CK7" s="769"/>
      <c r="CL7" s="769"/>
      <c r="CM7" s="769"/>
      <c r="CN7" s="769"/>
      <c r="CO7" s="769"/>
      <c r="CP7" s="769"/>
      <c r="CQ7" s="769"/>
      <c r="CR7" s="769"/>
      <c r="CS7" s="769"/>
      <c r="CT7" s="769"/>
      <c r="CU7" s="769"/>
      <c r="CV7" s="769"/>
      <c r="CW7" s="769"/>
      <c r="CX7" s="769"/>
      <c r="CY7" s="769"/>
      <c r="CZ7" s="769"/>
      <c r="DA7" s="769"/>
      <c r="DB7" s="769"/>
      <c r="DC7" s="769"/>
      <c r="DD7" s="769"/>
      <c r="DE7" s="769"/>
      <c r="DF7" s="769"/>
      <c r="DG7" s="769"/>
      <c r="DH7" s="769"/>
      <c r="DI7" s="769"/>
      <c r="DJ7" s="769"/>
      <c r="DK7" s="769"/>
      <c r="DL7" s="769"/>
      <c r="DM7" s="769"/>
      <c r="DN7" s="769"/>
      <c r="DO7" s="769"/>
      <c r="DP7" s="769"/>
      <c r="DQ7" s="769"/>
      <c r="DR7" s="769"/>
    </row>
    <row r="8" spans="2:122" ht="12.75" customHeight="1">
      <c r="B8" s="35">
        <v>2</v>
      </c>
      <c r="C8" s="72" t="s">
        <v>119</v>
      </c>
      <c r="D8" s="35">
        <v>411</v>
      </c>
      <c r="E8" s="96">
        <v>1</v>
      </c>
      <c r="F8" s="73"/>
      <c r="G8" s="73" t="str">
        <f>IF(OR(ISBLANK(C8),ISBLANK(D8)),"",TEXT(C8,"000")&amp;TEXT(D8,"000"))</f>
        <v>041411</v>
      </c>
      <c r="H8" s="46"/>
      <c r="I8" s="769" t="s">
        <v>453</v>
      </c>
      <c r="J8" s="769" t="s">
        <v>131</v>
      </c>
      <c r="K8" s="215" t="s">
        <v>978</v>
      </c>
      <c r="L8" s="582" t="s">
        <v>862</v>
      </c>
      <c r="M8" s="581">
        <f t="shared" si="0"/>
        <v>0</v>
      </c>
      <c r="N8" s="581">
        <f t="shared" si="0"/>
        <v>0</v>
      </c>
      <c r="O8" s="581">
        <f t="shared" si="0"/>
        <v>0</v>
      </c>
      <c r="P8" s="581">
        <f t="shared" si="0"/>
        <v>0</v>
      </c>
      <c r="Q8" s="581">
        <f t="shared" si="0"/>
        <v>0</v>
      </c>
      <c r="R8" s="581">
        <f t="shared" si="28"/>
        <v>1</v>
      </c>
      <c r="S8" s="620">
        <v>0</v>
      </c>
      <c r="T8" s="620">
        <v>0</v>
      </c>
      <c r="U8" s="620">
        <v>0</v>
      </c>
      <c r="V8" s="620">
        <v>0</v>
      </c>
      <c r="W8" s="620">
        <v>1.36747</v>
      </c>
      <c r="X8" s="769"/>
      <c r="Y8" s="70">
        <f t="shared" si="29"/>
        <v>0</v>
      </c>
      <c r="Z8" s="70">
        <f t="shared" si="30"/>
        <v>0</v>
      </c>
      <c r="AA8" s="70">
        <f t="shared" si="31"/>
        <v>0</v>
      </c>
      <c r="AB8" s="70">
        <f t="shared" si="32"/>
        <v>0</v>
      </c>
      <c r="AC8" s="70">
        <f t="shared" si="33"/>
        <v>0</v>
      </c>
      <c r="AD8" s="769"/>
      <c r="AE8" s="581">
        <f t="shared" si="18"/>
        <v>0</v>
      </c>
      <c r="AF8" s="581">
        <f t="shared" si="18"/>
        <v>0</v>
      </c>
      <c r="AG8" s="581">
        <f t="shared" si="18"/>
        <v>0</v>
      </c>
      <c r="AH8" s="581">
        <f t="shared" si="18"/>
        <v>0</v>
      </c>
      <c r="AI8" s="581">
        <f t="shared" si="18"/>
        <v>0</v>
      </c>
      <c r="AJ8" s="769"/>
      <c r="AK8" s="586">
        <f t="shared" si="34"/>
        <v>0</v>
      </c>
      <c r="AL8" s="586"/>
      <c r="AM8" s="586">
        <f t="shared" si="35"/>
        <v>0</v>
      </c>
      <c r="AN8" s="586">
        <f t="shared" si="36"/>
        <v>0</v>
      </c>
      <c r="AO8" s="586">
        <f t="shared" si="37"/>
        <v>1.37</v>
      </c>
      <c r="AP8" s="769"/>
      <c r="AQ8" s="70">
        <f t="shared" si="38"/>
        <v>0</v>
      </c>
      <c r="AR8" s="70">
        <f t="shared" si="39"/>
        <v>0</v>
      </c>
      <c r="AS8" s="70">
        <f t="shared" si="40"/>
        <v>0</v>
      </c>
      <c r="AT8" s="70">
        <f t="shared" si="41"/>
        <v>0</v>
      </c>
      <c r="AU8" s="70">
        <f t="shared" si="54"/>
        <v>0</v>
      </c>
      <c r="AV8" s="769"/>
      <c r="AW8" s="593">
        <v>13</v>
      </c>
      <c r="AX8" s="583"/>
      <c r="AY8" s="583"/>
      <c r="AZ8" s="583"/>
      <c r="BA8" s="583"/>
      <c r="BB8" s="583">
        <v>1.42</v>
      </c>
      <c r="BC8" s="583"/>
      <c r="BD8" s="589">
        <f t="shared" si="42"/>
        <v>0.03</v>
      </c>
      <c r="BE8" s="579"/>
      <c r="BF8" s="579"/>
      <c r="BG8" s="579"/>
      <c r="BH8" s="579"/>
      <c r="BI8" s="579">
        <f t="shared" si="43"/>
        <v>0</v>
      </c>
      <c r="BJ8" s="769"/>
      <c r="BK8" s="769"/>
      <c r="BL8" s="587">
        <f t="shared" si="44"/>
        <v>0</v>
      </c>
      <c r="BM8" s="587">
        <f t="shared" si="45"/>
        <v>0</v>
      </c>
      <c r="BN8" s="587">
        <f t="shared" si="46"/>
        <v>0</v>
      </c>
      <c r="BO8" s="587">
        <f t="shared" si="47"/>
        <v>0</v>
      </c>
      <c r="BP8" s="587">
        <f t="shared" si="48"/>
        <v>1.390687</v>
      </c>
      <c r="BQ8" s="769"/>
      <c r="BR8" s="579">
        <f t="shared" si="49"/>
        <v>0</v>
      </c>
      <c r="BS8" s="579">
        <f t="shared" si="50"/>
        <v>0</v>
      </c>
      <c r="BT8" s="579">
        <f t="shared" si="51"/>
        <v>0</v>
      </c>
      <c r="BU8" s="579">
        <f t="shared" si="52"/>
        <v>0</v>
      </c>
      <c r="BV8" s="579">
        <f t="shared" si="53"/>
        <v>-0.029312999999999922</v>
      </c>
      <c r="BW8" s="769"/>
      <c r="BX8" s="769"/>
      <c r="BY8" s="769"/>
      <c r="BZ8" s="769"/>
      <c r="CA8" s="769"/>
      <c r="CB8" s="769"/>
      <c r="CC8" s="769"/>
      <c r="CD8" s="769"/>
      <c r="CE8" s="769"/>
      <c r="CF8" s="769"/>
      <c r="CG8" s="769"/>
      <c r="CH8" s="769"/>
      <c r="CI8" s="769"/>
      <c r="CJ8" s="769"/>
      <c r="CK8" s="769"/>
      <c r="CL8" s="769"/>
      <c r="CM8" s="769"/>
      <c r="CN8" s="769"/>
      <c r="CO8" s="769"/>
      <c r="CP8" s="769"/>
      <c r="CQ8" s="769"/>
      <c r="CR8" s="769"/>
      <c r="CS8" s="769"/>
      <c r="CT8" s="769"/>
      <c r="CU8" s="769"/>
      <c r="CV8" s="769"/>
      <c r="CW8" s="769"/>
      <c r="CX8" s="769"/>
      <c r="CY8" s="769"/>
      <c r="CZ8" s="769"/>
      <c r="DA8" s="769"/>
      <c r="DB8" s="769"/>
      <c r="DC8" s="769"/>
      <c r="DD8" s="769"/>
      <c r="DE8" s="769"/>
      <c r="DF8" s="769"/>
      <c r="DG8" s="769"/>
      <c r="DH8" s="769"/>
      <c r="DI8" s="769"/>
      <c r="DJ8" s="769"/>
      <c r="DK8" s="769"/>
      <c r="DL8" s="769"/>
      <c r="DM8" s="769"/>
      <c r="DN8" s="769"/>
      <c r="DO8" s="769"/>
      <c r="DP8" s="769"/>
      <c r="DQ8" s="769"/>
      <c r="DR8" s="769"/>
    </row>
    <row r="9" spans="2:122" ht="12.75">
      <c r="B9" s="35">
        <v>2</v>
      </c>
      <c r="C9" s="72" t="s">
        <v>119</v>
      </c>
      <c r="D9" s="35">
        <v>511</v>
      </c>
      <c r="E9" s="702">
        <v>0</v>
      </c>
      <c r="F9" s="73"/>
      <c r="G9" s="73" t="str">
        <f>IF(OR(ISBLANK(C9),ISBLANK(D9)),"",TEXT(C9,"000")&amp;TEXT(D9,"000"))</f>
        <v>041511</v>
      </c>
      <c r="H9" s="46"/>
      <c r="I9" s="769" t="s">
        <v>453</v>
      </c>
      <c r="J9" s="769" t="s">
        <v>131</v>
      </c>
      <c r="K9" s="215" t="s">
        <v>978</v>
      </c>
      <c r="L9" s="582" t="s">
        <v>863</v>
      </c>
      <c r="M9" s="581">
        <f t="shared" si="0"/>
        <v>0</v>
      </c>
      <c r="N9" s="581">
        <f t="shared" si="0"/>
        <v>0</v>
      </c>
      <c r="O9" s="581">
        <f t="shared" si="0"/>
        <v>0</v>
      </c>
      <c r="P9" s="581">
        <f t="shared" si="0"/>
        <v>0</v>
      </c>
      <c r="Q9" s="581">
        <f t="shared" si="0"/>
        <v>0</v>
      </c>
      <c r="R9" s="581">
        <f t="shared" si="28"/>
        <v>1</v>
      </c>
      <c r="S9" s="620">
        <v>0</v>
      </c>
      <c r="T9" s="620">
        <v>0</v>
      </c>
      <c r="U9" s="620">
        <v>0</v>
      </c>
      <c r="V9" s="620">
        <v>0</v>
      </c>
      <c r="W9" s="620">
        <v>1.68304</v>
      </c>
      <c r="X9" s="769"/>
      <c r="Y9" s="70">
        <f t="shared" si="29"/>
        <v>0</v>
      </c>
      <c r="Z9" s="70">
        <f t="shared" si="30"/>
        <v>0</v>
      </c>
      <c r="AA9" s="70">
        <f t="shared" si="31"/>
        <v>0</v>
      </c>
      <c r="AB9" s="70">
        <f t="shared" si="32"/>
        <v>0</v>
      </c>
      <c r="AC9" s="70">
        <f t="shared" si="33"/>
        <v>0</v>
      </c>
      <c r="AD9" s="769"/>
      <c r="AE9" s="581">
        <f t="shared" si="18"/>
        <v>0</v>
      </c>
      <c r="AF9" s="581">
        <f t="shared" si="18"/>
        <v>0</v>
      </c>
      <c r="AG9" s="581">
        <f t="shared" si="18"/>
        <v>0</v>
      </c>
      <c r="AH9" s="581">
        <f t="shared" si="18"/>
        <v>0</v>
      </c>
      <c r="AI9" s="581">
        <f t="shared" si="18"/>
        <v>0</v>
      </c>
      <c r="AJ9" s="769"/>
      <c r="AK9" s="586">
        <f t="shared" si="34"/>
        <v>0</v>
      </c>
      <c r="AL9" s="586"/>
      <c r="AM9" s="586">
        <f t="shared" si="35"/>
        <v>0</v>
      </c>
      <c r="AN9" s="586">
        <f t="shared" si="36"/>
        <v>0</v>
      </c>
      <c r="AO9" s="586">
        <f t="shared" si="37"/>
        <v>1.68</v>
      </c>
      <c r="AP9" s="769"/>
      <c r="AQ9" s="70">
        <f t="shared" si="38"/>
        <v>0</v>
      </c>
      <c r="AR9" s="70">
        <f t="shared" si="39"/>
        <v>0</v>
      </c>
      <c r="AS9" s="70">
        <f t="shared" si="40"/>
        <v>0</v>
      </c>
      <c r="AT9" s="70">
        <f t="shared" si="41"/>
        <v>0</v>
      </c>
      <c r="AU9" s="70">
        <f t="shared" si="54"/>
        <v>0</v>
      </c>
      <c r="AV9" s="769"/>
      <c r="AW9" s="593">
        <v>16</v>
      </c>
      <c r="AX9" s="583"/>
      <c r="AY9" s="583"/>
      <c r="AZ9" s="583"/>
      <c r="BA9" s="583"/>
      <c r="BB9" s="583">
        <v>1.74</v>
      </c>
      <c r="BC9" s="583"/>
      <c r="BD9" s="589">
        <f t="shared" si="42"/>
        <v>0.03</v>
      </c>
      <c r="BE9" s="579"/>
      <c r="BF9" s="579"/>
      <c r="BG9" s="579"/>
      <c r="BH9" s="579"/>
      <c r="BI9" s="579">
        <f t="shared" si="43"/>
        <v>0</v>
      </c>
      <c r="BJ9" s="769"/>
      <c r="BK9" s="769"/>
      <c r="BL9" s="587">
        <f t="shared" si="44"/>
        <v>0</v>
      </c>
      <c r="BM9" s="587">
        <f t="shared" si="45"/>
        <v>0</v>
      </c>
      <c r="BN9" s="587">
        <f t="shared" si="46"/>
        <v>0</v>
      </c>
      <c r="BO9" s="587">
        <f t="shared" si="47"/>
        <v>0</v>
      </c>
      <c r="BP9" s="587">
        <f t="shared" si="48"/>
        <v>1.7053679999999998</v>
      </c>
      <c r="BQ9" s="769"/>
      <c r="BR9" s="579">
        <f t="shared" si="49"/>
        <v>0</v>
      </c>
      <c r="BS9" s="579">
        <f t="shared" si="50"/>
        <v>0</v>
      </c>
      <c r="BT9" s="579">
        <f t="shared" si="51"/>
        <v>0</v>
      </c>
      <c r="BU9" s="579">
        <f t="shared" si="52"/>
        <v>0</v>
      </c>
      <c r="BV9" s="579">
        <f t="shared" si="53"/>
        <v>-0.03463200000000022</v>
      </c>
      <c r="BW9" s="769"/>
      <c r="BX9" s="769"/>
      <c r="BY9" s="769"/>
      <c r="BZ9" s="769"/>
      <c r="CA9" s="769"/>
      <c r="CB9" s="769"/>
      <c r="CC9" s="769"/>
      <c r="CD9" s="769"/>
      <c r="CE9" s="769"/>
      <c r="CF9" s="769"/>
      <c r="CG9" s="769"/>
      <c r="CH9" s="769"/>
      <c r="CI9" s="769"/>
      <c r="CJ9" s="769"/>
      <c r="CK9" s="769"/>
      <c r="CL9" s="769"/>
      <c r="CM9" s="769"/>
      <c r="CN9" s="769"/>
      <c r="CO9" s="769"/>
      <c r="CP9" s="769"/>
      <c r="CQ9" s="769"/>
      <c r="CR9" s="769"/>
      <c r="CS9" s="769"/>
      <c r="CT9" s="769"/>
      <c r="CU9" s="769"/>
      <c r="CV9" s="769"/>
      <c r="CW9" s="769"/>
      <c r="CX9" s="769"/>
      <c r="CY9" s="769"/>
      <c r="CZ9" s="769"/>
      <c r="DA9" s="769"/>
      <c r="DB9" s="769"/>
      <c r="DC9" s="769"/>
      <c r="DD9" s="769"/>
      <c r="DE9" s="769"/>
      <c r="DF9" s="769"/>
      <c r="DG9" s="769"/>
      <c r="DH9" s="769"/>
      <c r="DI9" s="769"/>
      <c r="DJ9" s="769"/>
      <c r="DK9" s="769"/>
      <c r="DL9" s="769"/>
      <c r="DM9" s="769"/>
      <c r="DN9" s="769"/>
      <c r="DO9" s="769"/>
      <c r="DP9" s="769"/>
      <c r="DQ9" s="769"/>
      <c r="DR9" s="769"/>
    </row>
    <row r="10" spans="2:122" ht="12.75">
      <c r="B10" s="35">
        <v>2</v>
      </c>
      <c r="C10" s="72" t="s">
        <v>119</v>
      </c>
      <c r="D10" s="35">
        <v>611</v>
      </c>
      <c r="E10" s="96">
        <v>6</v>
      </c>
      <c r="F10" s="73"/>
      <c r="G10" s="73" t="str">
        <f>IF(OR(ISBLANK(C10),ISBLANK(D10)),"",TEXT(C10,"000")&amp;TEXT(D10,"000"))</f>
        <v>041611</v>
      </c>
      <c r="H10" s="46"/>
      <c r="I10" s="769" t="s">
        <v>453</v>
      </c>
      <c r="J10" s="769" t="s">
        <v>131</v>
      </c>
      <c r="K10" s="215" t="s">
        <v>978</v>
      </c>
      <c r="L10" s="582" t="s">
        <v>878</v>
      </c>
      <c r="M10" s="581">
        <f t="shared" si="0"/>
        <v>0</v>
      </c>
      <c r="N10" s="581">
        <f t="shared" si="0"/>
        <v>0</v>
      </c>
      <c r="O10" s="581">
        <f t="shared" si="0"/>
        <v>0</v>
      </c>
      <c r="P10" s="581">
        <f t="shared" si="0"/>
        <v>0</v>
      </c>
      <c r="Q10" s="581">
        <f t="shared" si="0"/>
        <v>0</v>
      </c>
      <c r="R10" s="581">
        <f t="shared" si="28"/>
        <v>1</v>
      </c>
      <c r="S10" s="620">
        <v>0</v>
      </c>
      <c r="T10" s="620">
        <v>0</v>
      </c>
      <c r="U10" s="620">
        <v>0</v>
      </c>
      <c r="V10" s="620">
        <v>0</v>
      </c>
      <c r="W10" s="620">
        <v>2.1038</v>
      </c>
      <c r="X10" s="769"/>
      <c r="Y10" s="70">
        <f t="shared" si="29"/>
        <v>0</v>
      </c>
      <c r="Z10" s="70">
        <f t="shared" si="30"/>
        <v>0</v>
      </c>
      <c r="AA10" s="70">
        <f t="shared" si="31"/>
        <v>0</v>
      </c>
      <c r="AB10" s="70">
        <f t="shared" si="32"/>
        <v>0</v>
      </c>
      <c r="AC10" s="70">
        <f t="shared" si="33"/>
        <v>0</v>
      </c>
      <c r="AD10" s="769"/>
      <c r="AE10" s="581">
        <f t="shared" si="18"/>
        <v>0</v>
      </c>
      <c r="AF10" s="581">
        <f t="shared" si="18"/>
        <v>0</v>
      </c>
      <c r="AG10" s="581">
        <f t="shared" si="18"/>
        <v>0</v>
      </c>
      <c r="AH10" s="581">
        <f t="shared" si="18"/>
        <v>0</v>
      </c>
      <c r="AI10" s="581">
        <f t="shared" si="18"/>
        <v>0</v>
      </c>
      <c r="AJ10" s="769"/>
      <c r="AK10" s="586">
        <f t="shared" si="34"/>
        <v>0</v>
      </c>
      <c r="AL10" s="586"/>
      <c r="AM10" s="586">
        <f t="shared" si="35"/>
        <v>0</v>
      </c>
      <c r="AN10" s="586">
        <f t="shared" si="36"/>
        <v>0</v>
      </c>
      <c r="AO10" s="586">
        <f t="shared" si="37"/>
        <v>2.1</v>
      </c>
      <c r="AP10" s="769"/>
      <c r="AQ10" s="70">
        <f t="shared" si="38"/>
        <v>0</v>
      </c>
      <c r="AR10" s="70">
        <f t="shared" si="39"/>
        <v>0</v>
      </c>
      <c r="AS10" s="70">
        <f t="shared" si="40"/>
        <v>0</v>
      </c>
      <c r="AT10" s="70">
        <f t="shared" si="41"/>
        <v>0</v>
      </c>
      <c r="AU10" s="70">
        <f t="shared" si="54"/>
        <v>0</v>
      </c>
      <c r="AV10" s="769"/>
      <c r="AW10" s="593">
        <v>20</v>
      </c>
      <c r="AX10" s="583"/>
      <c r="AY10" s="583"/>
      <c r="AZ10" s="583"/>
      <c r="BA10" s="583"/>
      <c r="BB10" s="583">
        <v>2.17</v>
      </c>
      <c r="BC10" s="583"/>
      <c r="BD10" s="589">
        <f t="shared" si="42"/>
        <v>0.05000000000000002</v>
      </c>
      <c r="BE10" s="579"/>
      <c r="BF10" s="579"/>
      <c r="BG10" s="579"/>
      <c r="BH10" s="579"/>
      <c r="BI10" s="579">
        <f t="shared" si="43"/>
        <v>0.02</v>
      </c>
      <c r="BJ10" s="769"/>
      <c r="BK10" s="769"/>
      <c r="BL10" s="587">
        <f t="shared" si="44"/>
        <v>0</v>
      </c>
      <c r="BM10" s="587">
        <f t="shared" si="45"/>
        <v>0</v>
      </c>
      <c r="BN10" s="587">
        <f t="shared" si="46"/>
        <v>0</v>
      </c>
      <c r="BO10" s="587">
        <f t="shared" si="47"/>
        <v>0</v>
      </c>
      <c r="BP10" s="587">
        <f t="shared" si="48"/>
        <v>2.13171</v>
      </c>
      <c r="BQ10" s="769"/>
      <c r="BR10" s="579">
        <f t="shared" si="49"/>
        <v>0</v>
      </c>
      <c r="BS10" s="579">
        <f t="shared" si="50"/>
        <v>0</v>
      </c>
      <c r="BT10" s="579">
        <f t="shared" si="51"/>
        <v>0</v>
      </c>
      <c r="BU10" s="579">
        <f t="shared" si="52"/>
        <v>0</v>
      </c>
      <c r="BV10" s="579">
        <f t="shared" si="53"/>
        <v>-0.038289999999999935</v>
      </c>
      <c r="BW10" s="769"/>
      <c r="BX10" s="769"/>
      <c r="BY10" s="769"/>
      <c r="BZ10" s="769"/>
      <c r="CA10" s="769"/>
      <c r="CB10" s="769"/>
      <c r="CC10" s="769"/>
      <c r="CD10" s="769"/>
      <c r="CE10" s="769"/>
      <c r="CF10" s="769"/>
      <c r="CG10" s="769"/>
      <c r="CH10" s="769"/>
      <c r="CI10" s="769"/>
      <c r="CJ10" s="769"/>
      <c r="CK10" s="769"/>
      <c r="CL10" s="769"/>
      <c r="CM10" s="769"/>
      <c r="CN10" s="769"/>
      <c r="CO10" s="769"/>
      <c r="CP10" s="769"/>
      <c r="CQ10" s="769"/>
      <c r="CR10" s="769"/>
      <c r="CS10" s="769"/>
      <c r="CT10" s="769"/>
      <c r="CU10" s="769"/>
      <c r="CV10" s="769"/>
      <c r="CW10" s="769"/>
      <c r="CX10" s="769"/>
      <c r="CY10" s="769"/>
      <c r="CZ10" s="769"/>
      <c r="DA10" s="769"/>
      <c r="DB10" s="769"/>
      <c r="DC10" s="769"/>
      <c r="DD10" s="769"/>
      <c r="DE10" s="769"/>
      <c r="DF10" s="769"/>
      <c r="DG10" s="769"/>
      <c r="DH10" s="769"/>
      <c r="DI10" s="769"/>
      <c r="DJ10" s="769"/>
      <c r="DK10" s="769"/>
      <c r="DL10" s="769"/>
      <c r="DM10" s="769"/>
      <c r="DN10" s="769"/>
      <c r="DO10" s="769"/>
      <c r="DP10" s="769"/>
      <c r="DQ10" s="769"/>
      <c r="DR10" s="769"/>
    </row>
    <row r="11" spans="3:122" ht="12.75">
      <c r="C11" s="72"/>
      <c r="E11" s="74">
        <f>SUM(E7:E10)</f>
        <v>7</v>
      </c>
      <c r="F11" s="75"/>
      <c r="G11" s="73"/>
      <c r="H11" s="46"/>
      <c r="I11" s="769" t="s">
        <v>453</v>
      </c>
      <c r="J11" s="769" t="s">
        <v>131</v>
      </c>
      <c r="K11" s="215" t="s">
        <v>978</v>
      </c>
      <c r="L11" s="582" t="s">
        <v>880</v>
      </c>
      <c r="M11" s="581">
        <f t="shared" si="0"/>
        <v>0</v>
      </c>
      <c r="N11" s="581">
        <f t="shared" si="0"/>
        <v>0</v>
      </c>
      <c r="O11" s="581">
        <f t="shared" si="0"/>
        <v>0</v>
      </c>
      <c r="P11" s="581">
        <f t="shared" si="0"/>
        <v>0</v>
      </c>
      <c r="Q11" s="581">
        <f t="shared" si="0"/>
        <v>0</v>
      </c>
      <c r="R11" s="581">
        <f t="shared" si="28"/>
        <v>1</v>
      </c>
      <c r="S11" s="620">
        <v>0</v>
      </c>
      <c r="T11" s="620">
        <v>0</v>
      </c>
      <c r="U11" s="620">
        <v>0</v>
      </c>
      <c r="V11" s="620">
        <v>0</v>
      </c>
      <c r="W11" s="620">
        <v>2.4193700000000002</v>
      </c>
      <c r="X11" s="769"/>
      <c r="Y11" s="70">
        <f t="shared" si="29"/>
        <v>0</v>
      </c>
      <c r="Z11" s="70">
        <f t="shared" si="30"/>
        <v>0</v>
      </c>
      <c r="AA11" s="70">
        <f t="shared" si="31"/>
        <v>0</v>
      </c>
      <c r="AB11" s="70">
        <f t="shared" si="32"/>
        <v>0</v>
      </c>
      <c r="AC11" s="70">
        <f t="shared" si="33"/>
        <v>0</v>
      </c>
      <c r="AD11" s="769"/>
      <c r="AE11" s="581">
        <f t="shared" si="18"/>
        <v>0</v>
      </c>
      <c r="AF11" s="581">
        <f t="shared" si="18"/>
        <v>0</v>
      </c>
      <c r="AG11" s="581">
        <f t="shared" si="18"/>
        <v>0</v>
      </c>
      <c r="AH11" s="581">
        <f t="shared" si="18"/>
        <v>0</v>
      </c>
      <c r="AI11" s="581">
        <f t="shared" si="18"/>
        <v>0</v>
      </c>
      <c r="AJ11" s="769"/>
      <c r="AK11" s="586">
        <f t="shared" si="34"/>
        <v>0</v>
      </c>
      <c r="AL11" s="586"/>
      <c r="AM11" s="586">
        <f t="shared" si="35"/>
        <v>0</v>
      </c>
      <c r="AN11" s="586">
        <f t="shared" si="36"/>
        <v>0</v>
      </c>
      <c r="AO11" s="586">
        <f t="shared" si="37"/>
        <v>2.42</v>
      </c>
      <c r="AP11" s="769"/>
      <c r="AQ11" s="70">
        <f t="shared" si="38"/>
        <v>0</v>
      </c>
      <c r="AR11" s="70">
        <f t="shared" si="39"/>
        <v>0</v>
      </c>
      <c r="AS11" s="70">
        <f t="shared" si="40"/>
        <v>0</v>
      </c>
      <c r="AT11" s="70">
        <f t="shared" si="41"/>
        <v>0</v>
      </c>
      <c r="AU11" s="70">
        <f t="shared" si="54"/>
        <v>0</v>
      </c>
      <c r="AV11" s="769"/>
      <c r="AW11" s="593">
        <v>23</v>
      </c>
      <c r="AX11" s="583"/>
      <c r="AY11" s="583"/>
      <c r="AZ11" s="583"/>
      <c r="BA11" s="583"/>
      <c r="BB11" s="583">
        <v>2.51</v>
      </c>
      <c r="BC11" s="583"/>
      <c r="BD11" s="589">
        <f t="shared" si="42"/>
        <v>0.04999999999999999</v>
      </c>
      <c r="BE11" s="579"/>
      <c r="BF11" s="579"/>
      <c r="BG11" s="579"/>
      <c r="BH11" s="579"/>
      <c r="BI11" s="579">
        <f t="shared" si="43"/>
        <v>0</v>
      </c>
      <c r="BJ11" s="769"/>
      <c r="BK11" s="769"/>
      <c r="BL11" s="587">
        <f t="shared" si="44"/>
        <v>0</v>
      </c>
      <c r="BM11" s="587">
        <f t="shared" si="45"/>
        <v>0</v>
      </c>
      <c r="BN11" s="587">
        <f t="shared" si="46"/>
        <v>0</v>
      </c>
      <c r="BO11" s="587">
        <f t="shared" si="47"/>
        <v>0</v>
      </c>
      <c r="BP11" s="587">
        <f t="shared" si="48"/>
        <v>2.456542</v>
      </c>
      <c r="BQ11" s="769"/>
      <c r="BR11" s="579">
        <f t="shared" si="49"/>
        <v>0</v>
      </c>
      <c r="BS11" s="579">
        <f t="shared" si="50"/>
        <v>0</v>
      </c>
      <c r="BT11" s="579">
        <f t="shared" si="51"/>
        <v>0</v>
      </c>
      <c r="BU11" s="579">
        <f t="shared" si="52"/>
        <v>0</v>
      </c>
      <c r="BV11" s="579">
        <f t="shared" si="53"/>
        <v>-0.053458000000000006</v>
      </c>
      <c r="BW11" s="769"/>
      <c r="BX11" s="769"/>
      <c r="BY11" s="769"/>
      <c r="BZ11" s="769"/>
      <c r="CA11" s="769"/>
      <c r="CB11" s="769"/>
      <c r="CC11" s="769"/>
      <c r="CD11" s="769"/>
      <c r="CE11" s="769"/>
      <c r="CF11" s="769"/>
      <c r="CG11" s="769"/>
      <c r="CH11" s="769"/>
      <c r="CI11" s="769"/>
      <c r="CJ11" s="769"/>
      <c r="CK11" s="769"/>
      <c r="CL11" s="769"/>
      <c r="CM11" s="769"/>
      <c r="CN11" s="769"/>
      <c r="CO11" s="769"/>
      <c r="CP11" s="769"/>
      <c r="CQ11" s="769"/>
      <c r="CR11" s="769"/>
      <c r="CS11" s="769"/>
      <c r="CT11" s="769"/>
      <c r="CU11" s="769"/>
      <c r="CV11" s="769"/>
      <c r="CW11" s="769"/>
      <c r="CX11" s="769"/>
      <c r="CY11" s="769"/>
      <c r="CZ11" s="769"/>
      <c r="DA11" s="769"/>
      <c r="DB11" s="769"/>
      <c r="DC11" s="769"/>
      <c r="DD11" s="769"/>
      <c r="DE11" s="769"/>
      <c r="DF11" s="769"/>
      <c r="DG11" s="769"/>
      <c r="DH11" s="769"/>
      <c r="DI11" s="769"/>
      <c r="DJ11" s="769"/>
      <c r="DK11" s="769"/>
      <c r="DL11" s="769"/>
      <c r="DM11" s="769"/>
      <c r="DN11" s="769"/>
      <c r="DO11" s="769"/>
      <c r="DP11" s="769"/>
      <c r="DQ11" s="769"/>
      <c r="DR11" s="769"/>
    </row>
    <row r="12" spans="5:122" ht="12.75">
      <c r="E12" s="73"/>
      <c r="F12" s="73"/>
      <c r="G12" s="73" t="str">
        <f aca="true" t="shared" si="55" ref="G12:G41">IF(OR(ISBLANK(C12),ISBLANK(D12)),"",TEXT(C12,"000")&amp;TEXT(D12,"000"))</f>
        <v/>
      </c>
      <c r="I12" s="769" t="s">
        <v>453</v>
      </c>
      <c r="J12" s="769" t="s">
        <v>131</v>
      </c>
      <c r="K12" s="215" t="s">
        <v>978</v>
      </c>
      <c r="L12" s="582" t="s">
        <v>882</v>
      </c>
      <c r="M12" s="581">
        <f t="shared" si="0"/>
        <v>0</v>
      </c>
      <c r="N12" s="581">
        <f t="shared" si="0"/>
        <v>0</v>
      </c>
      <c r="O12" s="581">
        <f t="shared" si="0"/>
        <v>0</v>
      </c>
      <c r="P12" s="581">
        <f t="shared" si="0"/>
        <v>0</v>
      </c>
      <c r="Q12" s="581">
        <f t="shared" si="0"/>
        <v>0</v>
      </c>
      <c r="R12" s="581">
        <f t="shared" si="28"/>
        <v>1</v>
      </c>
      <c r="S12" s="620">
        <v>0</v>
      </c>
      <c r="T12" s="620">
        <v>0</v>
      </c>
      <c r="U12" s="620">
        <v>0</v>
      </c>
      <c r="V12" s="620">
        <v>0</v>
      </c>
      <c r="W12" s="620">
        <v>2.8401300000000003</v>
      </c>
      <c r="X12" s="769"/>
      <c r="Y12" s="70">
        <f t="shared" si="29"/>
        <v>0</v>
      </c>
      <c r="Z12" s="70">
        <f t="shared" si="30"/>
        <v>0</v>
      </c>
      <c r="AA12" s="70">
        <f t="shared" si="31"/>
        <v>0</v>
      </c>
      <c r="AB12" s="70">
        <f t="shared" si="32"/>
        <v>0</v>
      </c>
      <c r="AC12" s="70">
        <f t="shared" si="33"/>
        <v>0</v>
      </c>
      <c r="AD12" s="769"/>
      <c r="AE12" s="581">
        <f t="shared" si="18"/>
        <v>0</v>
      </c>
      <c r="AF12" s="581">
        <f t="shared" si="18"/>
        <v>0</v>
      </c>
      <c r="AG12" s="581">
        <f t="shared" si="18"/>
        <v>0</v>
      </c>
      <c r="AH12" s="581">
        <f t="shared" si="18"/>
        <v>0</v>
      </c>
      <c r="AI12" s="581">
        <f t="shared" si="18"/>
        <v>0</v>
      </c>
      <c r="AJ12" s="769"/>
      <c r="AK12" s="586">
        <f t="shared" si="34"/>
        <v>0</v>
      </c>
      <c r="AL12" s="586"/>
      <c r="AM12" s="586">
        <f t="shared" si="35"/>
        <v>0</v>
      </c>
      <c r="AN12" s="586">
        <f t="shared" si="36"/>
        <v>0</v>
      </c>
      <c r="AO12" s="586">
        <f t="shared" si="37"/>
        <v>2.84</v>
      </c>
      <c r="AP12" s="769"/>
      <c r="AQ12" s="70">
        <f t="shared" si="38"/>
        <v>0</v>
      </c>
      <c r="AR12" s="70">
        <f t="shared" si="39"/>
        <v>0</v>
      </c>
      <c r="AS12" s="70">
        <f t="shared" si="40"/>
        <v>0</v>
      </c>
      <c r="AT12" s="70">
        <f t="shared" si="41"/>
        <v>0</v>
      </c>
      <c r="AU12" s="70">
        <f t="shared" si="54"/>
        <v>0</v>
      </c>
      <c r="AV12" s="769"/>
      <c r="AW12" s="593">
        <v>27</v>
      </c>
      <c r="AX12" s="583"/>
      <c r="AY12" s="583"/>
      <c r="AZ12" s="583"/>
      <c r="BA12" s="583"/>
      <c r="BB12" s="583">
        <v>2.95</v>
      </c>
      <c r="BC12" s="583"/>
      <c r="BD12" s="589">
        <f t="shared" si="42"/>
        <v>0.06</v>
      </c>
      <c r="BE12" s="579"/>
      <c r="BF12" s="579"/>
      <c r="BG12" s="579"/>
      <c r="BH12" s="579"/>
      <c r="BI12" s="579">
        <f t="shared" si="43"/>
        <v>-0.01</v>
      </c>
      <c r="BJ12" s="769"/>
      <c r="BK12" s="769"/>
      <c r="BL12" s="587">
        <f t="shared" si="44"/>
        <v>0</v>
      </c>
      <c r="BM12" s="587">
        <f t="shared" si="45"/>
        <v>0</v>
      </c>
      <c r="BN12" s="587">
        <f t="shared" si="46"/>
        <v>0</v>
      </c>
      <c r="BO12" s="587">
        <f t="shared" si="47"/>
        <v>0</v>
      </c>
      <c r="BP12" s="587">
        <f t="shared" si="48"/>
        <v>2.8828839999999993</v>
      </c>
      <c r="BQ12" s="769"/>
      <c r="BR12" s="579">
        <f t="shared" si="49"/>
        <v>0</v>
      </c>
      <c r="BS12" s="579">
        <f t="shared" si="50"/>
        <v>0</v>
      </c>
      <c r="BT12" s="579">
        <f t="shared" si="51"/>
        <v>0</v>
      </c>
      <c r="BU12" s="579">
        <f t="shared" si="52"/>
        <v>0</v>
      </c>
      <c r="BV12" s="579">
        <f t="shared" si="53"/>
        <v>-0.06711600000000084</v>
      </c>
      <c r="BW12" s="769"/>
      <c r="BX12" s="769"/>
      <c r="BY12" s="769"/>
      <c r="BZ12" s="769"/>
      <c r="CA12" s="769"/>
      <c r="CB12" s="769"/>
      <c r="CC12" s="769"/>
      <c r="CD12" s="769"/>
      <c r="CE12" s="769"/>
      <c r="CF12" s="769"/>
      <c r="CG12" s="769"/>
      <c r="CH12" s="769"/>
      <c r="CI12" s="769"/>
      <c r="CJ12" s="769"/>
      <c r="CK12" s="769"/>
      <c r="CL12" s="769"/>
      <c r="CM12" s="769"/>
      <c r="CN12" s="769"/>
      <c r="CO12" s="769"/>
      <c r="CP12" s="769"/>
      <c r="CQ12" s="769"/>
      <c r="CR12" s="769"/>
      <c r="CS12" s="769"/>
      <c r="CT12" s="769"/>
      <c r="CU12" s="769"/>
      <c r="CV12" s="769"/>
      <c r="CW12" s="769"/>
      <c r="CX12" s="769"/>
      <c r="CY12" s="769"/>
      <c r="CZ12" s="769"/>
      <c r="DA12" s="769"/>
      <c r="DB12" s="769"/>
      <c r="DC12" s="769"/>
      <c r="DD12" s="769"/>
      <c r="DE12" s="769"/>
      <c r="DF12" s="769"/>
      <c r="DG12" s="769"/>
      <c r="DH12" s="769"/>
      <c r="DI12" s="769"/>
      <c r="DJ12" s="769"/>
      <c r="DK12" s="769"/>
      <c r="DL12" s="769"/>
      <c r="DM12" s="769"/>
      <c r="DN12" s="769"/>
      <c r="DO12" s="769"/>
      <c r="DP12" s="769"/>
      <c r="DQ12" s="769"/>
      <c r="DR12" s="769"/>
    </row>
    <row r="13" spans="2:122" ht="12.75">
      <c r="B13" s="35">
        <v>2</v>
      </c>
      <c r="C13" s="72" t="s">
        <v>120</v>
      </c>
      <c r="D13" s="35">
        <v>234</v>
      </c>
      <c r="E13" s="562">
        <v>96</v>
      </c>
      <c r="F13" s="73"/>
      <c r="G13" s="73" t="str">
        <f t="shared" si="55"/>
        <v>042234</v>
      </c>
      <c r="H13" s="46"/>
      <c r="I13" s="769" t="s">
        <v>453</v>
      </c>
      <c r="J13" s="769" t="s">
        <v>131</v>
      </c>
      <c r="K13" s="215" t="s">
        <v>978</v>
      </c>
      <c r="L13" s="582" t="s">
        <v>884</v>
      </c>
      <c r="M13" s="581">
        <f t="shared" si="0"/>
        <v>0</v>
      </c>
      <c r="N13" s="581">
        <f t="shared" si="0"/>
        <v>0</v>
      </c>
      <c r="O13" s="581">
        <f t="shared" si="0"/>
        <v>0</v>
      </c>
      <c r="P13" s="581">
        <f t="shared" si="0"/>
        <v>0</v>
      </c>
      <c r="Q13" s="581">
        <f t="shared" si="0"/>
        <v>0</v>
      </c>
      <c r="R13" s="581">
        <f t="shared" si="28"/>
        <v>1</v>
      </c>
      <c r="S13" s="620">
        <v>0</v>
      </c>
      <c r="T13" s="620">
        <v>0</v>
      </c>
      <c r="U13" s="620">
        <v>0</v>
      </c>
      <c r="V13" s="620">
        <v>0</v>
      </c>
      <c r="W13" s="620">
        <v>3.2608900000000003</v>
      </c>
      <c r="X13" s="769"/>
      <c r="Y13" s="70">
        <f t="shared" si="29"/>
        <v>0</v>
      </c>
      <c r="Z13" s="70">
        <f t="shared" si="30"/>
        <v>0</v>
      </c>
      <c r="AA13" s="70">
        <f t="shared" si="31"/>
        <v>0</v>
      </c>
      <c r="AB13" s="70">
        <f t="shared" si="32"/>
        <v>0</v>
      </c>
      <c r="AC13" s="70">
        <f t="shared" si="33"/>
        <v>0</v>
      </c>
      <c r="AD13" s="769"/>
      <c r="AE13" s="581">
        <f t="shared" si="18"/>
        <v>0</v>
      </c>
      <c r="AF13" s="581">
        <f t="shared" si="18"/>
        <v>0</v>
      </c>
      <c r="AG13" s="581">
        <f t="shared" si="18"/>
        <v>0</v>
      </c>
      <c r="AH13" s="581">
        <f t="shared" si="18"/>
        <v>0</v>
      </c>
      <c r="AI13" s="581">
        <f t="shared" si="18"/>
        <v>0</v>
      </c>
      <c r="AJ13" s="769"/>
      <c r="AK13" s="586">
        <f t="shared" si="34"/>
        <v>0</v>
      </c>
      <c r="AL13" s="586"/>
      <c r="AM13" s="586">
        <f t="shared" si="35"/>
        <v>0</v>
      </c>
      <c r="AN13" s="586">
        <f t="shared" si="36"/>
        <v>0</v>
      </c>
      <c r="AO13" s="586">
        <f t="shared" si="37"/>
        <v>3.26</v>
      </c>
      <c r="AP13" s="769"/>
      <c r="AQ13" s="70">
        <f t="shared" si="38"/>
        <v>0</v>
      </c>
      <c r="AR13" s="70">
        <f t="shared" si="39"/>
        <v>0</v>
      </c>
      <c r="AS13" s="70">
        <f t="shared" si="40"/>
        <v>0</v>
      </c>
      <c r="AT13" s="70">
        <f t="shared" si="41"/>
        <v>0</v>
      </c>
      <c r="AU13" s="70">
        <f t="shared" si="54"/>
        <v>0</v>
      </c>
      <c r="AV13" s="769"/>
      <c r="AW13" s="593">
        <v>31</v>
      </c>
      <c r="AX13" s="583"/>
      <c r="AY13" s="583"/>
      <c r="AZ13" s="583"/>
      <c r="BA13" s="583"/>
      <c r="BB13" s="583">
        <v>3.38</v>
      </c>
      <c r="BC13" s="583"/>
      <c r="BD13" s="589">
        <f t="shared" si="42"/>
        <v>0.07</v>
      </c>
      <c r="BE13" s="579"/>
      <c r="BF13" s="579"/>
      <c r="BG13" s="579"/>
      <c r="BH13" s="579"/>
      <c r="BI13" s="579">
        <f t="shared" si="43"/>
        <v>0</v>
      </c>
      <c r="BJ13" s="769"/>
      <c r="BK13" s="769"/>
      <c r="BL13" s="587">
        <f t="shared" si="44"/>
        <v>0</v>
      </c>
      <c r="BM13" s="587">
        <f t="shared" si="45"/>
        <v>0</v>
      </c>
      <c r="BN13" s="587">
        <f t="shared" si="46"/>
        <v>0</v>
      </c>
      <c r="BO13" s="587">
        <f t="shared" si="47"/>
        <v>0</v>
      </c>
      <c r="BP13" s="587">
        <f t="shared" si="48"/>
        <v>3.3092259999999993</v>
      </c>
      <c r="BQ13" s="769"/>
      <c r="BR13" s="579">
        <f t="shared" si="49"/>
        <v>0</v>
      </c>
      <c r="BS13" s="579">
        <f t="shared" si="50"/>
        <v>0</v>
      </c>
      <c r="BT13" s="579">
        <f t="shared" si="51"/>
        <v>0</v>
      </c>
      <c r="BU13" s="579">
        <f t="shared" si="52"/>
        <v>0</v>
      </c>
      <c r="BV13" s="579">
        <f t="shared" si="53"/>
        <v>-0.07077400000000056</v>
      </c>
      <c r="BW13" s="769"/>
      <c r="BX13" s="769"/>
      <c r="BY13" s="769"/>
      <c r="BZ13" s="769"/>
      <c r="CA13" s="769"/>
      <c r="CB13" s="769"/>
      <c r="CC13" s="769"/>
      <c r="CD13" s="769"/>
      <c r="CE13" s="769"/>
      <c r="CF13" s="769"/>
      <c r="CG13" s="769"/>
      <c r="CH13" s="769"/>
      <c r="CI13" s="769"/>
      <c r="CJ13" s="769"/>
      <c r="CK13" s="769"/>
      <c r="CL13" s="769"/>
      <c r="CM13" s="769"/>
      <c r="CN13" s="769"/>
      <c r="CO13" s="769"/>
      <c r="CP13" s="769"/>
      <c r="CQ13" s="769"/>
      <c r="CR13" s="769"/>
      <c r="CS13" s="769"/>
      <c r="CT13" s="769"/>
      <c r="CU13" s="769"/>
      <c r="CV13" s="769"/>
      <c r="CW13" s="769"/>
      <c r="CX13" s="769"/>
      <c r="CY13" s="769"/>
      <c r="CZ13" s="769"/>
      <c r="DA13" s="769"/>
      <c r="DB13" s="769"/>
      <c r="DC13" s="769"/>
      <c r="DD13" s="769"/>
      <c r="DE13" s="769"/>
      <c r="DF13" s="769"/>
      <c r="DG13" s="769"/>
      <c r="DH13" s="769"/>
      <c r="DI13" s="769"/>
      <c r="DJ13" s="769"/>
      <c r="DK13" s="769"/>
      <c r="DL13" s="769"/>
      <c r="DM13" s="769"/>
      <c r="DN13" s="769"/>
      <c r="DO13" s="769"/>
      <c r="DP13" s="769"/>
      <c r="DQ13" s="769"/>
      <c r="DR13" s="769"/>
    </row>
    <row r="14" spans="2:122" ht="12.75">
      <c r="B14" s="35">
        <v>2</v>
      </c>
      <c r="C14" s="72" t="s">
        <v>120</v>
      </c>
      <c r="D14" s="35">
        <v>421</v>
      </c>
      <c r="E14" s="562">
        <v>2</v>
      </c>
      <c r="F14" s="73"/>
      <c r="G14" s="73" t="str">
        <f t="shared" si="55"/>
        <v>042421</v>
      </c>
      <c r="H14" s="46"/>
      <c r="I14" s="769" t="s">
        <v>453</v>
      </c>
      <c r="J14" s="769" t="s">
        <v>131</v>
      </c>
      <c r="K14" s="215" t="s">
        <v>978</v>
      </c>
      <c r="L14" s="582" t="s">
        <v>886</v>
      </c>
      <c r="M14" s="581">
        <f aca="true" t="shared" si="56" ref="M14:Q23">SUMIF($G:$G,TEXT(M$3,"000")&amp;TEXT($L14,"000"),$E:$E)</f>
        <v>0</v>
      </c>
      <c r="N14" s="581">
        <f t="shared" si="56"/>
        <v>0</v>
      </c>
      <c r="O14" s="581">
        <f t="shared" si="56"/>
        <v>0</v>
      </c>
      <c r="P14" s="581">
        <f t="shared" si="56"/>
        <v>0</v>
      </c>
      <c r="Q14" s="581">
        <f t="shared" si="56"/>
        <v>0</v>
      </c>
      <c r="R14" s="581">
        <f t="shared" si="28"/>
        <v>1</v>
      </c>
      <c r="S14" s="620">
        <v>0</v>
      </c>
      <c r="T14" s="620">
        <v>0</v>
      </c>
      <c r="U14" s="620">
        <v>0</v>
      </c>
      <c r="V14" s="620">
        <v>0</v>
      </c>
      <c r="W14" s="620">
        <v>3.57646</v>
      </c>
      <c r="X14" s="769"/>
      <c r="Y14" s="70">
        <f t="shared" si="29"/>
        <v>0</v>
      </c>
      <c r="Z14" s="70">
        <f t="shared" si="30"/>
        <v>0</v>
      </c>
      <c r="AA14" s="70">
        <f t="shared" si="31"/>
        <v>0</v>
      </c>
      <c r="AB14" s="70">
        <f t="shared" si="32"/>
        <v>0</v>
      </c>
      <c r="AC14" s="70">
        <f t="shared" si="33"/>
        <v>0</v>
      </c>
      <c r="AD14" s="769"/>
      <c r="AE14" s="581">
        <f t="shared" si="18"/>
        <v>0</v>
      </c>
      <c r="AF14" s="581">
        <f t="shared" si="18"/>
        <v>0</v>
      </c>
      <c r="AG14" s="581">
        <f t="shared" si="18"/>
        <v>0</v>
      </c>
      <c r="AH14" s="581">
        <f t="shared" si="18"/>
        <v>0</v>
      </c>
      <c r="AI14" s="581">
        <f t="shared" si="18"/>
        <v>0</v>
      </c>
      <c r="AJ14" s="769"/>
      <c r="AK14" s="586">
        <f t="shared" si="34"/>
        <v>0</v>
      </c>
      <c r="AL14" s="586"/>
      <c r="AM14" s="586">
        <f t="shared" si="35"/>
        <v>0</v>
      </c>
      <c r="AN14" s="586">
        <f t="shared" si="36"/>
        <v>0</v>
      </c>
      <c r="AO14" s="586">
        <f t="shared" si="37"/>
        <v>3.58</v>
      </c>
      <c r="AP14" s="769"/>
      <c r="AQ14" s="70">
        <f t="shared" si="38"/>
        <v>0</v>
      </c>
      <c r="AR14" s="70">
        <f t="shared" si="39"/>
        <v>0</v>
      </c>
      <c r="AS14" s="70">
        <f t="shared" si="40"/>
        <v>0</v>
      </c>
      <c r="AT14" s="70">
        <f t="shared" si="41"/>
        <v>0</v>
      </c>
      <c r="AU14" s="70">
        <f t="shared" si="54"/>
        <v>0</v>
      </c>
      <c r="AV14" s="769"/>
      <c r="AW14" s="593">
        <v>34</v>
      </c>
      <c r="AX14" s="583"/>
      <c r="AY14" s="583"/>
      <c r="AZ14" s="583"/>
      <c r="BA14" s="583"/>
      <c r="BB14" s="583">
        <v>3.69</v>
      </c>
      <c r="BC14" s="583"/>
      <c r="BD14" s="589">
        <f t="shared" si="42"/>
        <v>0.06999999999999995</v>
      </c>
      <c r="BE14" s="579"/>
      <c r="BF14" s="579"/>
      <c r="BG14" s="579"/>
      <c r="BH14" s="579"/>
      <c r="BI14" s="579">
        <f t="shared" si="43"/>
        <v>0.01</v>
      </c>
      <c r="BJ14" s="769"/>
      <c r="BK14" s="769"/>
      <c r="BL14" s="587">
        <f t="shared" si="44"/>
        <v>0</v>
      </c>
      <c r="BM14" s="587">
        <f t="shared" si="45"/>
        <v>0</v>
      </c>
      <c r="BN14" s="587">
        <f t="shared" si="46"/>
        <v>0</v>
      </c>
      <c r="BO14" s="587">
        <f t="shared" si="47"/>
        <v>0</v>
      </c>
      <c r="BP14" s="587">
        <f t="shared" si="48"/>
        <v>3.6340579999999996</v>
      </c>
      <c r="BQ14" s="769"/>
      <c r="BR14" s="579">
        <f t="shared" si="49"/>
        <v>0</v>
      </c>
      <c r="BS14" s="579">
        <f t="shared" si="50"/>
        <v>0</v>
      </c>
      <c r="BT14" s="579">
        <f t="shared" si="51"/>
        <v>0</v>
      </c>
      <c r="BU14" s="579">
        <f t="shared" si="52"/>
        <v>0</v>
      </c>
      <c r="BV14" s="579">
        <f t="shared" si="53"/>
        <v>-0.05594200000000038</v>
      </c>
      <c r="BW14" s="769"/>
      <c r="BX14" s="769"/>
      <c r="BY14" s="769"/>
      <c r="BZ14" s="769"/>
      <c r="CA14" s="769"/>
      <c r="CB14" s="769"/>
      <c r="CC14" s="769"/>
      <c r="CD14" s="769"/>
      <c r="CE14" s="769"/>
      <c r="CF14" s="769"/>
      <c r="CG14" s="769"/>
      <c r="CH14" s="769"/>
      <c r="CI14" s="769"/>
      <c r="CJ14" s="769"/>
      <c r="CK14" s="769"/>
      <c r="CL14" s="769"/>
      <c r="CM14" s="769"/>
      <c r="CN14" s="769"/>
      <c r="CO14" s="769"/>
      <c r="CP14" s="769"/>
      <c r="CQ14" s="769"/>
      <c r="CR14" s="769"/>
      <c r="CS14" s="769"/>
      <c r="CT14" s="769"/>
      <c r="CU14" s="769"/>
      <c r="CV14" s="769"/>
      <c r="CW14" s="769"/>
      <c r="CX14" s="769"/>
      <c r="CY14" s="769"/>
      <c r="CZ14" s="769"/>
      <c r="DA14" s="769"/>
      <c r="DB14" s="769"/>
      <c r="DC14" s="769"/>
      <c r="DD14" s="769"/>
      <c r="DE14" s="769"/>
      <c r="DF14" s="769"/>
      <c r="DG14" s="769"/>
      <c r="DH14" s="769"/>
      <c r="DI14" s="769"/>
      <c r="DJ14" s="769"/>
      <c r="DK14" s="769"/>
      <c r="DL14" s="769"/>
      <c r="DM14" s="769"/>
      <c r="DN14" s="769"/>
      <c r="DO14" s="769"/>
      <c r="DP14" s="769"/>
      <c r="DQ14" s="769"/>
      <c r="DR14" s="769"/>
    </row>
    <row r="15" spans="1:122" ht="12.75">
      <c r="A15" s="649"/>
      <c r="B15" s="541">
        <v>2</v>
      </c>
      <c r="C15" s="72" t="s">
        <v>120</v>
      </c>
      <c r="D15" s="541" t="s">
        <v>591</v>
      </c>
      <c r="E15" s="564">
        <v>1</v>
      </c>
      <c r="F15" s="73"/>
      <c r="G15" s="73" t="str">
        <f t="shared" si="55"/>
        <v>042421L</v>
      </c>
      <c r="H15" s="46"/>
      <c r="I15" s="769" t="s">
        <v>453</v>
      </c>
      <c r="J15" s="769" t="s">
        <v>131</v>
      </c>
      <c r="K15" s="215" t="s">
        <v>978</v>
      </c>
      <c r="L15" s="582" t="s">
        <v>888</v>
      </c>
      <c r="M15" s="581">
        <f t="shared" si="56"/>
        <v>0</v>
      </c>
      <c r="N15" s="581">
        <f t="shared" si="56"/>
        <v>0</v>
      </c>
      <c r="O15" s="581">
        <f t="shared" si="56"/>
        <v>0</v>
      </c>
      <c r="P15" s="581">
        <f t="shared" si="56"/>
        <v>0</v>
      </c>
      <c r="Q15" s="581">
        <f t="shared" si="56"/>
        <v>6</v>
      </c>
      <c r="R15" s="581">
        <f t="shared" si="28"/>
        <v>0</v>
      </c>
      <c r="S15" s="620">
        <v>0</v>
      </c>
      <c r="T15" s="620">
        <v>0</v>
      </c>
      <c r="U15" s="620">
        <v>0</v>
      </c>
      <c r="V15" s="620">
        <v>0</v>
      </c>
      <c r="W15" s="620">
        <v>3.9972200000000004</v>
      </c>
      <c r="X15" s="769"/>
      <c r="Y15" s="70">
        <f t="shared" si="29"/>
        <v>0</v>
      </c>
      <c r="Z15" s="70">
        <f t="shared" si="30"/>
        <v>0</v>
      </c>
      <c r="AA15" s="70">
        <f t="shared" si="31"/>
        <v>0</v>
      </c>
      <c r="AB15" s="70">
        <f t="shared" si="32"/>
        <v>0</v>
      </c>
      <c r="AC15" s="70">
        <f t="shared" si="33"/>
        <v>23.983320000000003</v>
      </c>
      <c r="AD15" s="769"/>
      <c r="AE15" s="581">
        <f aca="true" t="shared" si="57" ref="AE15:AI26">SUMIF($G:$G,TEXT(AE$3,"000")&amp;TEXT($L15,"000"),$E:$E)</f>
        <v>0</v>
      </c>
      <c r="AF15" s="581">
        <f t="shared" si="57"/>
        <v>0</v>
      </c>
      <c r="AG15" s="581">
        <f t="shared" si="57"/>
        <v>0</v>
      </c>
      <c r="AH15" s="581">
        <f t="shared" si="57"/>
        <v>0</v>
      </c>
      <c r="AI15" s="581">
        <f t="shared" si="57"/>
        <v>6</v>
      </c>
      <c r="AJ15" s="769"/>
      <c r="AK15" s="586">
        <f t="shared" si="34"/>
        <v>0</v>
      </c>
      <c r="AL15" s="586"/>
      <c r="AM15" s="586">
        <f t="shared" si="35"/>
        <v>0</v>
      </c>
      <c r="AN15" s="586">
        <f t="shared" si="36"/>
        <v>0</v>
      </c>
      <c r="AO15" s="586">
        <f t="shared" si="37"/>
        <v>4</v>
      </c>
      <c r="AP15" s="769"/>
      <c r="AQ15" s="70">
        <f t="shared" si="38"/>
        <v>0</v>
      </c>
      <c r="AR15" s="70">
        <f t="shared" si="39"/>
        <v>0</v>
      </c>
      <c r="AS15" s="70">
        <f t="shared" si="40"/>
        <v>0</v>
      </c>
      <c r="AT15" s="70">
        <f t="shared" si="41"/>
        <v>0</v>
      </c>
      <c r="AU15" s="70">
        <f t="shared" si="54"/>
        <v>24</v>
      </c>
      <c r="AV15" s="769"/>
      <c r="AW15" s="593">
        <v>38</v>
      </c>
      <c r="AX15" s="583"/>
      <c r="AY15" s="583"/>
      <c r="AZ15" s="583"/>
      <c r="BA15" s="583"/>
      <c r="BB15" s="583">
        <v>4.14</v>
      </c>
      <c r="BC15" s="583"/>
      <c r="BD15" s="589">
        <f t="shared" si="42"/>
        <v>0.08000000000000002</v>
      </c>
      <c r="BE15" s="579"/>
      <c r="BF15" s="579"/>
      <c r="BG15" s="579"/>
      <c r="BH15" s="579"/>
      <c r="BI15" s="579">
        <f t="shared" si="43"/>
        <v>0</v>
      </c>
      <c r="BJ15" s="769"/>
      <c r="BK15" s="769"/>
      <c r="BL15" s="587">
        <f t="shared" si="44"/>
        <v>0</v>
      </c>
      <c r="BM15" s="587">
        <f t="shared" si="45"/>
        <v>0</v>
      </c>
      <c r="BN15" s="587">
        <f t="shared" si="46"/>
        <v>0</v>
      </c>
      <c r="BO15" s="587">
        <f t="shared" si="47"/>
        <v>0</v>
      </c>
      <c r="BP15" s="587">
        <f t="shared" si="48"/>
        <v>4.0604</v>
      </c>
      <c r="BQ15" s="769"/>
      <c r="BR15" s="579">
        <f t="shared" si="49"/>
        <v>0</v>
      </c>
      <c r="BS15" s="579">
        <f t="shared" si="50"/>
        <v>0</v>
      </c>
      <c r="BT15" s="579">
        <f t="shared" si="51"/>
        <v>0</v>
      </c>
      <c r="BU15" s="579">
        <f t="shared" si="52"/>
        <v>0</v>
      </c>
      <c r="BV15" s="579">
        <f t="shared" si="53"/>
        <v>-0.07960000000000012</v>
      </c>
      <c r="BW15" s="769"/>
      <c r="BX15" s="769"/>
      <c r="BY15" s="769"/>
      <c r="BZ15" s="769"/>
      <c r="CA15" s="769"/>
      <c r="CB15" s="769"/>
      <c r="CC15" s="769"/>
      <c r="CD15" s="769"/>
      <c r="CE15" s="769"/>
      <c r="CF15" s="769"/>
      <c r="CG15" s="769"/>
      <c r="CH15" s="769"/>
      <c r="CI15" s="769"/>
      <c r="CJ15" s="769"/>
      <c r="CK15" s="769"/>
      <c r="CL15" s="769"/>
      <c r="CM15" s="769"/>
      <c r="CN15" s="769"/>
      <c r="CO15" s="769"/>
      <c r="CP15" s="769"/>
      <c r="CQ15" s="769"/>
      <c r="CR15" s="769"/>
      <c r="CS15" s="769"/>
      <c r="CT15" s="769"/>
      <c r="CU15" s="769"/>
      <c r="CV15" s="769"/>
      <c r="CW15" s="769"/>
      <c r="CX15" s="769"/>
      <c r="CY15" s="769"/>
      <c r="CZ15" s="769"/>
      <c r="DA15" s="769"/>
      <c r="DB15" s="769"/>
      <c r="DC15" s="769"/>
      <c r="DD15" s="769"/>
      <c r="DE15" s="769"/>
      <c r="DF15" s="769"/>
      <c r="DG15" s="769"/>
      <c r="DH15" s="769"/>
      <c r="DI15" s="769"/>
      <c r="DJ15" s="769"/>
      <c r="DK15" s="769"/>
      <c r="DL15" s="769"/>
      <c r="DM15" s="769"/>
      <c r="DN15" s="769"/>
      <c r="DO15" s="769"/>
      <c r="DP15" s="769"/>
      <c r="DQ15" s="769"/>
      <c r="DR15" s="769"/>
    </row>
    <row r="16" spans="2:122" ht="12.75">
      <c r="B16" s="35">
        <v>2</v>
      </c>
      <c r="C16" s="72" t="s">
        <v>120</v>
      </c>
      <c r="D16" s="35">
        <v>431</v>
      </c>
      <c r="E16" s="562">
        <v>0</v>
      </c>
      <c r="F16" s="73"/>
      <c r="G16" s="73" t="str">
        <f t="shared" si="55"/>
        <v>042431</v>
      </c>
      <c r="H16" s="46"/>
      <c r="I16" s="769" t="s">
        <v>453</v>
      </c>
      <c r="J16" s="769" t="s">
        <v>131</v>
      </c>
      <c r="K16" s="215" t="s">
        <v>978</v>
      </c>
      <c r="L16" s="582" t="s">
        <v>890</v>
      </c>
      <c r="M16" s="581">
        <f t="shared" si="56"/>
        <v>0</v>
      </c>
      <c r="N16" s="581">
        <f t="shared" si="56"/>
        <v>0</v>
      </c>
      <c r="O16" s="581">
        <f t="shared" si="56"/>
        <v>0</v>
      </c>
      <c r="P16" s="581">
        <f t="shared" si="56"/>
        <v>0</v>
      </c>
      <c r="Q16" s="581">
        <f t="shared" si="56"/>
        <v>0</v>
      </c>
      <c r="R16" s="581">
        <f t="shared" si="28"/>
        <v>1</v>
      </c>
      <c r="S16" s="620">
        <v>0</v>
      </c>
      <c r="T16" s="620">
        <v>0</v>
      </c>
      <c r="U16" s="620">
        <v>0</v>
      </c>
      <c r="V16" s="620">
        <v>0</v>
      </c>
      <c r="W16" s="620">
        <v>4.312790000000001</v>
      </c>
      <c r="X16" s="769"/>
      <c r="Y16" s="70">
        <f t="shared" si="29"/>
        <v>0</v>
      </c>
      <c r="Z16" s="70">
        <f t="shared" si="30"/>
        <v>0</v>
      </c>
      <c r="AA16" s="70">
        <f t="shared" si="31"/>
        <v>0</v>
      </c>
      <c r="AB16" s="70">
        <f t="shared" si="32"/>
        <v>0</v>
      </c>
      <c r="AC16" s="70">
        <f t="shared" si="33"/>
        <v>0</v>
      </c>
      <c r="AD16" s="769"/>
      <c r="AE16" s="581">
        <f t="shared" si="57"/>
        <v>0</v>
      </c>
      <c r="AF16" s="581">
        <f t="shared" si="57"/>
        <v>0</v>
      </c>
      <c r="AG16" s="581">
        <f t="shared" si="57"/>
        <v>0</v>
      </c>
      <c r="AH16" s="581">
        <f t="shared" si="57"/>
        <v>0</v>
      </c>
      <c r="AI16" s="581">
        <f t="shared" si="57"/>
        <v>0</v>
      </c>
      <c r="AJ16" s="769"/>
      <c r="AK16" s="586">
        <f t="shared" si="34"/>
        <v>0</v>
      </c>
      <c r="AL16" s="586"/>
      <c r="AM16" s="586">
        <f t="shared" si="35"/>
        <v>0</v>
      </c>
      <c r="AN16" s="586">
        <f t="shared" si="36"/>
        <v>0</v>
      </c>
      <c r="AO16" s="586">
        <f t="shared" si="37"/>
        <v>4.31</v>
      </c>
      <c r="AP16" s="769"/>
      <c r="AQ16" s="70">
        <f t="shared" si="38"/>
        <v>0</v>
      </c>
      <c r="AR16" s="70">
        <f t="shared" si="39"/>
        <v>0</v>
      </c>
      <c r="AS16" s="70">
        <f t="shared" si="40"/>
        <v>0</v>
      </c>
      <c r="AT16" s="70">
        <f t="shared" si="41"/>
        <v>0</v>
      </c>
      <c r="AU16" s="70">
        <f t="shared" si="54"/>
        <v>0</v>
      </c>
      <c r="AV16" s="769"/>
      <c r="AW16" s="593">
        <v>41</v>
      </c>
      <c r="AX16" s="583"/>
      <c r="AY16" s="583"/>
      <c r="AZ16" s="583"/>
      <c r="BA16" s="583"/>
      <c r="BB16" s="583">
        <v>4.47</v>
      </c>
      <c r="BC16" s="583"/>
      <c r="BD16" s="589">
        <f t="shared" si="42"/>
        <v>0.08999999999999997</v>
      </c>
      <c r="BE16" s="579"/>
      <c r="BF16" s="579"/>
      <c r="BG16" s="579"/>
      <c r="BH16" s="579"/>
      <c r="BI16" s="579">
        <f t="shared" si="43"/>
        <v>0</v>
      </c>
      <c r="BJ16" s="769"/>
      <c r="BK16" s="769"/>
      <c r="BL16" s="587">
        <f t="shared" si="44"/>
        <v>0</v>
      </c>
      <c r="BM16" s="587">
        <f t="shared" si="45"/>
        <v>0</v>
      </c>
      <c r="BN16" s="587">
        <f t="shared" si="46"/>
        <v>0</v>
      </c>
      <c r="BO16" s="587">
        <f t="shared" si="47"/>
        <v>0</v>
      </c>
      <c r="BP16" s="587">
        <f t="shared" si="48"/>
        <v>4.375080999999999</v>
      </c>
      <c r="BQ16" s="769"/>
      <c r="BR16" s="579">
        <f t="shared" si="49"/>
        <v>0</v>
      </c>
      <c r="BS16" s="579">
        <f t="shared" si="50"/>
        <v>0</v>
      </c>
      <c r="BT16" s="579">
        <f t="shared" si="51"/>
        <v>0</v>
      </c>
      <c r="BU16" s="579">
        <f t="shared" si="52"/>
        <v>0</v>
      </c>
      <c r="BV16" s="579">
        <f t="shared" si="53"/>
        <v>-0.09491900000000086</v>
      </c>
      <c r="BW16" s="769"/>
      <c r="BX16" s="769"/>
      <c r="BY16" s="769"/>
      <c r="BZ16" s="769"/>
      <c r="CA16" s="769"/>
      <c r="CB16" s="769"/>
      <c r="CC16" s="769"/>
      <c r="CD16" s="769"/>
      <c r="CE16" s="769"/>
      <c r="CF16" s="769"/>
      <c r="CG16" s="769"/>
      <c r="CH16" s="769"/>
      <c r="CI16" s="769"/>
      <c r="CJ16" s="769"/>
      <c r="CK16" s="769"/>
      <c r="CL16" s="769"/>
      <c r="CM16" s="769"/>
      <c r="CN16" s="769"/>
      <c r="CO16" s="769"/>
      <c r="CP16" s="769"/>
      <c r="CQ16" s="769"/>
      <c r="CR16" s="769"/>
      <c r="CS16" s="769"/>
      <c r="CT16" s="769"/>
      <c r="CU16" s="769"/>
      <c r="CV16" s="769"/>
      <c r="CW16" s="769"/>
      <c r="CX16" s="769"/>
      <c r="CY16" s="769"/>
      <c r="CZ16" s="769"/>
      <c r="DA16" s="769"/>
      <c r="DB16" s="769"/>
      <c r="DC16" s="769"/>
      <c r="DD16" s="769"/>
      <c r="DE16" s="769"/>
      <c r="DF16" s="769"/>
      <c r="DG16" s="769"/>
      <c r="DH16" s="769"/>
      <c r="DI16" s="769"/>
      <c r="DJ16" s="769"/>
      <c r="DK16" s="769"/>
      <c r="DL16" s="769"/>
      <c r="DM16" s="769"/>
      <c r="DN16" s="769"/>
      <c r="DO16" s="769"/>
      <c r="DP16" s="769"/>
      <c r="DQ16" s="769"/>
      <c r="DR16" s="769"/>
    </row>
    <row r="17" spans="1:122" ht="12.75">
      <c r="A17" s="649"/>
      <c r="B17" s="541">
        <v>2</v>
      </c>
      <c r="C17" s="72" t="s">
        <v>120</v>
      </c>
      <c r="D17" s="541" t="s">
        <v>592</v>
      </c>
      <c r="E17" s="564">
        <v>0</v>
      </c>
      <c r="F17" s="73"/>
      <c r="G17" s="73" t="str">
        <f t="shared" si="55"/>
        <v>042431L</v>
      </c>
      <c r="H17" s="46"/>
      <c r="I17" s="769" t="s">
        <v>453</v>
      </c>
      <c r="J17" s="769" t="s">
        <v>131</v>
      </c>
      <c r="K17" s="215" t="s">
        <v>978</v>
      </c>
      <c r="L17" s="582" t="s">
        <v>892</v>
      </c>
      <c r="M17" s="581">
        <f t="shared" si="56"/>
        <v>0</v>
      </c>
      <c r="N17" s="581">
        <f t="shared" si="56"/>
        <v>0</v>
      </c>
      <c r="O17" s="581">
        <f t="shared" si="56"/>
        <v>0</v>
      </c>
      <c r="P17" s="581">
        <f t="shared" si="56"/>
        <v>0</v>
      </c>
      <c r="Q17" s="581">
        <f t="shared" si="56"/>
        <v>0</v>
      </c>
      <c r="R17" s="581">
        <f t="shared" si="28"/>
        <v>1</v>
      </c>
      <c r="S17" s="620">
        <v>0</v>
      </c>
      <c r="T17" s="620">
        <v>0</v>
      </c>
      <c r="U17" s="620">
        <v>0</v>
      </c>
      <c r="V17" s="620">
        <v>0</v>
      </c>
      <c r="W17" s="620">
        <v>4.73355</v>
      </c>
      <c r="X17" s="769"/>
      <c r="Y17" s="70">
        <f t="shared" si="29"/>
        <v>0</v>
      </c>
      <c r="Z17" s="70">
        <f t="shared" si="30"/>
        <v>0</v>
      </c>
      <c r="AA17" s="70">
        <f t="shared" si="31"/>
        <v>0</v>
      </c>
      <c r="AB17" s="70">
        <f t="shared" si="32"/>
        <v>0</v>
      </c>
      <c r="AC17" s="70">
        <f t="shared" si="33"/>
        <v>0</v>
      </c>
      <c r="AD17" s="769"/>
      <c r="AE17" s="581">
        <f t="shared" si="57"/>
        <v>0</v>
      </c>
      <c r="AF17" s="581">
        <f t="shared" si="57"/>
        <v>0</v>
      </c>
      <c r="AG17" s="581">
        <f t="shared" si="57"/>
        <v>0</v>
      </c>
      <c r="AH17" s="581">
        <f t="shared" si="57"/>
        <v>0</v>
      </c>
      <c r="AI17" s="581">
        <f t="shared" si="57"/>
        <v>0</v>
      </c>
      <c r="AJ17" s="769"/>
      <c r="AK17" s="586">
        <f t="shared" si="34"/>
        <v>0</v>
      </c>
      <c r="AL17" s="586"/>
      <c r="AM17" s="586">
        <f t="shared" si="35"/>
        <v>0</v>
      </c>
      <c r="AN17" s="586">
        <f t="shared" si="36"/>
        <v>0</v>
      </c>
      <c r="AO17" s="586">
        <f t="shared" si="37"/>
        <v>4.73</v>
      </c>
      <c r="AP17" s="769"/>
      <c r="AQ17" s="70">
        <f t="shared" si="38"/>
        <v>0</v>
      </c>
      <c r="AR17" s="70">
        <f t="shared" si="39"/>
        <v>0</v>
      </c>
      <c r="AS17" s="70">
        <f t="shared" si="40"/>
        <v>0</v>
      </c>
      <c r="AT17" s="70">
        <f t="shared" si="41"/>
        <v>0</v>
      </c>
      <c r="AU17" s="70">
        <f t="shared" si="54"/>
        <v>0</v>
      </c>
      <c r="AV17" s="769"/>
      <c r="AW17" s="593">
        <v>45</v>
      </c>
      <c r="AX17" s="583"/>
      <c r="AY17" s="583"/>
      <c r="AZ17" s="583"/>
      <c r="BA17" s="583"/>
      <c r="BB17" s="583">
        <v>4.9</v>
      </c>
      <c r="BC17" s="583"/>
      <c r="BD17" s="589">
        <f t="shared" si="42"/>
        <v>0.09999999999999998</v>
      </c>
      <c r="BE17" s="579"/>
      <c r="BF17" s="579"/>
      <c r="BG17" s="579"/>
      <c r="BH17" s="579"/>
      <c r="BI17" s="579">
        <f t="shared" si="43"/>
        <v>0.01</v>
      </c>
      <c r="BJ17" s="769"/>
      <c r="BK17" s="769"/>
      <c r="BL17" s="587">
        <f t="shared" si="44"/>
        <v>0</v>
      </c>
      <c r="BM17" s="587">
        <f t="shared" si="45"/>
        <v>0</v>
      </c>
      <c r="BN17" s="587">
        <f t="shared" si="46"/>
        <v>0</v>
      </c>
      <c r="BO17" s="587">
        <f t="shared" si="47"/>
        <v>0</v>
      </c>
      <c r="BP17" s="587">
        <f t="shared" si="48"/>
        <v>4.801423</v>
      </c>
      <c r="BQ17" s="769"/>
      <c r="BR17" s="579">
        <f t="shared" si="49"/>
        <v>0</v>
      </c>
      <c r="BS17" s="579">
        <f t="shared" si="50"/>
        <v>0</v>
      </c>
      <c r="BT17" s="579">
        <f t="shared" si="51"/>
        <v>0</v>
      </c>
      <c r="BU17" s="579">
        <f t="shared" si="52"/>
        <v>0</v>
      </c>
      <c r="BV17" s="579">
        <f t="shared" si="53"/>
        <v>-0.09857700000000058</v>
      </c>
      <c r="BW17" s="769"/>
      <c r="BX17" s="769"/>
      <c r="BY17" s="769"/>
      <c r="BZ17" s="769"/>
      <c r="CA17" s="769"/>
      <c r="CB17" s="769"/>
      <c r="CC17" s="769"/>
      <c r="CD17" s="769"/>
      <c r="CE17" s="769"/>
      <c r="CF17" s="769"/>
      <c r="CG17" s="769"/>
      <c r="CH17" s="769"/>
      <c r="CI17" s="769"/>
      <c r="CJ17" s="769"/>
      <c r="CK17" s="769"/>
      <c r="CL17" s="769"/>
      <c r="CM17" s="769"/>
      <c r="CN17" s="769"/>
      <c r="CO17" s="769"/>
      <c r="CP17" s="769"/>
      <c r="CQ17" s="769"/>
      <c r="CR17" s="769"/>
      <c r="CS17" s="769"/>
      <c r="CT17" s="769"/>
      <c r="CU17" s="769"/>
      <c r="CV17" s="769"/>
      <c r="CW17" s="769"/>
      <c r="CX17" s="769"/>
      <c r="CY17" s="769"/>
      <c r="CZ17" s="769"/>
      <c r="DA17" s="769"/>
      <c r="DB17" s="769"/>
      <c r="DC17" s="769"/>
      <c r="DD17" s="769"/>
      <c r="DE17" s="769"/>
      <c r="DF17" s="769"/>
      <c r="DG17" s="769"/>
      <c r="DH17" s="769"/>
      <c r="DI17" s="769"/>
      <c r="DJ17" s="769"/>
      <c r="DK17" s="769"/>
      <c r="DL17" s="769"/>
      <c r="DM17" s="769"/>
      <c r="DN17" s="769"/>
      <c r="DO17" s="769"/>
      <c r="DP17" s="769"/>
      <c r="DQ17" s="769"/>
      <c r="DR17" s="769"/>
    </row>
    <row r="18" spans="1:122" ht="12.75">
      <c r="A18" s="613"/>
      <c r="B18" s="541">
        <v>2</v>
      </c>
      <c r="C18" s="72" t="s">
        <v>120</v>
      </c>
      <c r="D18" s="541" t="s">
        <v>704</v>
      </c>
      <c r="E18" s="564">
        <v>0</v>
      </c>
      <c r="F18" s="73"/>
      <c r="G18" s="73" t="str">
        <f t="shared" si="55"/>
        <v>042431T</v>
      </c>
      <c r="H18" s="46"/>
      <c r="I18" s="769" t="s">
        <v>453</v>
      </c>
      <c r="J18" s="769" t="s">
        <v>131</v>
      </c>
      <c r="K18" s="215" t="s">
        <v>978</v>
      </c>
      <c r="L18" s="582" t="s">
        <v>894</v>
      </c>
      <c r="M18" s="581">
        <f t="shared" si="56"/>
        <v>0</v>
      </c>
      <c r="N18" s="581">
        <f t="shared" si="56"/>
        <v>0</v>
      </c>
      <c r="O18" s="581">
        <f t="shared" si="56"/>
        <v>0</v>
      </c>
      <c r="P18" s="581">
        <f t="shared" si="56"/>
        <v>0</v>
      </c>
      <c r="Q18" s="581">
        <f t="shared" si="56"/>
        <v>36</v>
      </c>
      <c r="R18" s="581">
        <f t="shared" si="28"/>
        <v>0</v>
      </c>
      <c r="S18" s="620">
        <v>0</v>
      </c>
      <c r="T18" s="620">
        <v>0</v>
      </c>
      <c r="U18" s="620">
        <v>0</v>
      </c>
      <c r="V18" s="620">
        <v>0</v>
      </c>
      <c r="W18" s="620">
        <v>5.154310000000001</v>
      </c>
      <c r="X18" s="769"/>
      <c r="Y18" s="70">
        <f t="shared" si="29"/>
        <v>0</v>
      </c>
      <c r="Z18" s="70">
        <f t="shared" si="30"/>
        <v>0</v>
      </c>
      <c r="AA18" s="70">
        <f t="shared" si="31"/>
        <v>0</v>
      </c>
      <c r="AB18" s="70">
        <f t="shared" si="32"/>
        <v>0</v>
      </c>
      <c r="AC18" s="70">
        <f t="shared" si="33"/>
        <v>185.55516000000003</v>
      </c>
      <c r="AD18" s="769"/>
      <c r="AE18" s="581">
        <f t="shared" si="57"/>
        <v>0</v>
      </c>
      <c r="AF18" s="581">
        <f t="shared" si="57"/>
        <v>0</v>
      </c>
      <c r="AG18" s="581">
        <f t="shared" si="57"/>
        <v>0</v>
      </c>
      <c r="AH18" s="581">
        <f t="shared" si="57"/>
        <v>0</v>
      </c>
      <c r="AI18" s="581">
        <f t="shared" si="57"/>
        <v>36</v>
      </c>
      <c r="AJ18" s="769"/>
      <c r="AK18" s="586">
        <f t="shared" si="34"/>
        <v>0</v>
      </c>
      <c r="AL18" s="586"/>
      <c r="AM18" s="586">
        <f t="shared" si="35"/>
        <v>0</v>
      </c>
      <c r="AN18" s="586">
        <f t="shared" si="36"/>
        <v>0</v>
      </c>
      <c r="AO18" s="586">
        <f t="shared" si="37"/>
        <v>5.15</v>
      </c>
      <c r="AP18" s="769"/>
      <c r="AQ18" s="70">
        <f t="shared" si="38"/>
        <v>0</v>
      </c>
      <c r="AR18" s="70">
        <f t="shared" si="39"/>
        <v>0</v>
      </c>
      <c r="AS18" s="70">
        <f t="shared" si="40"/>
        <v>0</v>
      </c>
      <c r="AT18" s="70">
        <f t="shared" si="41"/>
        <v>0</v>
      </c>
      <c r="AU18" s="70">
        <f t="shared" si="54"/>
        <v>185.4</v>
      </c>
      <c r="AV18" s="769"/>
      <c r="AW18" s="593">
        <v>49</v>
      </c>
      <c r="AX18" s="583"/>
      <c r="AY18" s="583"/>
      <c r="AZ18" s="583"/>
      <c r="BA18" s="583"/>
      <c r="BB18" s="583">
        <v>5.33</v>
      </c>
      <c r="BC18" s="583"/>
      <c r="BD18" s="589">
        <f t="shared" si="42"/>
        <v>0.1100000000000001</v>
      </c>
      <c r="BE18" s="579"/>
      <c r="BF18" s="579"/>
      <c r="BG18" s="579"/>
      <c r="BH18" s="579"/>
      <c r="BI18" s="579">
        <f t="shared" si="43"/>
        <v>0.01</v>
      </c>
      <c r="BJ18" s="769"/>
      <c r="BK18" s="769"/>
      <c r="BL18" s="587">
        <f t="shared" si="44"/>
        <v>0</v>
      </c>
      <c r="BM18" s="587">
        <f t="shared" si="45"/>
        <v>0</v>
      </c>
      <c r="BN18" s="587">
        <f t="shared" si="46"/>
        <v>0</v>
      </c>
      <c r="BO18" s="587">
        <f t="shared" si="47"/>
        <v>0</v>
      </c>
      <c r="BP18" s="587">
        <f t="shared" si="48"/>
        <v>5.227765</v>
      </c>
      <c r="BQ18" s="769"/>
      <c r="BR18" s="579">
        <f t="shared" si="49"/>
        <v>0</v>
      </c>
      <c r="BS18" s="579">
        <f t="shared" si="50"/>
        <v>0</v>
      </c>
      <c r="BT18" s="579">
        <f t="shared" si="51"/>
        <v>0</v>
      </c>
      <c r="BU18" s="579">
        <f t="shared" si="52"/>
        <v>0</v>
      </c>
      <c r="BV18" s="579">
        <f t="shared" si="53"/>
        <v>-0.1022350000000003</v>
      </c>
      <c r="BW18" s="769"/>
      <c r="BX18" s="769"/>
      <c r="BY18" s="769"/>
      <c r="BZ18" s="769"/>
      <c r="CA18" s="769"/>
      <c r="CB18" s="769"/>
      <c r="CC18" s="769"/>
      <c r="CD18" s="769"/>
      <c r="CE18" s="769"/>
      <c r="CF18" s="769"/>
      <c r="CG18" s="769"/>
      <c r="CH18" s="769"/>
      <c r="CI18" s="769"/>
      <c r="CJ18" s="769"/>
      <c r="CK18" s="769"/>
      <c r="CL18" s="769"/>
      <c r="CM18" s="769"/>
      <c r="CN18" s="769"/>
      <c r="CO18" s="769"/>
      <c r="CP18" s="769"/>
      <c r="CQ18" s="769"/>
      <c r="CR18" s="769"/>
      <c r="CS18" s="769"/>
      <c r="CT18" s="769"/>
      <c r="CU18" s="769"/>
      <c r="CV18" s="769"/>
      <c r="CW18" s="769"/>
      <c r="CX18" s="769"/>
      <c r="CY18" s="769"/>
      <c r="CZ18" s="769"/>
      <c r="DA18" s="769"/>
      <c r="DB18" s="769"/>
      <c r="DC18" s="769"/>
      <c r="DD18" s="769"/>
      <c r="DE18" s="769"/>
      <c r="DF18" s="769"/>
      <c r="DG18" s="769"/>
      <c r="DH18" s="769"/>
      <c r="DI18" s="769"/>
      <c r="DJ18" s="769"/>
      <c r="DK18" s="769"/>
      <c r="DL18" s="769"/>
      <c r="DM18" s="769"/>
      <c r="DN18" s="769"/>
      <c r="DO18" s="769"/>
      <c r="DP18" s="769"/>
      <c r="DQ18" s="769"/>
      <c r="DR18" s="769"/>
    </row>
    <row r="19" spans="2:122" ht="12.75">
      <c r="B19" s="35">
        <v>2</v>
      </c>
      <c r="C19" s="72" t="s">
        <v>120</v>
      </c>
      <c r="D19" s="35">
        <v>432</v>
      </c>
      <c r="E19" s="562">
        <v>78</v>
      </c>
      <c r="F19" s="73"/>
      <c r="G19" s="73" t="str">
        <f t="shared" si="55"/>
        <v>042432</v>
      </c>
      <c r="H19" s="46"/>
      <c r="I19" s="769" t="s">
        <v>453</v>
      </c>
      <c r="J19" s="769" t="s">
        <v>131</v>
      </c>
      <c r="K19" s="215" t="s">
        <v>978</v>
      </c>
      <c r="L19" s="582" t="s">
        <v>896</v>
      </c>
      <c r="M19" s="581">
        <f t="shared" si="56"/>
        <v>0</v>
      </c>
      <c r="N19" s="581">
        <f t="shared" si="56"/>
        <v>0</v>
      </c>
      <c r="O19" s="581">
        <f t="shared" si="56"/>
        <v>0</v>
      </c>
      <c r="P19" s="581">
        <f t="shared" si="56"/>
        <v>0</v>
      </c>
      <c r="Q19" s="581">
        <f t="shared" si="56"/>
        <v>0</v>
      </c>
      <c r="R19" s="581">
        <f t="shared" si="28"/>
        <v>1</v>
      </c>
      <c r="S19" s="620">
        <v>0</v>
      </c>
      <c r="T19" s="620">
        <v>0</v>
      </c>
      <c r="U19" s="620">
        <v>0</v>
      </c>
      <c r="V19" s="620">
        <v>0</v>
      </c>
      <c r="W19" s="620">
        <v>5.46988</v>
      </c>
      <c r="X19" s="769"/>
      <c r="Y19" s="70">
        <f t="shared" si="29"/>
        <v>0</v>
      </c>
      <c r="Z19" s="70">
        <f t="shared" si="30"/>
        <v>0</v>
      </c>
      <c r="AA19" s="70">
        <f t="shared" si="31"/>
        <v>0</v>
      </c>
      <c r="AB19" s="70">
        <f t="shared" si="32"/>
        <v>0</v>
      </c>
      <c r="AC19" s="70">
        <f t="shared" si="33"/>
        <v>0</v>
      </c>
      <c r="AD19" s="769"/>
      <c r="AE19" s="581">
        <f t="shared" si="57"/>
        <v>0</v>
      </c>
      <c r="AF19" s="581">
        <f t="shared" si="57"/>
        <v>0</v>
      </c>
      <c r="AG19" s="581">
        <f t="shared" si="57"/>
        <v>0</v>
      </c>
      <c r="AH19" s="581">
        <f t="shared" si="57"/>
        <v>0</v>
      </c>
      <c r="AI19" s="581">
        <f t="shared" si="57"/>
        <v>0</v>
      </c>
      <c r="AJ19" s="769"/>
      <c r="AK19" s="586">
        <f t="shared" si="34"/>
        <v>0</v>
      </c>
      <c r="AL19" s="586"/>
      <c r="AM19" s="586">
        <f t="shared" si="35"/>
        <v>0</v>
      </c>
      <c r="AN19" s="586">
        <f t="shared" si="36"/>
        <v>0</v>
      </c>
      <c r="AO19" s="586">
        <f t="shared" si="37"/>
        <v>5.47</v>
      </c>
      <c r="AP19" s="769"/>
      <c r="AQ19" s="70">
        <f t="shared" si="38"/>
        <v>0</v>
      </c>
      <c r="AR19" s="70">
        <f t="shared" si="39"/>
        <v>0</v>
      </c>
      <c r="AS19" s="70">
        <f t="shared" si="40"/>
        <v>0</v>
      </c>
      <c r="AT19" s="70">
        <f t="shared" si="41"/>
        <v>0</v>
      </c>
      <c r="AU19" s="70">
        <f t="shared" si="54"/>
        <v>0</v>
      </c>
      <c r="AV19" s="769"/>
      <c r="AW19" s="593">
        <v>52</v>
      </c>
      <c r="AX19" s="583"/>
      <c r="AY19" s="583"/>
      <c r="AZ19" s="583"/>
      <c r="BA19" s="583"/>
      <c r="BB19" s="583">
        <v>5.66</v>
      </c>
      <c r="BC19" s="583"/>
      <c r="BD19" s="589">
        <f t="shared" si="42"/>
        <v>0.10999999999999999</v>
      </c>
      <c r="BE19" s="579"/>
      <c r="BF19" s="579"/>
      <c r="BG19" s="579"/>
      <c r="BH19" s="579"/>
      <c r="BI19" s="579">
        <f t="shared" si="43"/>
        <v>0</v>
      </c>
      <c r="BJ19" s="769"/>
      <c r="BK19" s="769"/>
      <c r="BL19" s="587">
        <f t="shared" si="44"/>
        <v>0</v>
      </c>
      <c r="BM19" s="587">
        <f t="shared" si="45"/>
        <v>0</v>
      </c>
      <c r="BN19" s="587">
        <f t="shared" si="46"/>
        <v>0</v>
      </c>
      <c r="BO19" s="587">
        <f t="shared" si="47"/>
        <v>0</v>
      </c>
      <c r="BP19" s="587">
        <f t="shared" si="48"/>
        <v>5.552597</v>
      </c>
      <c r="BQ19" s="769"/>
      <c r="BR19" s="579">
        <f t="shared" si="49"/>
        <v>0</v>
      </c>
      <c r="BS19" s="579">
        <f t="shared" si="50"/>
        <v>0</v>
      </c>
      <c r="BT19" s="579">
        <f t="shared" si="51"/>
        <v>0</v>
      </c>
      <c r="BU19" s="579">
        <f t="shared" si="52"/>
        <v>0</v>
      </c>
      <c r="BV19" s="579">
        <f t="shared" si="53"/>
        <v>-0.10740300000000058</v>
      </c>
      <c r="BW19" s="769"/>
      <c r="BX19" s="769"/>
      <c r="BY19" s="769"/>
      <c r="BZ19" s="769"/>
      <c r="CA19" s="769"/>
      <c r="CB19" s="769"/>
      <c r="CC19" s="769"/>
      <c r="CD19" s="769"/>
      <c r="CE19" s="769"/>
      <c r="CF19" s="769"/>
      <c r="CG19" s="769"/>
      <c r="CH19" s="769"/>
      <c r="CI19" s="769"/>
      <c r="CJ19" s="769"/>
      <c r="CK19" s="769"/>
      <c r="CL19" s="769"/>
      <c r="CM19" s="769"/>
      <c r="CN19" s="769"/>
      <c r="CO19" s="769"/>
      <c r="CP19" s="769"/>
      <c r="CQ19" s="769"/>
      <c r="CR19" s="769"/>
      <c r="CS19" s="769"/>
      <c r="CT19" s="769"/>
      <c r="CU19" s="769"/>
      <c r="CV19" s="769"/>
      <c r="CW19" s="769"/>
      <c r="CX19" s="769"/>
      <c r="CY19" s="769"/>
      <c r="CZ19" s="769"/>
      <c r="DA19" s="769"/>
      <c r="DB19" s="769"/>
      <c r="DC19" s="769"/>
      <c r="DD19" s="769"/>
      <c r="DE19" s="769"/>
      <c r="DF19" s="769"/>
      <c r="DG19" s="769"/>
      <c r="DH19" s="769"/>
      <c r="DI19" s="769"/>
      <c r="DJ19" s="769"/>
      <c r="DK19" s="769"/>
      <c r="DL19" s="769"/>
      <c r="DM19" s="769"/>
      <c r="DN19" s="769"/>
      <c r="DO19" s="769"/>
      <c r="DP19" s="769"/>
      <c r="DQ19" s="769"/>
      <c r="DR19" s="769"/>
    </row>
    <row r="20" spans="1:122" ht="12.75">
      <c r="A20" s="649"/>
      <c r="B20" s="541">
        <v>2</v>
      </c>
      <c r="C20" s="72" t="s">
        <v>120</v>
      </c>
      <c r="D20" s="541" t="s">
        <v>593</v>
      </c>
      <c r="E20" s="564">
        <v>141</v>
      </c>
      <c r="F20" s="73"/>
      <c r="G20" s="73" t="str">
        <f t="shared" si="55"/>
        <v>042432L</v>
      </c>
      <c r="H20" s="46"/>
      <c r="I20" s="769" t="s">
        <v>453</v>
      </c>
      <c r="J20" s="769" t="s">
        <v>131</v>
      </c>
      <c r="K20" s="215" t="s">
        <v>978</v>
      </c>
      <c r="L20" s="582" t="s">
        <v>898</v>
      </c>
      <c r="M20" s="581">
        <f t="shared" si="56"/>
        <v>0</v>
      </c>
      <c r="N20" s="581">
        <f t="shared" si="56"/>
        <v>0</v>
      </c>
      <c r="O20" s="581">
        <f t="shared" si="56"/>
        <v>0</v>
      </c>
      <c r="P20" s="581">
        <f t="shared" si="56"/>
        <v>0</v>
      </c>
      <c r="Q20" s="581">
        <f t="shared" si="56"/>
        <v>0</v>
      </c>
      <c r="R20" s="581">
        <f t="shared" si="28"/>
        <v>1</v>
      </c>
      <c r="S20" s="620">
        <v>0</v>
      </c>
      <c r="T20" s="620">
        <v>0</v>
      </c>
      <c r="U20" s="620">
        <v>0</v>
      </c>
      <c r="V20" s="620">
        <v>0</v>
      </c>
      <c r="W20" s="620">
        <v>5.89064</v>
      </c>
      <c r="X20" s="769"/>
      <c r="Y20" s="70">
        <f t="shared" si="29"/>
        <v>0</v>
      </c>
      <c r="Z20" s="70">
        <f t="shared" si="30"/>
        <v>0</v>
      </c>
      <c r="AA20" s="70">
        <f t="shared" si="31"/>
        <v>0</v>
      </c>
      <c r="AB20" s="70">
        <f t="shared" si="32"/>
        <v>0</v>
      </c>
      <c r="AC20" s="70">
        <f t="shared" si="33"/>
        <v>0</v>
      </c>
      <c r="AD20" s="769"/>
      <c r="AE20" s="581">
        <f t="shared" si="57"/>
        <v>0</v>
      </c>
      <c r="AF20" s="581">
        <f t="shared" si="57"/>
        <v>0</v>
      </c>
      <c r="AG20" s="581">
        <f t="shared" si="57"/>
        <v>0</v>
      </c>
      <c r="AH20" s="581">
        <f t="shared" si="57"/>
        <v>0</v>
      </c>
      <c r="AI20" s="581">
        <f t="shared" si="57"/>
        <v>0</v>
      </c>
      <c r="AJ20" s="769"/>
      <c r="AK20" s="586">
        <f t="shared" si="34"/>
        <v>0</v>
      </c>
      <c r="AL20" s="586"/>
      <c r="AM20" s="586">
        <f t="shared" si="35"/>
        <v>0</v>
      </c>
      <c r="AN20" s="586">
        <f t="shared" si="36"/>
        <v>0</v>
      </c>
      <c r="AO20" s="586">
        <f t="shared" si="37"/>
        <v>5.89</v>
      </c>
      <c r="AP20" s="769"/>
      <c r="AQ20" s="70">
        <f t="shared" si="38"/>
        <v>0</v>
      </c>
      <c r="AR20" s="70">
        <f t="shared" si="39"/>
        <v>0</v>
      </c>
      <c r="AS20" s="70">
        <f t="shared" si="40"/>
        <v>0</v>
      </c>
      <c r="AT20" s="70">
        <f t="shared" si="41"/>
        <v>0</v>
      </c>
      <c r="AU20" s="70">
        <f t="shared" si="54"/>
        <v>0</v>
      </c>
      <c r="AV20" s="769"/>
      <c r="AW20" s="593">
        <v>56</v>
      </c>
      <c r="AX20" s="583"/>
      <c r="AY20" s="583"/>
      <c r="AZ20" s="583"/>
      <c r="BA20" s="583"/>
      <c r="BB20" s="583">
        <v>6.1</v>
      </c>
      <c r="BC20" s="583"/>
      <c r="BD20" s="589">
        <f t="shared" si="42"/>
        <v>0.12</v>
      </c>
      <c r="BE20" s="579"/>
      <c r="BF20" s="579"/>
      <c r="BG20" s="579"/>
      <c r="BH20" s="579"/>
      <c r="BI20" s="579">
        <f t="shared" si="43"/>
        <v>0</v>
      </c>
      <c r="BJ20" s="769"/>
      <c r="BK20" s="769"/>
      <c r="BL20" s="587">
        <f t="shared" si="44"/>
        <v>0</v>
      </c>
      <c r="BM20" s="587">
        <f t="shared" si="45"/>
        <v>0</v>
      </c>
      <c r="BN20" s="587">
        <f t="shared" si="46"/>
        <v>0</v>
      </c>
      <c r="BO20" s="587">
        <f t="shared" si="47"/>
        <v>0</v>
      </c>
      <c r="BP20" s="587">
        <f t="shared" si="48"/>
        <v>5.978938999999999</v>
      </c>
      <c r="BQ20" s="769"/>
      <c r="BR20" s="579">
        <f t="shared" si="49"/>
        <v>0</v>
      </c>
      <c r="BS20" s="579">
        <f t="shared" si="50"/>
        <v>0</v>
      </c>
      <c r="BT20" s="579">
        <f t="shared" si="51"/>
        <v>0</v>
      </c>
      <c r="BU20" s="579">
        <f t="shared" si="52"/>
        <v>0</v>
      </c>
      <c r="BV20" s="579">
        <f t="shared" si="53"/>
        <v>-0.12106100000000097</v>
      </c>
      <c r="BW20" s="769"/>
      <c r="BX20" s="769"/>
      <c r="BY20" s="769"/>
      <c r="BZ20" s="769"/>
      <c r="CA20" s="769"/>
      <c r="CB20" s="769"/>
      <c r="CC20" s="769"/>
      <c r="CD20" s="769"/>
      <c r="CE20" s="769"/>
      <c r="CF20" s="769"/>
      <c r="CG20" s="769"/>
      <c r="CH20" s="769"/>
      <c r="CI20" s="769"/>
      <c r="CJ20" s="769"/>
      <c r="CK20" s="769"/>
      <c r="CL20" s="769"/>
      <c r="CM20" s="769"/>
      <c r="CN20" s="769"/>
      <c r="CO20" s="769"/>
      <c r="CP20" s="769"/>
      <c r="CQ20" s="769"/>
      <c r="CR20" s="769"/>
      <c r="CS20" s="769"/>
      <c r="CT20" s="769"/>
      <c r="CU20" s="769"/>
      <c r="CV20" s="769"/>
      <c r="CW20" s="769"/>
      <c r="CX20" s="769"/>
      <c r="CY20" s="769"/>
      <c r="CZ20" s="769"/>
      <c r="DA20" s="769"/>
      <c r="DB20" s="769"/>
      <c r="DC20" s="769"/>
      <c r="DD20" s="769"/>
      <c r="DE20" s="769"/>
      <c r="DF20" s="769"/>
      <c r="DG20" s="769"/>
      <c r="DH20" s="769"/>
      <c r="DI20" s="769"/>
      <c r="DJ20" s="769"/>
      <c r="DK20" s="769"/>
      <c r="DL20" s="769"/>
      <c r="DM20" s="769"/>
      <c r="DN20" s="769"/>
      <c r="DO20" s="769"/>
      <c r="DP20" s="769"/>
      <c r="DQ20" s="769"/>
      <c r="DR20" s="769"/>
    </row>
    <row r="21" spans="1:122" ht="12.75">
      <c r="A21" s="648"/>
      <c r="B21" s="541">
        <v>2</v>
      </c>
      <c r="C21" s="72" t="s">
        <v>120</v>
      </c>
      <c r="D21" s="541" t="s">
        <v>706</v>
      </c>
      <c r="E21" s="564">
        <v>28</v>
      </c>
      <c r="F21" s="73"/>
      <c r="G21" s="73" t="str">
        <f t="shared" si="55"/>
        <v>042432T</v>
      </c>
      <c r="H21" s="46"/>
      <c r="I21" s="769" t="s">
        <v>453</v>
      </c>
      <c r="J21" s="769" t="s">
        <v>131</v>
      </c>
      <c r="K21" s="215" t="s">
        <v>978</v>
      </c>
      <c r="L21" s="582" t="s">
        <v>900</v>
      </c>
      <c r="M21" s="581">
        <f t="shared" si="56"/>
        <v>0</v>
      </c>
      <c r="N21" s="581">
        <f t="shared" si="56"/>
        <v>0</v>
      </c>
      <c r="O21" s="581">
        <f t="shared" si="56"/>
        <v>0</v>
      </c>
      <c r="P21" s="581">
        <f t="shared" si="56"/>
        <v>0</v>
      </c>
      <c r="Q21" s="581">
        <f t="shared" si="56"/>
        <v>0</v>
      </c>
      <c r="R21" s="581">
        <f t="shared" si="28"/>
        <v>1</v>
      </c>
      <c r="S21" s="620">
        <v>0</v>
      </c>
      <c r="T21" s="620">
        <v>0</v>
      </c>
      <c r="U21" s="620">
        <v>0</v>
      </c>
      <c r="V21" s="620">
        <v>0</v>
      </c>
      <c r="W21" s="620">
        <v>6.2062100000000004</v>
      </c>
      <c r="X21" s="769"/>
      <c r="Y21" s="70">
        <f t="shared" si="29"/>
        <v>0</v>
      </c>
      <c r="Z21" s="70">
        <f t="shared" si="30"/>
        <v>0</v>
      </c>
      <c r="AA21" s="70">
        <f t="shared" si="31"/>
        <v>0</v>
      </c>
      <c r="AB21" s="70">
        <f t="shared" si="32"/>
        <v>0</v>
      </c>
      <c r="AC21" s="70">
        <f t="shared" si="33"/>
        <v>0</v>
      </c>
      <c r="AD21" s="769"/>
      <c r="AE21" s="581">
        <f t="shared" si="57"/>
        <v>0</v>
      </c>
      <c r="AF21" s="581">
        <f t="shared" si="57"/>
        <v>0</v>
      </c>
      <c r="AG21" s="581">
        <f t="shared" si="57"/>
        <v>0</v>
      </c>
      <c r="AH21" s="581">
        <f t="shared" si="57"/>
        <v>0</v>
      </c>
      <c r="AI21" s="581">
        <f t="shared" si="57"/>
        <v>0</v>
      </c>
      <c r="AJ21" s="769"/>
      <c r="AK21" s="586">
        <f t="shared" si="34"/>
        <v>0</v>
      </c>
      <c r="AL21" s="586"/>
      <c r="AM21" s="586">
        <f t="shared" si="35"/>
        <v>0</v>
      </c>
      <c r="AN21" s="586">
        <f t="shared" si="36"/>
        <v>0</v>
      </c>
      <c r="AO21" s="586">
        <f t="shared" si="37"/>
        <v>6.21</v>
      </c>
      <c r="AP21" s="769"/>
      <c r="AQ21" s="70">
        <f t="shared" si="38"/>
        <v>0</v>
      </c>
      <c r="AR21" s="70">
        <f t="shared" si="39"/>
        <v>0</v>
      </c>
      <c r="AS21" s="70">
        <f t="shared" si="40"/>
        <v>0</v>
      </c>
      <c r="AT21" s="70">
        <f t="shared" si="41"/>
        <v>0</v>
      </c>
      <c r="AU21" s="70">
        <f t="shared" si="54"/>
        <v>0</v>
      </c>
      <c r="AV21" s="769"/>
      <c r="AW21" s="593">
        <v>59</v>
      </c>
      <c r="AX21" s="583"/>
      <c r="AY21" s="583"/>
      <c r="AZ21" s="583"/>
      <c r="BA21" s="583"/>
      <c r="BB21" s="583">
        <v>6.42</v>
      </c>
      <c r="BC21" s="583"/>
      <c r="BD21" s="589">
        <f t="shared" si="42"/>
        <v>0.13</v>
      </c>
      <c r="BE21" s="579"/>
      <c r="BF21" s="579"/>
      <c r="BG21" s="579"/>
      <c r="BH21" s="579"/>
      <c r="BI21" s="579">
        <f t="shared" si="43"/>
        <v>0.01</v>
      </c>
      <c r="BJ21" s="769"/>
      <c r="BK21" s="769"/>
      <c r="BL21" s="587">
        <f t="shared" si="44"/>
        <v>0</v>
      </c>
      <c r="BM21" s="587">
        <f t="shared" si="45"/>
        <v>0</v>
      </c>
      <c r="BN21" s="587">
        <f t="shared" si="46"/>
        <v>0</v>
      </c>
      <c r="BO21" s="587">
        <f t="shared" si="47"/>
        <v>0</v>
      </c>
      <c r="BP21" s="587">
        <f t="shared" si="48"/>
        <v>6.303770999999999</v>
      </c>
      <c r="BQ21" s="769"/>
      <c r="BR21" s="579">
        <f t="shared" si="49"/>
        <v>0</v>
      </c>
      <c r="BS21" s="579">
        <f t="shared" si="50"/>
        <v>0</v>
      </c>
      <c r="BT21" s="579">
        <f t="shared" si="51"/>
        <v>0</v>
      </c>
      <c r="BU21" s="579">
        <f t="shared" si="52"/>
        <v>0</v>
      </c>
      <c r="BV21" s="579">
        <f t="shared" si="53"/>
        <v>-0.11622900000000058</v>
      </c>
      <c r="BW21" s="769"/>
      <c r="BX21" s="769"/>
      <c r="BY21" s="769"/>
      <c r="BZ21" s="769"/>
      <c r="CA21" s="769"/>
      <c r="CB21" s="769"/>
      <c r="CC21" s="769"/>
      <c r="CD21" s="769"/>
      <c r="CE21" s="769"/>
      <c r="CF21" s="769"/>
      <c r="CG21" s="769"/>
      <c r="CH21" s="769"/>
      <c r="CI21" s="769"/>
      <c r="CJ21" s="769"/>
      <c r="CK21" s="769"/>
      <c r="CL21" s="769"/>
      <c r="CM21" s="769"/>
      <c r="CN21" s="769"/>
      <c r="CO21" s="769"/>
      <c r="CP21" s="769"/>
      <c r="CQ21" s="769"/>
      <c r="CR21" s="769"/>
      <c r="CS21" s="769"/>
      <c r="CT21" s="769"/>
      <c r="CU21" s="769"/>
      <c r="CV21" s="769"/>
      <c r="CW21" s="769"/>
      <c r="CX21" s="769"/>
      <c r="CY21" s="769"/>
      <c r="CZ21" s="769"/>
      <c r="DA21" s="769"/>
      <c r="DB21" s="769"/>
      <c r="DC21" s="769"/>
      <c r="DD21" s="769"/>
      <c r="DE21" s="769"/>
      <c r="DF21" s="769"/>
      <c r="DG21" s="769"/>
      <c r="DH21" s="769"/>
      <c r="DI21" s="769"/>
      <c r="DJ21" s="769"/>
      <c r="DK21" s="769"/>
      <c r="DL21" s="769"/>
      <c r="DM21" s="769"/>
      <c r="DN21" s="769"/>
      <c r="DO21" s="769"/>
      <c r="DP21" s="769"/>
      <c r="DQ21" s="769"/>
      <c r="DR21" s="769"/>
    </row>
    <row r="22" spans="2:122" ht="12.75">
      <c r="B22" s="35">
        <v>2</v>
      </c>
      <c r="C22" s="72" t="s">
        <v>120</v>
      </c>
      <c r="D22" s="35">
        <v>433</v>
      </c>
      <c r="E22" s="562">
        <v>6</v>
      </c>
      <c r="F22" s="73"/>
      <c r="G22" s="73" t="str">
        <f t="shared" si="55"/>
        <v>042433</v>
      </c>
      <c r="H22" s="46"/>
      <c r="I22" s="769" t="s">
        <v>453</v>
      </c>
      <c r="J22" s="769" t="s">
        <v>131</v>
      </c>
      <c r="K22" s="215" t="s">
        <v>978</v>
      </c>
      <c r="L22" s="582" t="s">
        <v>902</v>
      </c>
      <c r="M22" s="581">
        <f t="shared" si="56"/>
        <v>0</v>
      </c>
      <c r="N22" s="581">
        <f t="shared" si="56"/>
        <v>0</v>
      </c>
      <c r="O22" s="581">
        <f t="shared" si="56"/>
        <v>0</v>
      </c>
      <c r="P22" s="581">
        <f t="shared" si="56"/>
        <v>0</v>
      </c>
      <c r="Q22" s="581">
        <f t="shared" si="56"/>
        <v>0</v>
      </c>
      <c r="R22" s="581">
        <f t="shared" si="28"/>
        <v>1</v>
      </c>
      <c r="S22" s="620">
        <v>0</v>
      </c>
      <c r="T22" s="620">
        <v>0</v>
      </c>
      <c r="U22" s="620">
        <v>0</v>
      </c>
      <c r="V22" s="620">
        <v>0</v>
      </c>
      <c r="W22" s="620">
        <v>6.62697</v>
      </c>
      <c r="X22" s="769"/>
      <c r="Y22" s="70">
        <f t="shared" si="29"/>
        <v>0</v>
      </c>
      <c r="Z22" s="70">
        <f t="shared" si="30"/>
        <v>0</v>
      </c>
      <c r="AA22" s="70">
        <f t="shared" si="31"/>
        <v>0</v>
      </c>
      <c r="AB22" s="70">
        <f t="shared" si="32"/>
        <v>0</v>
      </c>
      <c r="AC22" s="70">
        <f t="shared" si="33"/>
        <v>0</v>
      </c>
      <c r="AD22" s="769"/>
      <c r="AE22" s="581">
        <f t="shared" si="57"/>
        <v>0</v>
      </c>
      <c r="AF22" s="581">
        <f t="shared" si="57"/>
        <v>0</v>
      </c>
      <c r="AG22" s="581">
        <f t="shared" si="57"/>
        <v>0</v>
      </c>
      <c r="AH22" s="581">
        <f t="shared" si="57"/>
        <v>0</v>
      </c>
      <c r="AI22" s="581">
        <f t="shared" si="57"/>
        <v>0</v>
      </c>
      <c r="AJ22" s="769"/>
      <c r="AK22" s="586">
        <f t="shared" si="34"/>
        <v>0</v>
      </c>
      <c r="AL22" s="586"/>
      <c r="AM22" s="586">
        <f t="shared" si="35"/>
        <v>0</v>
      </c>
      <c r="AN22" s="586">
        <f t="shared" si="36"/>
        <v>0</v>
      </c>
      <c r="AO22" s="586">
        <f t="shared" si="37"/>
        <v>6.63</v>
      </c>
      <c r="AP22" s="769"/>
      <c r="AQ22" s="70">
        <f t="shared" si="38"/>
        <v>0</v>
      </c>
      <c r="AR22" s="70">
        <f t="shared" si="39"/>
        <v>0</v>
      </c>
      <c r="AS22" s="70">
        <f t="shared" si="40"/>
        <v>0</v>
      </c>
      <c r="AT22" s="70">
        <f t="shared" si="41"/>
        <v>0</v>
      </c>
      <c r="AU22" s="70">
        <f t="shared" si="54"/>
        <v>0</v>
      </c>
      <c r="AV22" s="769"/>
      <c r="AW22" s="593">
        <v>63</v>
      </c>
      <c r="AX22" s="583"/>
      <c r="AY22" s="583"/>
      <c r="AZ22" s="583"/>
      <c r="BA22" s="583"/>
      <c r="BB22" s="583">
        <v>6.87</v>
      </c>
      <c r="BC22" s="583"/>
      <c r="BD22" s="589">
        <f t="shared" si="42"/>
        <v>0.14</v>
      </c>
      <c r="BE22" s="579"/>
      <c r="BF22" s="579"/>
      <c r="BG22" s="579"/>
      <c r="BH22" s="579"/>
      <c r="BI22" s="579">
        <f t="shared" si="43"/>
        <v>0</v>
      </c>
      <c r="BJ22" s="769"/>
      <c r="BK22" s="769"/>
      <c r="BL22" s="587">
        <f t="shared" si="44"/>
        <v>0</v>
      </c>
      <c r="BM22" s="587">
        <f t="shared" si="45"/>
        <v>0</v>
      </c>
      <c r="BN22" s="587">
        <f t="shared" si="46"/>
        <v>0</v>
      </c>
      <c r="BO22" s="587">
        <f t="shared" si="47"/>
        <v>0</v>
      </c>
      <c r="BP22" s="587">
        <f t="shared" si="48"/>
        <v>6.730112999999999</v>
      </c>
      <c r="BQ22" s="769"/>
      <c r="BR22" s="579">
        <f t="shared" si="49"/>
        <v>0</v>
      </c>
      <c r="BS22" s="579">
        <f t="shared" si="50"/>
        <v>0</v>
      </c>
      <c r="BT22" s="579">
        <f t="shared" si="51"/>
        <v>0</v>
      </c>
      <c r="BU22" s="579">
        <f t="shared" si="52"/>
        <v>0</v>
      </c>
      <c r="BV22" s="579">
        <f t="shared" si="53"/>
        <v>-0.13988700000000076</v>
      </c>
      <c r="BW22" s="769"/>
      <c r="BX22" s="769"/>
      <c r="BY22" s="769"/>
      <c r="BZ22" s="769"/>
      <c r="CA22" s="769"/>
      <c r="CB22" s="769"/>
      <c r="CC22" s="769"/>
      <c r="CD22" s="769"/>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row>
    <row r="23" spans="1:122" ht="12.75">
      <c r="A23" s="649"/>
      <c r="B23" s="541">
        <v>2</v>
      </c>
      <c r="C23" s="72" t="s">
        <v>120</v>
      </c>
      <c r="D23" s="541" t="s">
        <v>594</v>
      </c>
      <c r="E23" s="564">
        <v>49</v>
      </c>
      <c r="F23" s="73"/>
      <c r="G23" s="73" t="str">
        <f t="shared" si="55"/>
        <v>042433L</v>
      </c>
      <c r="H23" s="46"/>
      <c r="I23" s="769" t="s">
        <v>453</v>
      </c>
      <c r="J23" s="769" t="s">
        <v>131</v>
      </c>
      <c r="K23" s="215" t="s">
        <v>978</v>
      </c>
      <c r="L23" s="582" t="s">
        <v>904</v>
      </c>
      <c r="M23" s="581">
        <f t="shared" si="56"/>
        <v>0</v>
      </c>
      <c r="N23" s="581">
        <f t="shared" si="56"/>
        <v>0</v>
      </c>
      <c r="O23" s="581">
        <f t="shared" si="56"/>
        <v>0</v>
      </c>
      <c r="P23" s="581">
        <f t="shared" si="56"/>
        <v>0</v>
      </c>
      <c r="Q23" s="581">
        <f t="shared" si="56"/>
        <v>0</v>
      </c>
      <c r="R23" s="581">
        <f t="shared" si="28"/>
        <v>1</v>
      </c>
      <c r="S23" s="620">
        <v>0</v>
      </c>
      <c r="T23" s="620">
        <v>0</v>
      </c>
      <c r="U23" s="620">
        <v>0</v>
      </c>
      <c r="V23" s="620">
        <v>0</v>
      </c>
      <c r="W23" s="620">
        <v>7.0477300000000005</v>
      </c>
      <c r="X23" s="769"/>
      <c r="Y23" s="70">
        <f t="shared" si="29"/>
        <v>0</v>
      </c>
      <c r="Z23" s="70">
        <f t="shared" si="30"/>
        <v>0</v>
      </c>
      <c r="AA23" s="70">
        <f t="shared" si="31"/>
        <v>0</v>
      </c>
      <c r="AB23" s="70">
        <f t="shared" si="32"/>
        <v>0</v>
      </c>
      <c r="AC23" s="70">
        <f t="shared" si="33"/>
        <v>0</v>
      </c>
      <c r="AD23" s="769"/>
      <c r="AE23" s="581">
        <f t="shared" si="57"/>
        <v>0</v>
      </c>
      <c r="AF23" s="581">
        <f t="shared" si="57"/>
        <v>0</v>
      </c>
      <c r="AG23" s="581">
        <f t="shared" si="57"/>
        <v>0</v>
      </c>
      <c r="AH23" s="581">
        <f t="shared" si="57"/>
        <v>0</v>
      </c>
      <c r="AI23" s="581">
        <f t="shared" si="57"/>
        <v>0</v>
      </c>
      <c r="AJ23" s="769"/>
      <c r="AK23" s="586">
        <f t="shared" si="34"/>
        <v>0</v>
      </c>
      <c r="AL23" s="586"/>
      <c r="AM23" s="586">
        <f t="shared" si="35"/>
        <v>0</v>
      </c>
      <c r="AN23" s="586">
        <f t="shared" si="36"/>
        <v>0</v>
      </c>
      <c r="AO23" s="586">
        <f t="shared" si="37"/>
        <v>7.05</v>
      </c>
      <c r="AP23" s="769"/>
      <c r="AQ23" s="70">
        <f t="shared" si="38"/>
        <v>0</v>
      </c>
      <c r="AR23" s="70">
        <f t="shared" si="39"/>
        <v>0</v>
      </c>
      <c r="AS23" s="70">
        <f t="shared" si="40"/>
        <v>0</v>
      </c>
      <c r="AT23" s="70">
        <f t="shared" si="41"/>
        <v>0</v>
      </c>
      <c r="AU23" s="70">
        <f t="shared" si="54"/>
        <v>0</v>
      </c>
      <c r="AV23" s="769"/>
      <c r="AW23" s="593">
        <v>67</v>
      </c>
      <c r="AX23" s="583"/>
      <c r="AY23" s="583"/>
      <c r="AZ23" s="583"/>
      <c r="BA23" s="583"/>
      <c r="BB23" s="583">
        <v>7.3</v>
      </c>
      <c r="BC23" s="583"/>
      <c r="BD23" s="589">
        <f t="shared" si="42"/>
        <v>0.14</v>
      </c>
      <c r="BE23" s="579"/>
      <c r="BF23" s="579"/>
      <c r="BG23" s="579"/>
      <c r="BH23" s="579"/>
      <c r="BI23" s="579">
        <f t="shared" si="43"/>
        <v>-0.01</v>
      </c>
      <c r="BJ23" s="769"/>
      <c r="BK23" s="769"/>
      <c r="BL23" s="587">
        <f t="shared" si="44"/>
        <v>0</v>
      </c>
      <c r="BM23" s="587">
        <f t="shared" si="45"/>
        <v>0</v>
      </c>
      <c r="BN23" s="587">
        <f t="shared" si="46"/>
        <v>0</v>
      </c>
      <c r="BO23" s="587">
        <f t="shared" si="47"/>
        <v>0</v>
      </c>
      <c r="BP23" s="587">
        <f t="shared" si="48"/>
        <v>7.156454999999999</v>
      </c>
      <c r="BQ23" s="769"/>
      <c r="BR23" s="579">
        <f t="shared" si="49"/>
        <v>0</v>
      </c>
      <c r="BS23" s="579">
        <f t="shared" si="50"/>
        <v>0</v>
      </c>
      <c r="BT23" s="579">
        <f t="shared" si="51"/>
        <v>0</v>
      </c>
      <c r="BU23" s="579">
        <f t="shared" si="52"/>
        <v>0</v>
      </c>
      <c r="BV23" s="579">
        <f t="shared" si="53"/>
        <v>-0.14354500000000048</v>
      </c>
      <c r="BW23" s="769"/>
      <c r="BX23" s="769"/>
      <c r="BY23" s="769"/>
      <c r="BZ23" s="769"/>
      <c r="CA23" s="769"/>
      <c r="CB23" s="769"/>
      <c r="CC23" s="769"/>
      <c r="CD23" s="769"/>
      <c r="CE23" s="769"/>
      <c r="CF23" s="769"/>
      <c r="CG23" s="769"/>
      <c r="CH23" s="769"/>
      <c r="CI23" s="769"/>
      <c r="CJ23" s="769"/>
      <c r="CK23" s="769"/>
      <c r="CL23" s="769"/>
      <c r="CM23" s="769"/>
      <c r="CN23" s="769"/>
      <c r="CO23" s="769"/>
      <c r="CP23" s="769"/>
      <c r="CQ23" s="769"/>
      <c r="CR23" s="769"/>
      <c r="CS23" s="769"/>
      <c r="CT23" s="769"/>
      <c r="CU23" s="769"/>
      <c r="CV23" s="769"/>
      <c r="CW23" s="769"/>
      <c r="CX23" s="769"/>
      <c r="CY23" s="769"/>
      <c r="CZ23" s="769"/>
      <c r="DA23" s="769"/>
      <c r="DB23" s="769"/>
      <c r="DC23" s="769"/>
      <c r="DD23" s="769"/>
      <c r="DE23" s="769"/>
      <c r="DF23" s="769"/>
      <c r="DG23" s="769"/>
      <c r="DH23" s="769"/>
      <c r="DI23" s="769"/>
      <c r="DJ23" s="769"/>
      <c r="DK23" s="769"/>
      <c r="DL23" s="769"/>
      <c r="DM23" s="769"/>
      <c r="DN23" s="769"/>
      <c r="DO23" s="769"/>
      <c r="DP23" s="769"/>
      <c r="DQ23" s="769"/>
      <c r="DR23" s="769"/>
    </row>
    <row r="24" spans="1:122" ht="12.75">
      <c r="A24" s="648"/>
      <c r="B24" s="541">
        <v>2</v>
      </c>
      <c r="C24" s="72" t="s">
        <v>120</v>
      </c>
      <c r="D24" s="541" t="s">
        <v>707</v>
      </c>
      <c r="E24" s="564">
        <v>65</v>
      </c>
      <c r="F24" s="73"/>
      <c r="G24" s="73" t="str">
        <f t="shared" si="55"/>
        <v>042433T</v>
      </c>
      <c r="H24" s="46"/>
      <c r="I24" s="769" t="s">
        <v>453</v>
      </c>
      <c r="J24" s="769" t="s">
        <v>131</v>
      </c>
      <c r="K24" s="215" t="s">
        <v>978</v>
      </c>
      <c r="L24" s="582" t="s">
        <v>906</v>
      </c>
      <c r="M24" s="581">
        <f aca="true" t="shared" si="58" ref="M24:Q33">SUMIF($G:$G,TEXT(M$3,"000")&amp;TEXT($L24,"000"),$E:$E)</f>
        <v>0</v>
      </c>
      <c r="N24" s="581">
        <f t="shared" si="58"/>
        <v>0</v>
      </c>
      <c r="O24" s="581">
        <f t="shared" si="58"/>
        <v>0</v>
      </c>
      <c r="P24" s="581">
        <f t="shared" si="58"/>
        <v>0</v>
      </c>
      <c r="Q24" s="581">
        <f t="shared" si="58"/>
        <v>0</v>
      </c>
      <c r="R24" s="581">
        <f t="shared" si="28"/>
        <v>1</v>
      </c>
      <c r="S24" s="620">
        <v>0</v>
      </c>
      <c r="T24" s="620">
        <v>0</v>
      </c>
      <c r="U24" s="620">
        <v>0</v>
      </c>
      <c r="V24" s="620">
        <v>0</v>
      </c>
      <c r="W24" s="620">
        <v>7.363300000000001</v>
      </c>
      <c r="X24" s="769"/>
      <c r="Y24" s="70">
        <f t="shared" si="29"/>
        <v>0</v>
      </c>
      <c r="Z24" s="70">
        <f t="shared" si="30"/>
        <v>0</v>
      </c>
      <c r="AA24" s="70">
        <f t="shared" si="31"/>
        <v>0</v>
      </c>
      <c r="AB24" s="70">
        <f t="shared" si="32"/>
        <v>0</v>
      </c>
      <c r="AC24" s="70">
        <f t="shared" si="33"/>
        <v>0</v>
      </c>
      <c r="AD24" s="769"/>
      <c r="AE24" s="581">
        <f t="shared" si="57"/>
        <v>0</v>
      </c>
      <c r="AF24" s="581">
        <f t="shared" si="57"/>
        <v>0</v>
      </c>
      <c r="AG24" s="581">
        <f t="shared" si="57"/>
        <v>0</v>
      </c>
      <c r="AH24" s="581">
        <f t="shared" si="57"/>
        <v>0</v>
      </c>
      <c r="AI24" s="581">
        <f t="shared" si="57"/>
        <v>0</v>
      </c>
      <c r="AJ24" s="769"/>
      <c r="AK24" s="586">
        <f t="shared" si="34"/>
        <v>0</v>
      </c>
      <c r="AL24" s="586"/>
      <c r="AM24" s="586">
        <f t="shared" si="35"/>
        <v>0</v>
      </c>
      <c r="AN24" s="586">
        <f t="shared" si="36"/>
        <v>0</v>
      </c>
      <c r="AO24" s="586">
        <f t="shared" si="37"/>
        <v>7.36</v>
      </c>
      <c r="AP24" s="769"/>
      <c r="AQ24" s="70">
        <f t="shared" si="38"/>
        <v>0</v>
      </c>
      <c r="AR24" s="70">
        <f t="shared" si="39"/>
        <v>0</v>
      </c>
      <c r="AS24" s="70">
        <f t="shared" si="40"/>
        <v>0</v>
      </c>
      <c r="AT24" s="70">
        <f t="shared" si="41"/>
        <v>0</v>
      </c>
      <c r="AU24" s="70">
        <f t="shared" si="54"/>
        <v>0</v>
      </c>
      <c r="AV24" s="769"/>
      <c r="AW24" s="593">
        <v>70</v>
      </c>
      <c r="AX24" s="583"/>
      <c r="AY24" s="583"/>
      <c r="AZ24" s="583"/>
      <c r="BA24" s="583"/>
      <c r="BB24" s="583">
        <v>7.63</v>
      </c>
      <c r="BC24" s="583"/>
      <c r="BD24" s="589">
        <f t="shared" si="42"/>
        <v>0.16000000000000003</v>
      </c>
      <c r="BE24" s="579"/>
      <c r="BF24" s="579"/>
      <c r="BG24" s="579"/>
      <c r="BH24" s="579"/>
      <c r="BI24" s="579">
        <f t="shared" si="43"/>
        <v>0</v>
      </c>
      <c r="BJ24" s="769"/>
      <c r="BK24" s="769"/>
      <c r="BL24" s="587">
        <f t="shared" si="44"/>
        <v>0</v>
      </c>
      <c r="BM24" s="587">
        <f t="shared" si="45"/>
        <v>0</v>
      </c>
      <c r="BN24" s="587">
        <f t="shared" si="46"/>
        <v>0</v>
      </c>
      <c r="BO24" s="587">
        <f t="shared" si="47"/>
        <v>0</v>
      </c>
      <c r="BP24" s="587">
        <f t="shared" si="48"/>
        <v>7.4711359999999996</v>
      </c>
      <c r="BQ24" s="769"/>
      <c r="BR24" s="579">
        <f t="shared" si="49"/>
        <v>0</v>
      </c>
      <c r="BS24" s="579">
        <f t="shared" si="50"/>
        <v>0</v>
      </c>
      <c r="BT24" s="579">
        <f t="shared" si="51"/>
        <v>0</v>
      </c>
      <c r="BU24" s="579">
        <f t="shared" si="52"/>
        <v>0</v>
      </c>
      <c r="BV24" s="579">
        <f t="shared" si="53"/>
        <v>-0.15886400000000034</v>
      </c>
      <c r="BW24" s="769"/>
      <c r="BX24" s="769"/>
      <c r="BY24" s="769"/>
      <c r="BZ24" s="769"/>
      <c r="CA24" s="769"/>
      <c r="CB24" s="769"/>
      <c r="CC24" s="769"/>
      <c r="CD24" s="769"/>
      <c r="CE24" s="769"/>
      <c r="CF24" s="769"/>
      <c r="CG24" s="769"/>
      <c r="CH24" s="769"/>
      <c r="CI24" s="769"/>
      <c r="CJ24" s="769"/>
      <c r="CK24" s="769"/>
      <c r="CL24" s="769"/>
      <c r="CM24" s="769"/>
      <c r="CN24" s="769"/>
      <c r="CO24" s="769"/>
      <c r="CP24" s="769"/>
      <c r="CQ24" s="769"/>
      <c r="CR24" s="769"/>
      <c r="CS24" s="769"/>
      <c r="CT24" s="769"/>
      <c r="CU24" s="769"/>
      <c r="CV24" s="769"/>
      <c r="CW24" s="769"/>
      <c r="CX24" s="769"/>
      <c r="CY24" s="769"/>
      <c r="CZ24" s="769"/>
      <c r="DA24" s="769"/>
      <c r="DB24" s="769"/>
      <c r="DC24" s="769"/>
      <c r="DD24" s="769"/>
      <c r="DE24" s="769"/>
      <c r="DF24" s="769"/>
      <c r="DG24" s="769"/>
      <c r="DH24" s="769"/>
      <c r="DI24" s="769"/>
      <c r="DJ24" s="769"/>
      <c r="DK24" s="769"/>
      <c r="DL24" s="769"/>
      <c r="DM24" s="769"/>
      <c r="DN24" s="769"/>
      <c r="DO24" s="769"/>
      <c r="DP24" s="769"/>
      <c r="DQ24" s="769"/>
      <c r="DR24" s="769"/>
    </row>
    <row r="25" spans="2:122" ht="12.75">
      <c r="B25" s="35">
        <v>2</v>
      </c>
      <c r="C25" s="72" t="s">
        <v>120</v>
      </c>
      <c r="D25" s="35">
        <v>434</v>
      </c>
      <c r="E25" s="562">
        <v>2197</v>
      </c>
      <c r="F25" s="73"/>
      <c r="G25" s="73" t="str">
        <f t="shared" si="55"/>
        <v>042434</v>
      </c>
      <c r="H25" s="46"/>
      <c r="I25" s="769" t="s">
        <v>453</v>
      </c>
      <c r="J25" s="769" t="s">
        <v>131</v>
      </c>
      <c r="K25" s="215" t="s">
        <v>978</v>
      </c>
      <c r="L25" s="582" t="s">
        <v>908</v>
      </c>
      <c r="M25" s="581">
        <f t="shared" si="58"/>
        <v>0</v>
      </c>
      <c r="N25" s="581">
        <f t="shared" si="58"/>
        <v>0</v>
      </c>
      <c r="O25" s="581">
        <f t="shared" si="58"/>
        <v>0</v>
      </c>
      <c r="P25" s="581">
        <f t="shared" si="58"/>
        <v>0</v>
      </c>
      <c r="Q25" s="581">
        <f t="shared" si="58"/>
        <v>0</v>
      </c>
      <c r="R25" s="581">
        <f t="shared" si="28"/>
        <v>1</v>
      </c>
      <c r="S25" s="620">
        <v>0</v>
      </c>
      <c r="T25" s="620">
        <v>0</v>
      </c>
      <c r="U25" s="620">
        <v>0</v>
      </c>
      <c r="V25" s="620">
        <v>0</v>
      </c>
      <c r="W25" s="620">
        <v>8.099630000000001</v>
      </c>
      <c r="X25" s="769"/>
      <c r="Y25" s="70">
        <f t="shared" si="29"/>
        <v>0</v>
      </c>
      <c r="Z25" s="70">
        <f t="shared" si="30"/>
        <v>0</v>
      </c>
      <c r="AA25" s="70">
        <f t="shared" si="31"/>
        <v>0</v>
      </c>
      <c r="AB25" s="70">
        <f t="shared" si="32"/>
        <v>0</v>
      </c>
      <c r="AC25" s="70">
        <f t="shared" si="33"/>
        <v>0</v>
      </c>
      <c r="AD25" s="769"/>
      <c r="AE25" s="581">
        <f t="shared" si="57"/>
        <v>0</v>
      </c>
      <c r="AF25" s="581">
        <f t="shared" si="57"/>
        <v>0</v>
      </c>
      <c r="AG25" s="581">
        <f t="shared" si="57"/>
        <v>0</v>
      </c>
      <c r="AH25" s="581">
        <f t="shared" si="57"/>
        <v>0</v>
      </c>
      <c r="AI25" s="581">
        <f t="shared" si="57"/>
        <v>0</v>
      </c>
      <c r="AJ25" s="769"/>
      <c r="AK25" s="586">
        <f t="shared" si="34"/>
        <v>0</v>
      </c>
      <c r="AL25" s="586"/>
      <c r="AM25" s="586">
        <f t="shared" si="35"/>
        <v>0</v>
      </c>
      <c r="AN25" s="586">
        <f t="shared" si="36"/>
        <v>0</v>
      </c>
      <c r="AO25" s="586">
        <f t="shared" si="37"/>
        <v>8.1</v>
      </c>
      <c r="AP25" s="769"/>
      <c r="AQ25" s="70">
        <f t="shared" si="38"/>
        <v>0</v>
      </c>
      <c r="AR25" s="70">
        <f t="shared" si="39"/>
        <v>0</v>
      </c>
      <c r="AS25" s="70">
        <f t="shared" si="40"/>
        <v>0</v>
      </c>
      <c r="AT25" s="70">
        <f t="shared" si="41"/>
        <v>0</v>
      </c>
      <c r="AU25" s="70">
        <f t="shared" si="54"/>
        <v>0</v>
      </c>
      <c r="AV25" s="769"/>
      <c r="AW25" s="593">
        <v>77</v>
      </c>
      <c r="AX25" s="583"/>
      <c r="AY25" s="583"/>
      <c r="AZ25" s="583"/>
      <c r="BA25" s="583"/>
      <c r="BB25" s="583">
        <v>8.39</v>
      </c>
      <c r="BC25" s="583"/>
      <c r="BD25" s="589">
        <f t="shared" si="42"/>
        <v>0.17000000000000004</v>
      </c>
      <c r="BE25" s="579"/>
      <c r="BF25" s="579"/>
      <c r="BG25" s="579"/>
      <c r="BH25" s="579"/>
      <c r="BI25" s="579">
        <f t="shared" si="43"/>
        <v>0</v>
      </c>
      <c r="BJ25" s="769"/>
      <c r="BK25" s="769"/>
      <c r="BL25" s="587">
        <f t="shared" si="44"/>
        <v>0</v>
      </c>
      <c r="BM25" s="587">
        <f t="shared" si="45"/>
        <v>0</v>
      </c>
      <c r="BN25" s="587">
        <f t="shared" si="46"/>
        <v>0</v>
      </c>
      <c r="BO25" s="587">
        <f t="shared" si="47"/>
        <v>0</v>
      </c>
      <c r="BP25" s="587">
        <f t="shared" si="48"/>
        <v>8.222309999999998</v>
      </c>
      <c r="BQ25" s="769"/>
      <c r="BR25" s="579">
        <f t="shared" si="49"/>
        <v>0</v>
      </c>
      <c r="BS25" s="579">
        <f t="shared" si="50"/>
        <v>0</v>
      </c>
      <c r="BT25" s="579">
        <f t="shared" si="51"/>
        <v>0</v>
      </c>
      <c r="BU25" s="579">
        <f t="shared" si="52"/>
        <v>0</v>
      </c>
      <c r="BV25" s="579">
        <f t="shared" si="53"/>
        <v>-0.16769000000000212</v>
      </c>
      <c r="BW25" s="769"/>
      <c r="BX25" s="769"/>
      <c r="BY25" s="769"/>
      <c r="BZ25" s="769"/>
      <c r="CA25" s="769"/>
      <c r="CB25" s="769"/>
      <c r="CC25" s="769"/>
      <c r="CD25" s="769"/>
      <c r="CE25" s="769"/>
      <c r="CF25" s="769"/>
      <c r="CG25" s="769"/>
      <c r="CH25" s="769"/>
      <c r="CI25" s="769"/>
      <c r="CJ25" s="769"/>
      <c r="CK25" s="769"/>
      <c r="CL25" s="769"/>
      <c r="CM25" s="769"/>
      <c r="CN25" s="769"/>
      <c r="CO25" s="769"/>
      <c r="CP25" s="769"/>
      <c r="CQ25" s="769"/>
      <c r="CR25" s="769"/>
      <c r="CS25" s="769"/>
      <c r="CT25" s="769"/>
      <c r="CU25" s="769"/>
      <c r="CV25" s="769"/>
      <c r="CW25" s="769"/>
      <c r="CX25" s="769"/>
      <c r="CY25" s="769"/>
      <c r="CZ25" s="769"/>
      <c r="DA25" s="769"/>
      <c r="DB25" s="769"/>
      <c r="DC25" s="769"/>
      <c r="DD25" s="769"/>
      <c r="DE25" s="769"/>
      <c r="DF25" s="769"/>
      <c r="DG25" s="769"/>
      <c r="DH25" s="769"/>
      <c r="DI25" s="769"/>
      <c r="DJ25" s="769"/>
      <c r="DK25" s="769"/>
      <c r="DL25" s="769"/>
      <c r="DM25" s="769"/>
      <c r="DN25" s="769"/>
      <c r="DO25" s="769"/>
      <c r="DP25" s="769"/>
      <c r="DQ25" s="769"/>
      <c r="DR25" s="769"/>
    </row>
    <row r="26" spans="1:122" ht="12.75">
      <c r="A26" s="649"/>
      <c r="B26" s="541">
        <v>2</v>
      </c>
      <c r="C26" s="72" t="s">
        <v>120</v>
      </c>
      <c r="D26" s="541" t="s">
        <v>595</v>
      </c>
      <c r="E26" s="564">
        <v>1100</v>
      </c>
      <c r="F26" s="73"/>
      <c r="G26" s="73" t="str">
        <f t="shared" si="55"/>
        <v>042434L</v>
      </c>
      <c r="H26" s="46"/>
      <c r="I26" s="769" t="s">
        <v>453</v>
      </c>
      <c r="J26" s="769" t="s">
        <v>131</v>
      </c>
      <c r="K26" s="215" t="s">
        <v>978</v>
      </c>
      <c r="L26" s="582" t="s">
        <v>910</v>
      </c>
      <c r="M26" s="581">
        <f t="shared" si="58"/>
        <v>0</v>
      </c>
      <c r="N26" s="581">
        <f t="shared" si="58"/>
        <v>0</v>
      </c>
      <c r="O26" s="581">
        <f t="shared" si="58"/>
        <v>0</v>
      </c>
      <c r="P26" s="581">
        <f t="shared" si="58"/>
        <v>0</v>
      </c>
      <c r="Q26" s="581">
        <f t="shared" si="58"/>
        <v>30</v>
      </c>
      <c r="R26" s="581">
        <f t="shared" si="28"/>
        <v>0</v>
      </c>
      <c r="S26" s="620">
        <v>0</v>
      </c>
      <c r="T26" s="620">
        <v>0</v>
      </c>
      <c r="U26" s="620">
        <v>0</v>
      </c>
      <c r="V26" s="620">
        <v>0</v>
      </c>
      <c r="W26" s="620">
        <v>9.04634</v>
      </c>
      <c r="X26" s="769"/>
      <c r="Y26" s="70">
        <f t="shared" si="29"/>
        <v>0</v>
      </c>
      <c r="Z26" s="70">
        <f t="shared" si="30"/>
        <v>0</v>
      </c>
      <c r="AA26" s="70">
        <f t="shared" si="31"/>
        <v>0</v>
      </c>
      <c r="AB26" s="70">
        <f t="shared" si="32"/>
        <v>0</v>
      </c>
      <c r="AC26" s="70">
        <f>IF(AND(Q26&lt;&gt;0,W26=0),#VALUE!,Q26*W26)</f>
        <v>271.39020000000005</v>
      </c>
      <c r="AD26" s="769"/>
      <c r="AE26" s="581">
        <f t="shared" si="57"/>
        <v>0</v>
      </c>
      <c r="AF26" s="581">
        <f t="shared" si="57"/>
        <v>0</v>
      </c>
      <c r="AG26" s="581">
        <f t="shared" si="57"/>
        <v>0</v>
      </c>
      <c r="AH26" s="581">
        <f t="shared" si="57"/>
        <v>0</v>
      </c>
      <c r="AI26" s="581">
        <f t="shared" si="57"/>
        <v>30</v>
      </c>
      <c r="AJ26" s="769"/>
      <c r="AK26" s="586">
        <f t="shared" si="34"/>
        <v>0</v>
      </c>
      <c r="AL26" s="586"/>
      <c r="AM26" s="586">
        <f t="shared" si="35"/>
        <v>0</v>
      </c>
      <c r="AN26" s="586">
        <f t="shared" si="36"/>
        <v>0</v>
      </c>
      <c r="AO26" s="586">
        <f>ROUND(W26*(1+AO$1),2)</f>
        <v>9.05</v>
      </c>
      <c r="AP26" s="769"/>
      <c r="AQ26" s="70">
        <f t="shared" si="38"/>
        <v>0</v>
      </c>
      <c r="AR26" s="70">
        <f t="shared" si="39"/>
        <v>0</v>
      </c>
      <c r="AS26" s="70">
        <f t="shared" si="40"/>
        <v>0</v>
      </c>
      <c r="AT26" s="70">
        <f t="shared" si="41"/>
        <v>0</v>
      </c>
      <c r="AU26" s="70">
        <f>IF(AND(AI26&lt;&gt;0,AO26=0),#VALUE!,AI26*AO26)</f>
        <v>271.5</v>
      </c>
      <c r="AV26" s="769"/>
      <c r="AW26" s="593">
        <v>86</v>
      </c>
      <c r="AX26" s="583"/>
      <c r="AY26" s="583"/>
      <c r="AZ26" s="583"/>
      <c r="BA26" s="583"/>
      <c r="BB26" s="583">
        <v>9.38</v>
      </c>
      <c r="BC26" s="583"/>
      <c r="BD26" s="589">
        <f t="shared" si="42"/>
        <v>0.18999999999999995</v>
      </c>
      <c r="BE26" s="579"/>
      <c r="BF26" s="579"/>
      <c r="BG26" s="579"/>
      <c r="BH26" s="579"/>
      <c r="BI26" s="579">
        <f t="shared" si="43"/>
        <v>-0.01</v>
      </c>
      <c r="BJ26" s="769"/>
      <c r="BK26" s="769"/>
      <c r="BL26" s="587">
        <f t="shared" si="44"/>
        <v>0</v>
      </c>
      <c r="BM26" s="587">
        <f t="shared" si="45"/>
        <v>0</v>
      </c>
      <c r="BN26" s="587">
        <f t="shared" si="46"/>
        <v>0</v>
      </c>
      <c r="BO26" s="587">
        <f t="shared" si="47"/>
        <v>0</v>
      </c>
      <c r="BP26" s="587">
        <f t="shared" si="48"/>
        <v>9.186655</v>
      </c>
      <c r="BQ26" s="769"/>
      <c r="BR26" s="579">
        <f t="shared" si="49"/>
        <v>0</v>
      </c>
      <c r="BS26" s="579">
        <f t="shared" si="50"/>
        <v>0</v>
      </c>
      <c r="BT26" s="579">
        <f t="shared" si="51"/>
        <v>0</v>
      </c>
      <c r="BU26" s="579">
        <f t="shared" si="52"/>
        <v>0</v>
      </c>
      <c r="BV26" s="579">
        <f t="shared" si="53"/>
        <v>-0.19334500000000077</v>
      </c>
      <c r="BW26" s="769"/>
      <c r="BX26" s="769"/>
      <c r="BY26" s="769"/>
      <c r="BZ26" s="769"/>
      <c r="CA26" s="769"/>
      <c r="CB26" s="769"/>
      <c r="CC26" s="769"/>
      <c r="CD26" s="769"/>
      <c r="CE26" s="769"/>
      <c r="CF26" s="769"/>
      <c r="CG26" s="769"/>
      <c r="CH26" s="769"/>
      <c r="CI26" s="769"/>
      <c r="CJ26" s="769"/>
      <c r="CK26" s="769"/>
      <c r="CL26" s="769"/>
      <c r="CM26" s="769"/>
      <c r="CN26" s="769"/>
      <c r="CO26" s="769"/>
      <c r="CP26" s="769"/>
      <c r="CQ26" s="769"/>
      <c r="CR26" s="769"/>
      <c r="CS26" s="769"/>
      <c r="CT26" s="769"/>
      <c r="CU26" s="769"/>
      <c r="CV26" s="769"/>
      <c r="CW26" s="769"/>
      <c r="CX26" s="769"/>
      <c r="CY26" s="769"/>
      <c r="CZ26" s="769"/>
      <c r="DA26" s="769"/>
      <c r="DB26" s="769"/>
      <c r="DC26" s="769"/>
      <c r="DD26" s="769"/>
      <c r="DE26" s="769"/>
      <c r="DF26" s="769"/>
      <c r="DG26" s="769"/>
      <c r="DH26" s="769"/>
      <c r="DI26" s="769"/>
      <c r="DJ26" s="769"/>
      <c r="DK26" s="769"/>
      <c r="DL26" s="769"/>
      <c r="DM26" s="769"/>
      <c r="DN26" s="769"/>
      <c r="DO26" s="769"/>
      <c r="DP26" s="769"/>
      <c r="DQ26" s="769"/>
      <c r="DR26" s="769"/>
    </row>
    <row r="27" spans="2:122" ht="12.75">
      <c r="B27" s="35">
        <v>2</v>
      </c>
      <c r="C27" s="72" t="s">
        <v>120</v>
      </c>
      <c r="D27" s="35">
        <v>435</v>
      </c>
      <c r="E27" s="562">
        <f>238+557</f>
        <v>795</v>
      </c>
      <c r="F27" s="73"/>
      <c r="G27" s="73" t="str">
        <f t="shared" si="55"/>
        <v>042435</v>
      </c>
      <c r="H27" s="46"/>
      <c r="I27" t="s">
        <v>128</v>
      </c>
      <c r="J27" t="s">
        <v>110</v>
      </c>
      <c r="K27" s="59" t="s">
        <v>129</v>
      </c>
      <c r="L27" s="97">
        <v>234</v>
      </c>
      <c r="M27" s="69">
        <f t="shared" si="58"/>
        <v>0</v>
      </c>
      <c r="N27" s="69">
        <f t="shared" si="58"/>
        <v>96</v>
      </c>
      <c r="O27" s="69">
        <f t="shared" si="58"/>
        <v>0</v>
      </c>
      <c r="P27" s="69">
        <f t="shared" si="58"/>
        <v>0</v>
      </c>
      <c r="Q27" s="69">
        <f t="shared" si="58"/>
        <v>0</v>
      </c>
      <c r="R27" s="581">
        <f t="shared" si="1"/>
        <v>0</v>
      </c>
      <c r="S27" s="620">
        <v>0</v>
      </c>
      <c r="T27" s="620">
        <v>13.78</v>
      </c>
      <c r="U27" s="620">
        <v>0</v>
      </c>
      <c r="V27" s="620">
        <v>0</v>
      </c>
      <c r="W27" s="620">
        <v>0</v>
      </c>
      <c r="Y27" s="70">
        <f aca="true" t="shared" si="59" ref="Y27:Y98">IF(AND(M27&lt;&gt;0,S27=0),#VALUE!,M27*S27)</f>
        <v>0</v>
      </c>
      <c r="Z27" s="70">
        <f aca="true" t="shared" si="60" ref="Z27:Z100">IF(AND(N27&lt;&gt;0,T27=0),#VALUE!,N27*T27)</f>
        <v>1322.8799999999999</v>
      </c>
      <c r="AA27" s="70">
        <f aca="true" t="shared" si="61" ref="AA27:AA100">IF(AND(O27&lt;&gt;0,U27=0),#VALUE!,O27*U27)</f>
        <v>0</v>
      </c>
      <c r="AB27" s="70">
        <f aca="true" t="shared" si="62" ref="AB27:AB100">IF(AND(P27&lt;&gt;0,V27=0),#VALUE!,P27*V27)</f>
        <v>0</v>
      </c>
      <c r="AC27" s="70">
        <f aca="true" t="shared" si="63" ref="AC27:AC100">IF(AND(Q27&lt;&gt;0,W27=0),#VALUE!,Q27*W27)</f>
        <v>0</v>
      </c>
      <c r="AE27" s="69">
        <f aca="true" t="shared" si="64" ref="AE27:AE100">M27</f>
        <v>0</v>
      </c>
      <c r="AF27" s="69">
        <f aca="true" t="shared" si="65" ref="AF27:AI32">N27</f>
        <v>96</v>
      </c>
      <c r="AG27" s="69">
        <f t="shared" si="65"/>
        <v>0</v>
      </c>
      <c r="AH27" s="69">
        <f t="shared" si="65"/>
        <v>0</v>
      </c>
      <c r="AI27" s="69">
        <f t="shared" si="65"/>
        <v>0</v>
      </c>
      <c r="AK27" s="436">
        <f t="shared" si="2"/>
        <v>0</v>
      </c>
      <c r="AL27" s="436">
        <f t="shared" si="2"/>
        <v>13.78</v>
      </c>
      <c r="AM27" s="436">
        <f t="shared" si="3"/>
        <v>0</v>
      </c>
      <c r="AN27" s="436">
        <f t="shared" si="4"/>
        <v>0</v>
      </c>
      <c r="AO27" s="436">
        <f t="shared" si="5"/>
        <v>0</v>
      </c>
      <c r="AQ27" s="70">
        <f t="shared" si="6"/>
        <v>0</v>
      </c>
      <c r="AR27" s="70">
        <f t="shared" si="7"/>
        <v>1322.8799999999999</v>
      </c>
      <c r="AS27" s="70">
        <f t="shared" si="8"/>
        <v>0</v>
      </c>
      <c r="AT27" s="70">
        <f t="shared" si="9"/>
        <v>0</v>
      </c>
      <c r="AU27" s="70">
        <f t="shared" si="10"/>
        <v>0</v>
      </c>
      <c r="AV27" s="70">
        <f t="shared" si="11"/>
        <v>0</v>
      </c>
      <c r="AW27" s="448">
        <v>20</v>
      </c>
      <c r="AX27" s="583"/>
      <c r="AY27" s="583">
        <v>14.03</v>
      </c>
      <c r="AZ27" s="583"/>
      <c r="BA27" s="583"/>
      <c r="BB27" s="583"/>
      <c r="BC27" s="140"/>
      <c r="BD27" s="589">
        <f aca="true" t="shared" si="66" ref="BD27:BD80">ROUND(AW27*$BD$2,2)+ROUND(AW27*$BD$1,2)</f>
        <v>0.05000000000000002</v>
      </c>
      <c r="BE27" s="54"/>
      <c r="BF27" s="54">
        <f>ROUND((T27*$BE$2)+$BD27-AY27,2)</f>
        <v>0.01</v>
      </c>
      <c r="BG27" s="54"/>
      <c r="BH27" s="54"/>
      <c r="BI27" s="54"/>
      <c r="BL27" s="279">
        <f aca="true" t="shared" si="67" ref="BL27:BL54">AK27*$BL$1</f>
        <v>0</v>
      </c>
      <c r="BM27" s="279">
        <f aca="true" t="shared" si="68" ref="BM27:BM54">AL27*$BL$1</f>
        <v>13.988077999999998</v>
      </c>
      <c r="BN27" s="279">
        <f aca="true" t="shared" si="69" ref="BN27:BP30">AM27*$BL$1</f>
        <v>0</v>
      </c>
      <c r="BO27" s="279">
        <f t="shared" si="69"/>
        <v>0</v>
      </c>
      <c r="BP27" s="279">
        <f t="shared" si="69"/>
        <v>0</v>
      </c>
      <c r="BR27" s="54">
        <f aca="true" t="shared" si="70" ref="BR27:BR138">BL27-AX27</f>
        <v>0</v>
      </c>
      <c r="BS27" s="54">
        <f aca="true" t="shared" si="71" ref="BS27:BS138">BM27-AY27</f>
        <v>-0.04192200000000135</v>
      </c>
      <c r="BT27" s="54">
        <f aca="true" t="shared" si="72" ref="BT27:BT138">BN27-AZ27</f>
        <v>0</v>
      </c>
      <c r="BU27" s="54">
        <f aca="true" t="shared" si="73" ref="BU27:BU138">BO27-BA27</f>
        <v>0</v>
      </c>
      <c r="BV27" s="54">
        <f aca="true" t="shared" si="74" ref="BV27:BV138">BP27-BB27</f>
        <v>0</v>
      </c>
      <c r="DB27" s="769"/>
      <c r="DC27" s="769"/>
      <c r="DD27" s="769"/>
      <c r="DE27" s="769"/>
      <c r="DF27" s="769"/>
      <c r="DG27" s="769"/>
      <c r="DH27" s="769"/>
      <c r="DI27" s="769"/>
      <c r="DJ27" s="769"/>
      <c r="DK27" s="769"/>
      <c r="DL27" s="769"/>
      <c r="DM27" s="769"/>
      <c r="DN27" s="769"/>
      <c r="DO27" s="769"/>
      <c r="DP27" s="769"/>
      <c r="DQ27" s="769"/>
      <c r="DR27" s="769"/>
    </row>
    <row r="28" spans="1:74" ht="12.75">
      <c r="A28" s="649"/>
      <c r="B28" s="541">
        <v>2</v>
      </c>
      <c r="C28" s="72" t="s">
        <v>120</v>
      </c>
      <c r="D28" s="541" t="s">
        <v>596</v>
      </c>
      <c r="E28" s="564">
        <f>2575+5329</f>
        <v>7904</v>
      </c>
      <c r="F28" s="73"/>
      <c r="G28" s="73" t="str">
        <f t="shared" si="55"/>
        <v>042435L</v>
      </c>
      <c r="H28" s="46"/>
      <c r="I28" t="s">
        <v>130</v>
      </c>
      <c r="J28" t="s">
        <v>131</v>
      </c>
      <c r="K28" s="59" t="s">
        <v>132</v>
      </c>
      <c r="L28" s="97">
        <v>335</v>
      </c>
      <c r="M28" s="69">
        <f t="shared" si="58"/>
        <v>0</v>
      </c>
      <c r="N28" s="69">
        <f t="shared" si="58"/>
        <v>0</v>
      </c>
      <c r="O28" s="69">
        <f t="shared" si="58"/>
        <v>0</v>
      </c>
      <c r="P28" s="69">
        <f t="shared" si="58"/>
        <v>0</v>
      </c>
      <c r="Q28" s="69">
        <f t="shared" si="58"/>
        <v>8</v>
      </c>
      <c r="R28" s="581">
        <f t="shared" si="1"/>
        <v>0</v>
      </c>
      <c r="S28" s="620">
        <v>0</v>
      </c>
      <c r="T28" s="620">
        <v>0</v>
      </c>
      <c r="U28" s="620">
        <v>0</v>
      </c>
      <c r="V28" s="620">
        <v>0</v>
      </c>
      <c r="W28" s="620">
        <v>3.54</v>
      </c>
      <c r="Y28" s="70">
        <f t="shared" si="59"/>
        <v>0</v>
      </c>
      <c r="Z28" s="70">
        <f t="shared" si="60"/>
        <v>0</v>
      </c>
      <c r="AA28" s="70">
        <f t="shared" si="61"/>
        <v>0</v>
      </c>
      <c r="AB28" s="70">
        <f t="shared" si="62"/>
        <v>0</v>
      </c>
      <c r="AC28" s="70">
        <f t="shared" si="63"/>
        <v>28.32</v>
      </c>
      <c r="AE28" s="69">
        <f t="shared" si="64"/>
        <v>0</v>
      </c>
      <c r="AF28" s="69">
        <f t="shared" si="65"/>
        <v>0</v>
      </c>
      <c r="AG28" s="69">
        <f t="shared" si="65"/>
        <v>0</v>
      </c>
      <c r="AH28" s="69">
        <f t="shared" si="65"/>
        <v>0</v>
      </c>
      <c r="AI28" s="69">
        <f t="shared" si="65"/>
        <v>8</v>
      </c>
      <c r="AK28" s="436">
        <f t="shared" si="2"/>
        <v>0</v>
      </c>
      <c r="AL28" s="436">
        <f t="shared" si="2"/>
        <v>0</v>
      </c>
      <c r="AM28" s="436">
        <f t="shared" si="3"/>
        <v>0</v>
      </c>
      <c r="AN28" s="436">
        <f t="shared" si="4"/>
        <v>0</v>
      </c>
      <c r="AO28" s="436">
        <f t="shared" si="5"/>
        <v>3.54</v>
      </c>
      <c r="AQ28" s="70">
        <f t="shared" si="6"/>
        <v>0</v>
      </c>
      <c r="AR28" s="70">
        <f t="shared" si="7"/>
        <v>0</v>
      </c>
      <c r="AS28" s="70">
        <f t="shared" si="8"/>
        <v>0</v>
      </c>
      <c r="AT28" s="70">
        <f t="shared" si="9"/>
        <v>0</v>
      </c>
      <c r="AU28" s="70">
        <f t="shared" si="10"/>
        <v>28.32</v>
      </c>
      <c r="AV28" s="70">
        <f t="shared" si="11"/>
        <v>0</v>
      </c>
      <c r="AW28" s="448">
        <v>25</v>
      </c>
      <c r="AX28" s="583"/>
      <c r="AY28" s="583"/>
      <c r="AZ28" s="583"/>
      <c r="BA28" s="583"/>
      <c r="BB28" s="583">
        <v>3.65</v>
      </c>
      <c r="BC28" s="140"/>
      <c r="BD28" s="589">
        <f t="shared" si="66"/>
        <v>0.06</v>
      </c>
      <c r="BE28" s="54"/>
      <c r="BF28" s="54"/>
      <c r="BG28" s="54"/>
      <c r="BH28" s="54"/>
      <c r="BI28" s="54">
        <f>ROUND((W28*$BE$2)+$BD28-BB28,2)</f>
        <v>0</v>
      </c>
      <c r="BL28" s="279">
        <f t="shared" si="67"/>
        <v>0</v>
      </c>
      <c r="BM28" s="279">
        <f t="shared" si="68"/>
        <v>0</v>
      </c>
      <c r="BN28" s="279">
        <f t="shared" si="69"/>
        <v>0</v>
      </c>
      <c r="BO28" s="279">
        <f t="shared" si="69"/>
        <v>0</v>
      </c>
      <c r="BP28" s="279">
        <f t="shared" si="69"/>
        <v>3.5934539999999995</v>
      </c>
      <c r="BR28" s="54">
        <f t="shared" si="70"/>
        <v>0</v>
      </c>
      <c r="BS28" s="54">
        <f t="shared" si="71"/>
        <v>0</v>
      </c>
      <c r="BT28" s="54">
        <f t="shared" si="72"/>
        <v>0</v>
      </c>
      <c r="BU28" s="54">
        <f t="shared" si="73"/>
        <v>0</v>
      </c>
      <c r="BV28" s="54">
        <f t="shared" si="74"/>
        <v>-0.05654600000000043</v>
      </c>
    </row>
    <row r="29" spans="1:74" ht="12.75">
      <c r="A29" s="613"/>
      <c r="B29" s="541">
        <v>2</v>
      </c>
      <c r="C29" s="72" t="s">
        <v>120</v>
      </c>
      <c r="D29" s="541" t="s">
        <v>708</v>
      </c>
      <c r="E29" s="564">
        <f>1854+1849</f>
        <v>3703</v>
      </c>
      <c r="F29" s="73"/>
      <c r="G29" s="73" t="str">
        <f t="shared" si="55"/>
        <v>042435T</v>
      </c>
      <c r="H29" s="46"/>
      <c r="I29" t="s">
        <v>124</v>
      </c>
      <c r="J29" t="s">
        <v>108</v>
      </c>
      <c r="K29" s="59">
        <v>7000</v>
      </c>
      <c r="L29" s="97">
        <v>411</v>
      </c>
      <c r="M29" s="69">
        <f t="shared" si="58"/>
        <v>1</v>
      </c>
      <c r="N29" s="69">
        <f t="shared" si="58"/>
        <v>0</v>
      </c>
      <c r="O29" s="69">
        <f t="shared" si="58"/>
        <v>0</v>
      </c>
      <c r="P29" s="69">
        <f t="shared" si="58"/>
        <v>0</v>
      </c>
      <c r="Q29" s="69">
        <f t="shared" si="58"/>
        <v>0</v>
      </c>
      <c r="R29" s="581">
        <f t="shared" si="1"/>
        <v>0</v>
      </c>
      <c r="S29" s="620">
        <v>15.91</v>
      </c>
      <c r="T29" s="620">
        <v>0</v>
      </c>
      <c r="U29" s="620">
        <v>0</v>
      </c>
      <c r="V29" s="620">
        <v>0</v>
      </c>
      <c r="W29" s="620">
        <v>0</v>
      </c>
      <c r="Y29" s="70">
        <f t="shared" si="59"/>
        <v>15.91</v>
      </c>
      <c r="Z29" s="70">
        <f t="shared" si="60"/>
        <v>0</v>
      </c>
      <c r="AA29" s="70">
        <f t="shared" si="61"/>
        <v>0</v>
      </c>
      <c r="AB29" s="70">
        <f t="shared" si="62"/>
        <v>0</v>
      </c>
      <c r="AC29" s="70">
        <f t="shared" si="63"/>
        <v>0</v>
      </c>
      <c r="AE29" s="69">
        <f t="shared" si="64"/>
        <v>1</v>
      </c>
      <c r="AF29" s="69">
        <f t="shared" si="65"/>
        <v>0</v>
      </c>
      <c r="AG29" s="69">
        <f t="shared" si="65"/>
        <v>0</v>
      </c>
      <c r="AH29" s="69">
        <f t="shared" si="65"/>
        <v>0</v>
      </c>
      <c r="AI29" s="69">
        <f t="shared" si="65"/>
        <v>0</v>
      </c>
      <c r="AK29" s="436">
        <f t="shared" si="2"/>
        <v>15.91</v>
      </c>
      <c r="AL29" s="436">
        <f t="shared" si="2"/>
        <v>0</v>
      </c>
      <c r="AM29" s="436">
        <f t="shared" si="3"/>
        <v>0</v>
      </c>
      <c r="AN29" s="436">
        <f t="shared" si="4"/>
        <v>0</v>
      </c>
      <c r="AO29" s="436">
        <f t="shared" si="5"/>
        <v>0</v>
      </c>
      <c r="AQ29" s="70">
        <f t="shared" si="6"/>
        <v>15.91</v>
      </c>
      <c r="AR29" s="70">
        <f t="shared" si="7"/>
        <v>0</v>
      </c>
      <c r="AS29" s="70">
        <f t="shared" si="8"/>
        <v>0</v>
      </c>
      <c r="AT29" s="70">
        <f t="shared" si="9"/>
        <v>0</v>
      </c>
      <c r="AU29" s="70">
        <f t="shared" si="10"/>
        <v>0</v>
      </c>
      <c r="AV29" s="70">
        <f t="shared" si="11"/>
        <v>0</v>
      </c>
      <c r="AW29" s="448">
        <v>80</v>
      </c>
      <c r="AX29" s="583">
        <v>16.33</v>
      </c>
      <c r="AY29" s="583"/>
      <c r="AZ29" s="583"/>
      <c r="BA29" s="583"/>
      <c r="BB29" s="583"/>
      <c r="BC29" s="140"/>
      <c r="BD29" s="589">
        <f t="shared" si="66"/>
        <v>0.18000000000000016</v>
      </c>
      <c r="BE29" s="54">
        <f>ROUND((S29*$BE$2)+$BD29-AX29,2)</f>
        <v>0</v>
      </c>
      <c r="BF29" s="54"/>
      <c r="BG29" s="54"/>
      <c r="BH29" s="54"/>
      <c r="BI29" s="54"/>
      <c r="BL29" s="279">
        <f t="shared" si="67"/>
        <v>16.150240999999998</v>
      </c>
      <c r="BM29" s="279">
        <f t="shared" si="68"/>
        <v>0</v>
      </c>
      <c r="BN29" s="279">
        <f t="shared" si="69"/>
        <v>0</v>
      </c>
      <c r="BO29" s="279">
        <f t="shared" si="69"/>
        <v>0</v>
      </c>
      <c r="BP29" s="279">
        <f t="shared" si="69"/>
        <v>0</v>
      </c>
      <c r="BR29" s="54">
        <f t="shared" si="70"/>
        <v>-0.17975900000000067</v>
      </c>
      <c r="BS29" s="54">
        <f t="shared" si="71"/>
        <v>0</v>
      </c>
      <c r="BT29" s="54">
        <f t="shared" si="72"/>
        <v>0</v>
      </c>
      <c r="BU29" s="54">
        <f t="shared" si="73"/>
        <v>0</v>
      </c>
      <c r="BV29" s="54">
        <f t="shared" si="74"/>
        <v>0</v>
      </c>
    </row>
    <row r="30" spans="2:74" ht="12.75">
      <c r="B30" s="35">
        <v>2</v>
      </c>
      <c r="C30" s="72" t="s">
        <v>120</v>
      </c>
      <c r="D30" s="35">
        <v>436</v>
      </c>
      <c r="E30" s="562">
        <v>22</v>
      </c>
      <c r="F30" s="73"/>
      <c r="G30" s="73" t="str">
        <f t="shared" si="55"/>
        <v>042436</v>
      </c>
      <c r="H30" s="46"/>
      <c r="I30" t="s">
        <v>133</v>
      </c>
      <c r="J30" t="s">
        <v>131</v>
      </c>
      <c r="K30" s="59">
        <v>7000</v>
      </c>
      <c r="L30" s="97">
        <v>415</v>
      </c>
      <c r="M30" s="69">
        <f t="shared" si="58"/>
        <v>0</v>
      </c>
      <c r="N30" s="69">
        <f t="shared" si="58"/>
        <v>0</v>
      </c>
      <c r="O30" s="69">
        <f t="shared" si="58"/>
        <v>0</v>
      </c>
      <c r="P30" s="69">
        <f t="shared" si="58"/>
        <v>61</v>
      </c>
      <c r="Q30" s="69">
        <f t="shared" si="58"/>
        <v>0</v>
      </c>
      <c r="R30" s="581">
        <f t="shared" si="1"/>
        <v>0</v>
      </c>
      <c r="S30" s="620">
        <v>0</v>
      </c>
      <c r="T30" s="620">
        <v>0</v>
      </c>
      <c r="U30" s="620">
        <v>0</v>
      </c>
      <c r="V30" s="620">
        <v>6.98</v>
      </c>
      <c r="W30" s="620">
        <v>0</v>
      </c>
      <c r="Y30" s="70">
        <f t="shared" si="59"/>
        <v>0</v>
      </c>
      <c r="Z30" s="70">
        <f t="shared" si="60"/>
        <v>0</v>
      </c>
      <c r="AA30" s="70">
        <f t="shared" si="61"/>
        <v>0</v>
      </c>
      <c r="AB30" s="70">
        <f t="shared" si="62"/>
        <v>425.78000000000003</v>
      </c>
      <c r="AC30" s="70">
        <f t="shared" si="63"/>
        <v>0</v>
      </c>
      <c r="AE30" s="69">
        <f t="shared" si="64"/>
        <v>0</v>
      </c>
      <c r="AF30" s="69">
        <f t="shared" si="65"/>
        <v>0</v>
      </c>
      <c r="AG30" s="69">
        <f t="shared" si="65"/>
        <v>0</v>
      </c>
      <c r="AH30" s="69">
        <f t="shared" si="65"/>
        <v>61</v>
      </c>
      <c r="AI30" s="69">
        <f t="shared" si="65"/>
        <v>0</v>
      </c>
      <c r="AK30" s="436">
        <f t="shared" si="2"/>
        <v>0</v>
      </c>
      <c r="AL30" s="436">
        <f t="shared" si="2"/>
        <v>0</v>
      </c>
      <c r="AM30" s="436">
        <f t="shared" si="3"/>
        <v>0</v>
      </c>
      <c r="AN30" s="436">
        <f t="shared" si="4"/>
        <v>6.98</v>
      </c>
      <c r="AO30" s="436">
        <f t="shared" si="5"/>
        <v>0</v>
      </c>
      <c r="AQ30" s="70">
        <f t="shared" si="6"/>
        <v>0</v>
      </c>
      <c r="AR30" s="70">
        <f t="shared" si="7"/>
        <v>0</v>
      </c>
      <c r="AS30" s="70">
        <f t="shared" si="8"/>
        <v>0</v>
      </c>
      <c r="AT30" s="70">
        <f t="shared" si="9"/>
        <v>425.78000000000003</v>
      </c>
      <c r="AU30" s="70">
        <f t="shared" si="10"/>
        <v>0</v>
      </c>
      <c r="AV30" s="70">
        <f t="shared" si="11"/>
        <v>0</v>
      </c>
      <c r="AW30" s="448">
        <v>80</v>
      </c>
      <c r="AX30" s="583"/>
      <c r="AY30" s="583"/>
      <c r="AZ30" s="583"/>
      <c r="BA30" s="583">
        <v>7.27</v>
      </c>
      <c r="BB30" s="583"/>
      <c r="BC30" s="140"/>
      <c r="BD30" s="589">
        <f t="shared" si="66"/>
        <v>0.18000000000000016</v>
      </c>
      <c r="BE30" s="54"/>
      <c r="BF30" s="54"/>
      <c r="BG30" s="54"/>
      <c r="BH30" s="54">
        <f>ROUND((V30*$BE$2)+$BD30-BA30,2)</f>
        <v>0</v>
      </c>
      <c r="BI30" s="54"/>
      <c r="BL30" s="279">
        <f t="shared" si="67"/>
        <v>0</v>
      </c>
      <c r="BM30" s="279">
        <f t="shared" si="68"/>
        <v>0</v>
      </c>
      <c r="BN30" s="279">
        <f t="shared" si="69"/>
        <v>0</v>
      </c>
      <c r="BO30" s="279">
        <f t="shared" si="69"/>
        <v>7.085398</v>
      </c>
      <c r="BP30" s="279">
        <f t="shared" si="69"/>
        <v>0</v>
      </c>
      <c r="BR30" s="54">
        <f t="shared" si="70"/>
        <v>0</v>
      </c>
      <c r="BS30" s="54">
        <f t="shared" si="71"/>
        <v>0</v>
      </c>
      <c r="BT30" s="54">
        <f t="shared" si="72"/>
        <v>0</v>
      </c>
      <c r="BU30" s="54">
        <f t="shared" si="73"/>
        <v>-0.18460199999999993</v>
      </c>
      <c r="BV30" s="54">
        <f t="shared" si="74"/>
        <v>0</v>
      </c>
    </row>
    <row r="31" spans="1:74" ht="12.75">
      <c r="A31" s="649"/>
      <c r="B31" s="541">
        <v>2</v>
      </c>
      <c r="C31" s="72" t="s">
        <v>120</v>
      </c>
      <c r="D31" s="541" t="s">
        <v>597</v>
      </c>
      <c r="E31" s="564">
        <v>80</v>
      </c>
      <c r="F31" s="73"/>
      <c r="G31" s="73" t="str">
        <f t="shared" si="55"/>
        <v>042436L</v>
      </c>
      <c r="H31" s="46"/>
      <c r="I31" t="s">
        <v>133</v>
      </c>
      <c r="J31" t="s">
        <v>146</v>
      </c>
      <c r="K31" s="59">
        <v>7000</v>
      </c>
      <c r="L31" s="97">
        <v>419</v>
      </c>
      <c r="M31" s="69">
        <f t="shared" si="58"/>
        <v>0</v>
      </c>
      <c r="N31" s="69">
        <f t="shared" si="58"/>
        <v>0</v>
      </c>
      <c r="O31" s="69">
        <f t="shared" si="58"/>
        <v>0</v>
      </c>
      <c r="P31" s="69">
        <f t="shared" si="58"/>
        <v>16</v>
      </c>
      <c r="Q31" s="69">
        <f t="shared" si="58"/>
        <v>0</v>
      </c>
      <c r="R31" s="581">
        <f t="shared" si="1"/>
        <v>0</v>
      </c>
      <c r="S31" s="620">
        <v>0</v>
      </c>
      <c r="T31" s="620">
        <v>0</v>
      </c>
      <c r="U31" s="620">
        <v>0</v>
      </c>
      <c r="V31" s="620">
        <v>4.73</v>
      </c>
      <c r="W31" s="620">
        <v>0</v>
      </c>
      <c r="Y31" s="70">
        <f t="shared" si="59"/>
        <v>0</v>
      </c>
      <c r="Z31" s="70">
        <f t="shared" si="60"/>
        <v>0</v>
      </c>
      <c r="AA31" s="70">
        <f t="shared" si="61"/>
        <v>0</v>
      </c>
      <c r="AB31" s="70">
        <f t="shared" si="62"/>
        <v>75.68</v>
      </c>
      <c r="AC31" s="70">
        <f t="shared" si="63"/>
        <v>0</v>
      </c>
      <c r="AE31" s="69">
        <f>M31</f>
        <v>0</v>
      </c>
      <c r="AF31" s="69">
        <f t="shared" si="65"/>
        <v>0</v>
      </c>
      <c r="AG31" s="69">
        <f t="shared" si="65"/>
        <v>0</v>
      </c>
      <c r="AH31" s="69">
        <f t="shared" si="65"/>
        <v>16</v>
      </c>
      <c r="AI31" s="69">
        <f t="shared" si="65"/>
        <v>0</v>
      </c>
      <c r="AK31" s="436">
        <f t="shared" si="2"/>
        <v>0</v>
      </c>
      <c r="AL31" s="436">
        <f t="shared" si="2"/>
        <v>0</v>
      </c>
      <c r="AM31" s="436">
        <f t="shared" si="3"/>
        <v>0</v>
      </c>
      <c r="AN31" s="436">
        <f t="shared" si="4"/>
        <v>4.73</v>
      </c>
      <c r="AO31" s="436">
        <f t="shared" si="5"/>
        <v>0</v>
      </c>
      <c r="AQ31" s="70">
        <f t="shared" si="6"/>
        <v>0</v>
      </c>
      <c r="AR31" s="70">
        <f t="shared" si="7"/>
        <v>0</v>
      </c>
      <c r="AS31" s="70">
        <f t="shared" si="8"/>
        <v>0</v>
      </c>
      <c r="AT31" s="70">
        <f t="shared" si="9"/>
        <v>75.68</v>
      </c>
      <c r="AU31" s="70">
        <f t="shared" si="10"/>
        <v>0</v>
      </c>
      <c r="AV31" s="70">
        <f t="shared" si="11"/>
        <v>0</v>
      </c>
      <c r="AW31" s="448">
        <v>80</v>
      </c>
      <c r="AX31" s="583"/>
      <c r="AY31" s="583"/>
      <c r="AZ31" s="583"/>
      <c r="BA31" s="583">
        <v>4.98</v>
      </c>
      <c r="BB31" s="583"/>
      <c r="BC31" s="140"/>
      <c r="BD31" s="589">
        <f t="shared" si="66"/>
        <v>0.18000000000000016</v>
      </c>
      <c r="BE31" s="54"/>
      <c r="BF31" s="54"/>
      <c r="BG31" s="54"/>
      <c r="BH31" s="54">
        <f>ROUND((V31*$BE$2)+$BD31-BA31,2)</f>
        <v>0</v>
      </c>
      <c r="BI31" s="54"/>
      <c r="BL31" s="279">
        <f t="shared" si="67"/>
        <v>0</v>
      </c>
      <c r="BM31" s="279">
        <f t="shared" si="68"/>
        <v>0</v>
      </c>
      <c r="BN31" s="279">
        <f aca="true" t="shared" si="75" ref="BN31:BN142">AM31*$BL$1</f>
        <v>0</v>
      </c>
      <c r="BO31" s="279">
        <f aca="true" t="shared" si="76" ref="BO31:BO142">AN31*$BL$1</f>
        <v>4.801423</v>
      </c>
      <c r="BP31" s="279">
        <f aca="true" t="shared" si="77" ref="BP31:BP142">AO31*$BL$1</f>
        <v>0</v>
      </c>
      <c r="BR31" s="54">
        <f t="shared" si="70"/>
        <v>0</v>
      </c>
      <c r="BS31" s="54">
        <f t="shared" si="71"/>
        <v>0</v>
      </c>
      <c r="BT31" s="54">
        <f t="shared" si="72"/>
        <v>0</v>
      </c>
      <c r="BU31" s="54">
        <f t="shared" si="73"/>
        <v>-0.17857700000000065</v>
      </c>
      <c r="BV31" s="54">
        <f t="shared" si="74"/>
        <v>0</v>
      </c>
    </row>
    <row r="32" spans="1:74" ht="12.75">
      <c r="A32" s="648"/>
      <c r="B32" s="541">
        <v>2</v>
      </c>
      <c r="C32" s="72" t="s">
        <v>120</v>
      </c>
      <c r="D32" s="541" t="s">
        <v>709</v>
      </c>
      <c r="E32" s="564">
        <v>271</v>
      </c>
      <c r="F32" s="73"/>
      <c r="G32" s="73" t="str">
        <f t="shared" si="55"/>
        <v>042436T</v>
      </c>
      <c r="H32" s="46"/>
      <c r="I32" t="s">
        <v>128</v>
      </c>
      <c r="J32" t="s">
        <v>848</v>
      </c>
      <c r="K32" s="59" t="s">
        <v>134</v>
      </c>
      <c r="L32" s="97">
        <v>421</v>
      </c>
      <c r="M32" s="69">
        <f t="shared" si="58"/>
        <v>0</v>
      </c>
      <c r="N32" s="69">
        <f t="shared" si="58"/>
        <v>2</v>
      </c>
      <c r="O32" s="69">
        <f t="shared" si="58"/>
        <v>0</v>
      </c>
      <c r="P32" s="69">
        <f t="shared" si="58"/>
        <v>0</v>
      </c>
      <c r="Q32" s="69">
        <f t="shared" si="58"/>
        <v>0</v>
      </c>
      <c r="R32" s="581">
        <f t="shared" si="1"/>
        <v>0</v>
      </c>
      <c r="S32" s="620">
        <v>0</v>
      </c>
      <c r="T32" s="620">
        <v>24.26</v>
      </c>
      <c r="U32" s="620">
        <v>0</v>
      </c>
      <c r="V32" s="620">
        <v>0</v>
      </c>
      <c r="W32" s="620">
        <v>0</v>
      </c>
      <c r="Y32" s="70">
        <f t="shared" si="59"/>
        <v>0</v>
      </c>
      <c r="Z32" s="70">
        <f t="shared" si="60"/>
        <v>48.52</v>
      </c>
      <c r="AA32" s="70">
        <f t="shared" si="61"/>
        <v>0</v>
      </c>
      <c r="AB32" s="70">
        <f t="shared" si="62"/>
        <v>0</v>
      </c>
      <c r="AC32" s="70">
        <f t="shared" si="63"/>
        <v>0</v>
      </c>
      <c r="AE32" s="69">
        <f t="shared" si="64"/>
        <v>0</v>
      </c>
      <c r="AF32" s="69">
        <f t="shared" si="65"/>
        <v>2</v>
      </c>
      <c r="AG32" s="69">
        <f t="shared" si="65"/>
        <v>0</v>
      </c>
      <c r="AH32" s="69">
        <f t="shared" si="65"/>
        <v>0</v>
      </c>
      <c r="AI32" s="69">
        <f t="shared" si="65"/>
        <v>0</v>
      </c>
      <c r="AK32" s="436">
        <f t="shared" si="2"/>
        <v>0</v>
      </c>
      <c r="AL32" s="436">
        <f t="shared" si="2"/>
        <v>24.26</v>
      </c>
      <c r="AM32" s="436">
        <f t="shared" si="3"/>
        <v>0</v>
      </c>
      <c r="AN32" s="436">
        <f t="shared" si="4"/>
        <v>0</v>
      </c>
      <c r="AO32" s="436">
        <f t="shared" si="5"/>
        <v>0</v>
      </c>
      <c r="AQ32" s="70">
        <f t="shared" si="6"/>
        <v>0</v>
      </c>
      <c r="AR32" s="70">
        <f t="shared" si="7"/>
        <v>48.52</v>
      </c>
      <c r="AS32" s="70">
        <f t="shared" si="8"/>
        <v>0</v>
      </c>
      <c r="AT32" s="70">
        <f t="shared" si="9"/>
        <v>0</v>
      </c>
      <c r="AU32" s="70">
        <f t="shared" si="10"/>
        <v>0</v>
      </c>
      <c r="AV32" s="70">
        <f t="shared" si="11"/>
        <v>0</v>
      </c>
      <c r="AW32" s="448">
        <v>40</v>
      </c>
      <c r="AX32" s="583"/>
      <c r="AY32" s="583">
        <v>24.71</v>
      </c>
      <c r="AZ32" s="583"/>
      <c r="BA32" s="583"/>
      <c r="BB32" s="583"/>
      <c r="BC32" s="140"/>
      <c r="BD32" s="589">
        <f t="shared" si="66"/>
        <v>0.09000000000000008</v>
      </c>
      <c r="BE32" s="54"/>
      <c r="BF32" s="54">
        <f aca="true" t="shared" si="78" ref="BF32:BF56">ROUND((T32*$BE$2)+$BD32-AY32,2)</f>
        <v>0.01</v>
      </c>
      <c r="BG32" s="54"/>
      <c r="BH32" s="54"/>
      <c r="BI32" s="54"/>
      <c r="BL32" s="279">
        <f t="shared" si="67"/>
        <v>0</v>
      </c>
      <c r="BM32" s="279">
        <f t="shared" si="68"/>
        <v>24.626326</v>
      </c>
      <c r="BN32" s="279">
        <f t="shared" si="75"/>
        <v>0</v>
      </c>
      <c r="BO32" s="279">
        <f t="shared" si="76"/>
        <v>0</v>
      </c>
      <c r="BP32" s="279">
        <f t="shared" si="77"/>
        <v>0</v>
      </c>
      <c r="BR32" s="54">
        <f t="shared" si="70"/>
        <v>0</v>
      </c>
      <c r="BS32" s="54">
        <f t="shared" si="71"/>
        <v>-0.08367400000000202</v>
      </c>
      <c r="BT32" s="54">
        <f t="shared" si="72"/>
        <v>0</v>
      </c>
      <c r="BU32" s="54">
        <f t="shared" si="73"/>
        <v>0</v>
      </c>
      <c r="BV32" s="54">
        <f t="shared" si="74"/>
        <v>0</v>
      </c>
    </row>
    <row r="33" spans="2:79" ht="12.75">
      <c r="B33" s="35">
        <v>2</v>
      </c>
      <c r="C33" s="72" t="s">
        <v>120</v>
      </c>
      <c r="D33" s="35">
        <v>438</v>
      </c>
      <c r="E33" s="562">
        <v>10</v>
      </c>
      <c r="F33" s="73"/>
      <c r="G33" s="73" t="str">
        <f t="shared" si="55"/>
        <v>042438</v>
      </c>
      <c r="H33" s="46"/>
      <c r="I33" s="435" t="s">
        <v>713</v>
      </c>
      <c r="J33" s="694" t="s">
        <v>848</v>
      </c>
      <c r="K33" s="580" t="s">
        <v>132</v>
      </c>
      <c r="L33" s="582" t="s">
        <v>591</v>
      </c>
      <c r="M33" s="69">
        <f t="shared" si="58"/>
        <v>0</v>
      </c>
      <c r="N33" s="69">
        <f t="shared" si="58"/>
        <v>1</v>
      </c>
      <c r="O33" s="69">
        <f t="shared" si="58"/>
        <v>0</v>
      </c>
      <c r="P33" s="69">
        <f t="shared" si="58"/>
        <v>0</v>
      </c>
      <c r="Q33" s="69">
        <f t="shared" si="58"/>
        <v>0</v>
      </c>
      <c r="R33" s="581">
        <f t="shared" si="1"/>
        <v>0</v>
      </c>
      <c r="S33" s="620">
        <v>0</v>
      </c>
      <c r="T33" s="650">
        <f>T32</f>
        <v>24.26</v>
      </c>
      <c r="U33" s="620"/>
      <c r="V33" s="620"/>
      <c r="W33" s="620"/>
      <c r="Y33" s="70">
        <f>IF(AND(M33&lt;&gt;0,S33=0),#VALUE!,M33*S33)</f>
        <v>0</v>
      </c>
      <c r="Z33" s="70">
        <f>IF(AND(N33&lt;&gt;0,T33=0),#VALUE!,N33*T33)</f>
        <v>24.26</v>
      </c>
      <c r="AA33" s="70">
        <f>IF(AND(O33&lt;&gt;0,U33=0),#VALUE!,O33*U33)</f>
        <v>0</v>
      </c>
      <c r="AB33" s="70">
        <f>IF(AND(P33&lt;&gt;0,V33=0),#VALUE!,P33*V33)</f>
        <v>0</v>
      </c>
      <c r="AC33" s="70">
        <f>IF(AND(Q33&lt;&gt;0,W33=0),#VALUE!,Q33*W33)</f>
        <v>0</v>
      </c>
      <c r="AE33" s="69">
        <f>SUMIF($G:$G,TEXT(AE$3,"000")&amp;TEXT($L33,"000"),$E:$E)</f>
        <v>0</v>
      </c>
      <c r="AF33" s="69">
        <f>SUMIF($G:$G,TEXT(AF$3,"000")&amp;TEXT($L33,"000"),$E:$E)</f>
        <v>1</v>
      </c>
      <c r="AG33" s="69">
        <f>SUMIF($G:$G,TEXT(AG$3,"000")&amp;TEXT($L33,"000"),$E:$E)</f>
        <v>0</v>
      </c>
      <c r="AH33" s="69">
        <f>SUMIF($G:$G,TEXT(AH$3,"000")&amp;TEXT($L33,"000"),$E:$E)</f>
        <v>0</v>
      </c>
      <c r="AI33" s="69">
        <f>SUMIF($G:$G,TEXT(AI$3,"000")&amp;TEXT($L33,"000"),$E:$E)</f>
        <v>0</v>
      </c>
      <c r="AK33" s="436">
        <f aca="true" t="shared" si="79" ref="AK33:AL54">ROUND(S33*(1+AK$1),2)</f>
        <v>0</v>
      </c>
      <c r="AL33" s="436">
        <f>AL32</f>
        <v>24.26</v>
      </c>
      <c r="AM33" s="436">
        <f t="shared" si="3"/>
        <v>0</v>
      </c>
      <c r="AN33" s="436">
        <f t="shared" si="4"/>
        <v>0</v>
      </c>
      <c r="AO33" s="436">
        <f t="shared" si="5"/>
        <v>0</v>
      </c>
      <c r="AQ33" s="70">
        <f t="shared" si="6"/>
        <v>0</v>
      </c>
      <c r="AR33" s="70">
        <f t="shared" si="7"/>
        <v>24.26</v>
      </c>
      <c r="AS33" s="70">
        <f t="shared" si="8"/>
        <v>0</v>
      </c>
      <c r="AT33" s="70">
        <f t="shared" si="9"/>
        <v>0</v>
      </c>
      <c r="AU33" s="70">
        <f t="shared" si="10"/>
        <v>0</v>
      </c>
      <c r="AW33" s="448">
        <v>26</v>
      </c>
      <c r="AX33" s="583"/>
      <c r="AY33" s="583">
        <v>24.68</v>
      </c>
      <c r="AZ33" s="583"/>
      <c r="BA33" s="583"/>
      <c r="BB33" s="583"/>
      <c r="BC33" s="140"/>
      <c r="BD33" s="589">
        <f>ROUND(AW33*$BD$2,2)+ROUND(AW33*$BD$1,2)</f>
        <v>0.06</v>
      </c>
      <c r="BE33" s="54"/>
      <c r="BF33" s="579">
        <f t="shared" si="78"/>
        <v>0.01</v>
      </c>
      <c r="BG33" s="54"/>
      <c r="BH33" s="54"/>
      <c r="BI33" s="54"/>
      <c r="BL33" s="279">
        <f t="shared" si="67"/>
        <v>0</v>
      </c>
      <c r="BM33" s="279">
        <f t="shared" si="68"/>
        <v>24.626326</v>
      </c>
      <c r="BN33" s="279">
        <f>AM33*$BL$1</f>
        <v>0</v>
      </c>
      <c r="BO33" s="279">
        <f>AN33*$BL$1</f>
        <v>0</v>
      </c>
      <c r="BP33" s="279">
        <f>AO33*$BL$1</f>
        <v>0</v>
      </c>
      <c r="BR33" s="54">
        <f>BL33-AX33</f>
        <v>0</v>
      </c>
      <c r="BS33" s="54">
        <f>BM33-AY33</f>
        <v>-0.05367400000000089</v>
      </c>
      <c r="BT33" s="54">
        <f>BN33-AZ33</f>
        <v>0</v>
      </c>
      <c r="BU33" s="54">
        <f>BO33-BA33</f>
        <v>0</v>
      </c>
      <c r="BV33" s="54">
        <f>BP33-BB33</f>
        <v>0</v>
      </c>
      <c r="BW33" s="578"/>
      <c r="BX33" s="578"/>
      <c r="BY33" s="578"/>
      <c r="BZ33" s="578"/>
      <c r="CA33" s="578"/>
    </row>
    <row r="34" spans="1:74" ht="12.75">
      <c r="A34" s="613"/>
      <c r="B34" s="541">
        <v>2</v>
      </c>
      <c r="C34" s="72" t="s">
        <v>120</v>
      </c>
      <c r="D34" s="541" t="s">
        <v>599</v>
      </c>
      <c r="E34" s="564">
        <v>14</v>
      </c>
      <c r="F34" s="73"/>
      <c r="G34" s="73" t="str">
        <f t="shared" si="55"/>
        <v>042441L</v>
      </c>
      <c r="H34" s="46"/>
      <c r="I34" t="s">
        <v>128</v>
      </c>
      <c r="J34" s="694" t="s">
        <v>848</v>
      </c>
      <c r="K34" s="59" t="s">
        <v>134</v>
      </c>
      <c r="L34" s="97">
        <v>431</v>
      </c>
      <c r="M34" s="69">
        <f aca="true" t="shared" si="80" ref="M34:Q43">SUMIF($G:$G,TEXT(M$3,"000")&amp;TEXT($L34,"000"),$E:$E)</f>
        <v>0</v>
      </c>
      <c r="N34" s="69">
        <f t="shared" si="80"/>
        <v>0</v>
      </c>
      <c r="O34" s="69">
        <f t="shared" si="80"/>
        <v>2</v>
      </c>
      <c r="P34" s="69">
        <f t="shared" si="80"/>
        <v>0</v>
      </c>
      <c r="Q34" s="69">
        <f t="shared" si="80"/>
        <v>0</v>
      </c>
      <c r="R34" s="581">
        <f t="shared" si="1"/>
        <v>0</v>
      </c>
      <c r="S34" s="620">
        <v>0</v>
      </c>
      <c r="T34" s="620"/>
      <c r="U34" s="620">
        <v>7.5</v>
      </c>
      <c r="V34" s="620">
        <v>0</v>
      </c>
      <c r="W34" s="620">
        <v>0</v>
      </c>
      <c r="Y34" s="70">
        <f t="shared" si="59"/>
        <v>0</v>
      </c>
      <c r="Z34" s="70">
        <f>IF(AND(N34&lt;&gt;0,T34=0),#VALUE!,N34*T34)</f>
        <v>0</v>
      </c>
      <c r="AA34" s="70">
        <f t="shared" si="61"/>
        <v>15</v>
      </c>
      <c r="AB34" s="70">
        <f t="shared" si="62"/>
        <v>0</v>
      </c>
      <c r="AC34" s="70">
        <f t="shared" si="63"/>
        <v>0</v>
      </c>
      <c r="AE34" s="69">
        <f t="shared" si="64"/>
        <v>0</v>
      </c>
      <c r="AF34" s="69">
        <f aca="true" t="shared" si="81" ref="AF34:AI35">N34</f>
        <v>0</v>
      </c>
      <c r="AG34" s="69">
        <f t="shared" si="81"/>
        <v>2</v>
      </c>
      <c r="AH34" s="69">
        <f t="shared" si="81"/>
        <v>0</v>
      </c>
      <c r="AI34" s="69">
        <f t="shared" si="81"/>
        <v>0</v>
      </c>
      <c r="AK34" s="436">
        <f t="shared" si="79"/>
        <v>0</v>
      </c>
      <c r="AL34" s="586"/>
      <c r="AM34" s="436">
        <f t="shared" si="3"/>
        <v>7.5</v>
      </c>
      <c r="AN34" s="436">
        <f t="shared" si="4"/>
        <v>0</v>
      </c>
      <c r="AO34" s="436">
        <f t="shared" si="5"/>
        <v>0</v>
      </c>
      <c r="AQ34" s="70">
        <f t="shared" si="6"/>
        <v>0</v>
      </c>
      <c r="AR34" s="70">
        <f t="shared" si="7"/>
        <v>0</v>
      </c>
      <c r="AS34" s="70">
        <f t="shared" si="8"/>
        <v>15</v>
      </c>
      <c r="AT34" s="70">
        <f t="shared" si="9"/>
        <v>0</v>
      </c>
      <c r="AU34" s="70">
        <f t="shared" si="10"/>
        <v>0</v>
      </c>
      <c r="AV34" s="70">
        <f>SUM(AQ34:AU34)-SUM(Y34:AC34)</f>
        <v>0</v>
      </c>
      <c r="AW34" s="448">
        <v>40</v>
      </c>
      <c r="AX34" s="583"/>
      <c r="AY34" s="583"/>
      <c r="AZ34" s="583">
        <v>7.69</v>
      </c>
      <c r="BA34" s="583"/>
      <c r="BB34" s="583"/>
      <c r="BC34" s="140"/>
      <c r="BD34" s="589">
        <f t="shared" si="66"/>
        <v>0.09000000000000008</v>
      </c>
      <c r="BE34" s="54"/>
      <c r="BF34" s="54">
        <f t="shared" si="78"/>
        <v>0.09</v>
      </c>
      <c r="BG34" s="54">
        <f>ROUND((U34*$BE$2)+$BD34-AZ34,2)</f>
        <v>0.01</v>
      </c>
      <c r="BH34" s="54"/>
      <c r="BI34" s="54"/>
      <c r="BL34" s="279">
        <f t="shared" si="67"/>
        <v>0</v>
      </c>
      <c r="BM34" s="279">
        <f t="shared" si="68"/>
        <v>0</v>
      </c>
      <c r="BN34" s="279">
        <f t="shared" si="75"/>
        <v>7.613249999999999</v>
      </c>
      <c r="BO34" s="279">
        <f t="shared" si="76"/>
        <v>0</v>
      </c>
      <c r="BP34" s="279">
        <f t="shared" si="77"/>
        <v>0</v>
      </c>
      <c r="BR34" s="54">
        <f t="shared" si="70"/>
        <v>0</v>
      </c>
      <c r="BS34" s="54">
        <f t="shared" si="71"/>
        <v>0</v>
      </c>
      <c r="BT34" s="54">
        <f t="shared" si="72"/>
        <v>-0.07675000000000143</v>
      </c>
      <c r="BU34" s="54">
        <f t="shared" si="73"/>
        <v>0</v>
      </c>
      <c r="BV34" s="54">
        <f t="shared" si="74"/>
        <v>0</v>
      </c>
    </row>
    <row r="35" spans="1:74" ht="12.75">
      <c r="A35" s="649"/>
      <c r="B35" s="541">
        <v>2</v>
      </c>
      <c r="C35" s="72" t="s">
        <v>120</v>
      </c>
      <c r="D35" s="541" t="s">
        <v>721</v>
      </c>
      <c r="E35" s="564">
        <v>11</v>
      </c>
      <c r="F35" s="73"/>
      <c r="G35" s="73" t="str">
        <f t="shared" si="55"/>
        <v>042441T</v>
      </c>
      <c r="H35" s="46"/>
      <c r="I35" t="s">
        <v>128</v>
      </c>
      <c r="J35" t="s">
        <v>109</v>
      </c>
      <c r="K35" s="59" t="s">
        <v>134</v>
      </c>
      <c r="L35" s="97">
        <v>432</v>
      </c>
      <c r="M35" s="69">
        <f t="shared" si="80"/>
        <v>0</v>
      </c>
      <c r="N35" s="69">
        <f t="shared" si="80"/>
        <v>78</v>
      </c>
      <c r="O35" s="69">
        <f t="shared" si="80"/>
        <v>4</v>
      </c>
      <c r="P35" s="69">
        <f t="shared" si="80"/>
        <v>0</v>
      </c>
      <c r="Q35" s="69">
        <f t="shared" si="80"/>
        <v>0</v>
      </c>
      <c r="R35" s="581">
        <f t="shared" si="1"/>
        <v>0</v>
      </c>
      <c r="S35" s="620">
        <v>0</v>
      </c>
      <c r="T35" s="620">
        <v>26.14</v>
      </c>
      <c r="U35" s="620">
        <v>7.5</v>
      </c>
      <c r="V35" s="620">
        <v>0</v>
      </c>
      <c r="W35" s="620">
        <v>0</v>
      </c>
      <c r="Y35" s="70">
        <f t="shared" si="59"/>
        <v>0</v>
      </c>
      <c r="Z35" s="70">
        <f t="shared" si="60"/>
        <v>2038.92</v>
      </c>
      <c r="AA35" s="70">
        <f t="shared" si="61"/>
        <v>30</v>
      </c>
      <c r="AB35" s="70">
        <f t="shared" si="62"/>
        <v>0</v>
      </c>
      <c r="AC35" s="70">
        <f t="shared" si="63"/>
        <v>0</v>
      </c>
      <c r="AE35" s="69">
        <f t="shared" si="64"/>
        <v>0</v>
      </c>
      <c r="AF35" s="69">
        <f t="shared" si="81"/>
        <v>78</v>
      </c>
      <c r="AG35" s="69">
        <f t="shared" si="81"/>
        <v>4</v>
      </c>
      <c r="AH35" s="69">
        <f t="shared" si="81"/>
        <v>0</v>
      </c>
      <c r="AI35" s="69">
        <f t="shared" si="81"/>
        <v>0</v>
      </c>
      <c r="AK35" s="436">
        <f t="shared" si="79"/>
        <v>0</v>
      </c>
      <c r="AL35" s="436">
        <f aca="true" t="shared" si="82" ref="AL35:AL43">ROUND(T35*(1+AL$1),2)</f>
        <v>26.14</v>
      </c>
      <c r="AM35" s="436">
        <f t="shared" si="3"/>
        <v>7.5</v>
      </c>
      <c r="AN35" s="436">
        <f t="shared" si="4"/>
        <v>0</v>
      </c>
      <c r="AO35" s="436">
        <f t="shared" si="5"/>
        <v>0</v>
      </c>
      <c r="AQ35" s="70">
        <f t="shared" si="6"/>
        <v>0</v>
      </c>
      <c r="AR35" s="70">
        <f t="shared" si="7"/>
        <v>2038.92</v>
      </c>
      <c r="AS35" s="70">
        <f t="shared" si="8"/>
        <v>30</v>
      </c>
      <c r="AT35" s="70">
        <f t="shared" si="9"/>
        <v>0</v>
      </c>
      <c r="AU35" s="70">
        <f t="shared" si="10"/>
        <v>0</v>
      </c>
      <c r="AV35" s="70">
        <f>SUM(AQ35:AU35)-SUM(Y35:AC35)</f>
        <v>0</v>
      </c>
      <c r="AW35" s="448">
        <v>40</v>
      </c>
      <c r="AX35" s="583"/>
      <c r="AY35" s="583">
        <v>26.61</v>
      </c>
      <c r="AZ35" s="583">
        <v>7.69</v>
      </c>
      <c r="BA35" s="583"/>
      <c r="BB35" s="583"/>
      <c r="BC35" s="140"/>
      <c r="BD35" s="589">
        <f t="shared" si="66"/>
        <v>0.09000000000000008</v>
      </c>
      <c r="BE35" s="54"/>
      <c r="BF35" s="54">
        <f t="shared" si="78"/>
        <v>0.01</v>
      </c>
      <c r="BG35" s="54">
        <f>ROUND((U35*$BE$2)+$BD35-AZ35,2)</f>
        <v>0.01</v>
      </c>
      <c r="BH35" s="54"/>
      <c r="BI35" s="54"/>
      <c r="BL35" s="279">
        <f t="shared" si="67"/>
        <v>0</v>
      </c>
      <c r="BM35" s="279">
        <f t="shared" si="68"/>
        <v>26.534713999999997</v>
      </c>
      <c r="BN35" s="279">
        <f t="shared" si="75"/>
        <v>7.613249999999999</v>
      </c>
      <c r="BO35" s="279">
        <f t="shared" si="76"/>
        <v>0</v>
      </c>
      <c r="BP35" s="279">
        <f t="shared" si="77"/>
        <v>0</v>
      </c>
      <c r="BR35" s="54">
        <f t="shared" si="70"/>
        <v>0</v>
      </c>
      <c r="BS35" s="54">
        <f t="shared" si="71"/>
        <v>-0.07528600000000196</v>
      </c>
      <c r="BT35" s="54">
        <f t="shared" si="72"/>
        <v>-0.07675000000000143</v>
      </c>
      <c r="BU35" s="54">
        <f t="shared" si="73"/>
        <v>0</v>
      </c>
      <c r="BV35" s="54">
        <f t="shared" si="74"/>
        <v>0</v>
      </c>
    </row>
    <row r="36" spans="1:99" ht="12.75">
      <c r="A36" s="330"/>
      <c r="B36" s="35">
        <v>2</v>
      </c>
      <c r="C36" s="72" t="s">
        <v>120</v>
      </c>
      <c r="D36" s="35">
        <v>474</v>
      </c>
      <c r="E36" s="562">
        <v>212</v>
      </c>
      <c r="F36" s="73"/>
      <c r="G36" s="73" t="str">
        <f t="shared" si="55"/>
        <v>042474</v>
      </c>
      <c r="H36" s="46"/>
      <c r="I36" s="435" t="s">
        <v>713</v>
      </c>
      <c r="J36" s="578" t="s">
        <v>109</v>
      </c>
      <c r="K36" s="580" t="s">
        <v>132</v>
      </c>
      <c r="L36" s="582" t="s">
        <v>593</v>
      </c>
      <c r="M36" s="581">
        <f t="shared" si="80"/>
        <v>0</v>
      </c>
      <c r="N36" s="581">
        <f t="shared" si="80"/>
        <v>141</v>
      </c>
      <c r="O36" s="581">
        <f t="shared" si="80"/>
        <v>0</v>
      </c>
      <c r="P36" s="581">
        <f t="shared" si="80"/>
        <v>0</v>
      </c>
      <c r="Q36" s="581">
        <f t="shared" si="80"/>
        <v>0</v>
      </c>
      <c r="R36" s="581">
        <f t="shared" si="1"/>
        <v>0</v>
      </c>
      <c r="S36" s="620">
        <v>0</v>
      </c>
      <c r="T36" s="650">
        <f>T35</f>
        <v>26.14</v>
      </c>
      <c r="U36" s="620">
        <v>0</v>
      </c>
      <c r="V36" s="620"/>
      <c r="W36" s="620"/>
      <c r="X36" s="578"/>
      <c r="Y36" s="70">
        <f aca="true" t="shared" si="83" ref="Y36:AC37">IF(AND(M36&lt;&gt;0,S36=0),#VALUE!,M36*S36)</f>
        <v>0</v>
      </c>
      <c r="Z36" s="70">
        <f t="shared" si="83"/>
        <v>3685.7400000000002</v>
      </c>
      <c r="AA36" s="70">
        <f t="shared" si="83"/>
        <v>0</v>
      </c>
      <c r="AB36" s="70">
        <f t="shared" si="83"/>
        <v>0</v>
      </c>
      <c r="AC36" s="70">
        <f t="shared" si="83"/>
        <v>0</v>
      </c>
      <c r="AD36" s="578"/>
      <c r="AE36" s="581">
        <f>SUMIF($G:$G,TEXT(AE$3,"000")&amp;TEXT($L36,"000"),$E:$E)</f>
        <v>0</v>
      </c>
      <c r="AF36" s="581">
        <f>SUMIF($G:$G,TEXT(AF$3,"000")&amp;TEXT($L36,"000"),$E:$E)</f>
        <v>141</v>
      </c>
      <c r="AG36" s="581">
        <f>SUMIF($G:$G,TEXT(AG$3,"000")&amp;TEXT($L36,"000"),$E:$E)</f>
        <v>0</v>
      </c>
      <c r="AH36" s="581">
        <f>SUMIF($G:$G,TEXT(AH$3,"000")&amp;TEXT($L36,"000"),$E:$E)</f>
        <v>0</v>
      </c>
      <c r="AI36" s="581">
        <f>SUMIF($G:$G,TEXT(AI$3,"000")&amp;TEXT($L36,"000"),$E:$E)</f>
        <v>0</v>
      </c>
      <c r="AJ36" s="578"/>
      <c r="AK36" s="586">
        <f t="shared" si="79"/>
        <v>0</v>
      </c>
      <c r="AL36" s="586">
        <f>AL35</f>
        <v>26.14</v>
      </c>
      <c r="AM36" s="586">
        <f t="shared" si="3"/>
        <v>0</v>
      </c>
      <c r="AN36" s="586">
        <f t="shared" si="4"/>
        <v>0</v>
      </c>
      <c r="AO36" s="586">
        <f t="shared" si="5"/>
        <v>0</v>
      </c>
      <c r="AP36" s="578"/>
      <c r="AQ36" s="70">
        <f t="shared" si="6"/>
        <v>0</v>
      </c>
      <c r="AR36" s="70">
        <f t="shared" si="7"/>
        <v>3685.7400000000002</v>
      </c>
      <c r="AS36" s="70">
        <f t="shared" si="8"/>
        <v>0</v>
      </c>
      <c r="AT36" s="70">
        <f t="shared" si="9"/>
        <v>0</v>
      </c>
      <c r="AU36" s="70">
        <f t="shared" si="10"/>
        <v>0</v>
      </c>
      <c r="AV36" s="578"/>
      <c r="AW36" s="593">
        <v>26</v>
      </c>
      <c r="AX36" s="583"/>
      <c r="AY36" s="583">
        <v>26.58</v>
      </c>
      <c r="AZ36" s="583"/>
      <c r="BA36" s="583"/>
      <c r="BB36" s="583"/>
      <c r="BC36" s="583"/>
      <c r="BD36" s="589">
        <f>ROUND(AW36*$BD$2,2)+ROUND(AW36*$BD$1,2)</f>
        <v>0.06</v>
      </c>
      <c r="BE36" s="579"/>
      <c r="BF36" s="579">
        <f t="shared" si="78"/>
        <v>0.01</v>
      </c>
      <c r="BG36" s="579"/>
      <c r="BH36" s="579"/>
      <c r="BI36" s="579"/>
      <c r="BJ36" s="578"/>
      <c r="BK36" s="578"/>
      <c r="BL36" s="587">
        <f t="shared" si="67"/>
        <v>0</v>
      </c>
      <c r="BM36" s="587">
        <f t="shared" si="68"/>
        <v>26.534713999999997</v>
      </c>
      <c r="BN36" s="587">
        <f aca="true" t="shared" si="84" ref="BN36:BP37">AM36*$BL$1</f>
        <v>0</v>
      </c>
      <c r="BO36" s="587">
        <f t="shared" si="84"/>
        <v>0</v>
      </c>
      <c r="BP36" s="587">
        <f t="shared" si="84"/>
        <v>0</v>
      </c>
      <c r="BQ36" s="578"/>
      <c r="BR36" s="579">
        <f aca="true" t="shared" si="85" ref="BR36:BV37">BL36-AX36</f>
        <v>0</v>
      </c>
      <c r="BS36" s="579">
        <f t="shared" si="85"/>
        <v>-0.045286000000000826</v>
      </c>
      <c r="BT36" s="579">
        <f t="shared" si="85"/>
        <v>0</v>
      </c>
      <c r="BU36" s="579">
        <f t="shared" si="85"/>
        <v>0</v>
      </c>
      <c r="BV36" s="579">
        <f t="shared" si="85"/>
        <v>0</v>
      </c>
      <c r="BW36" s="578"/>
      <c r="BX36" s="578"/>
      <c r="BY36" s="578"/>
      <c r="BZ36" s="578"/>
      <c r="CA36" s="578"/>
      <c r="CL36" s="596"/>
      <c r="CM36" s="596"/>
      <c r="CN36" s="596"/>
      <c r="CO36" s="596"/>
      <c r="CP36" s="596"/>
      <c r="CQ36" s="596"/>
      <c r="CR36" s="596"/>
      <c r="CS36" s="596"/>
      <c r="CT36" s="596"/>
      <c r="CU36" s="596"/>
    </row>
    <row r="37" spans="1:87" ht="12.75">
      <c r="A37" s="649"/>
      <c r="B37" s="541">
        <v>2</v>
      </c>
      <c r="C37" s="72" t="s">
        <v>120</v>
      </c>
      <c r="D37" s="541" t="s">
        <v>600</v>
      </c>
      <c r="E37" s="564">
        <v>106</v>
      </c>
      <c r="F37" s="73"/>
      <c r="G37" s="73" t="str">
        <f t="shared" si="55"/>
        <v>042474L</v>
      </c>
      <c r="H37" s="46"/>
      <c r="I37" s="648" t="s">
        <v>713</v>
      </c>
      <c r="J37" s="648" t="s">
        <v>109</v>
      </c>
      <c r="K37" s="580" t="s">
        <v>132</v>
      </c>
      <c r="L37" s="582" t="s">
        <v>706</v>
      </c>
      <c r="M37" s="581">
        <f t="shared" si="80"/>
        <v>0</v>
      </c>
      <c r="N37" s="581">
        <f t="shared" si="80"/>
        <v>28</v>
      </c>
      <c r="O37" s="581">
        <f t="shared" si="80"/>
        <v>0</v>
      </c>
      <c r="P37" s="581">
        <f t="shared" si="80"/>
        <v>0</v>
      </c>
      <c r="Q37" s="581">
        <f t="shared" si="80"/>
        <v>0</v>
      </c>
      <c r="R37" s="581">
        <f t="shared" si="1"/>
        <v>0</v>
      </c>
      <c r="S37" s="620">
        <v>0</v>
      </c>
      <c r="T37" s="650">
        <f>T35-T101</f>
        <v>20.91</v>
      </c>
      <c r="U37" s="620"/>
      <c r="V37" s="620">
        <v>0</v>
      </c>
      <c r="W37" s="620">
        <v>0</v>
      </c>
      <c r="X37" s="648"/>
      <c r="Y37" s="70">
        <f t="shared" si="83"/>
        <v>0</v>
      </c>
      <c r="Z37" s="70">
        <f t="shared" si="83"/>
        <v>585.48</v>
      </c>
      <c r="AA37" s="70">
        <f t="shared" si="83"/>
        <v>0</v>
      </c>
      <c r="AB37" s="70">
        <f t="shared" si="83"/>
        <v>0</v>
      </c>
      <c r="AC37" s="70">
        <f t="shared" si="83"/>
        <v>0</v>
      </c>
      <c r="AD37" s="648"/>
      <c r="AE37" s="581">
        <f>M37</f>
        <v>0</v>
      </c>
      <c r="AF37" s="581">
        <f>N37</f>
        <v>28</v>
      </c>
      <c r="AG37" s="581">
        <f>O37</f>
        <v>0</v>
      </c>
      <c r="AH37" s="581">
        <f>P37</f>
        <v>0</v>
      </c>
      <c r="AI37" s="581">
        <f>Q37</f>
        <v>0</v>
      </c>
      <c r="AJ37" s="648"/>
      <c r="AK37" s="586">
        <f t="shared" si="79"/>
        <v>0</v>
      </c>
      <c r="AL37" s="586">
        <f>AL36-AL101</f>
        <v>20.91</v>
      </c>
      <c r="AM37" s="586">
        <f t="shared" si="3"/>
        <v>0</v>
      </c>
      <c r="AN37" s="586">
        <f t="shared" si="4"/>
        <v>0</v>
      </c>
      <c r="AO37" s="586">
        <f t="shared" si="5"/>
        <v>0</v>
      </c>
      <c r="AP37" s="648"/>
      <c r="AQ37" s="70">
        <f t="shared" si="6"/>
        <v>0</v>
      </c>
      <c r="AR37" s="70">
        <f t="shared" si="7"/>
        <v>585.48</v>
      </c>
      <c r="AS37" s="70">
        <f t="shared" si="8"/>
        <v>0</v>
      </c>
      <c r="AT37" s="70">
        <f t="shared" si="9"/>
        <v>0</v>
      </c>
      <c r="AU37" s="70">
        <f t="shared" si="10"/>
        <v>0</v>
      </c>
      <c r="AV37" s="70">
        <f>SUM(AQ37:AU37)-SUM(Y37:AC37)</f>
        <v>0</v>
      </c>
      <c r="AW37" s="593">
        <v>26</v>
      </c>
      <c r="AX37" s="583"/>
      <c r="AY37" s="583">
        <v>21.28</v>
      </c>
      <c r="AZ37" s="583"/>
      <c r="BA37" s="583"/>
      <c r="BB37" s="583"/>
      <c r="BC37" s="583"/>
      <c r="BD37" s="589">
        <f>ROUND(AW37*$BD$2,2)+ROUND(AW37*$BD$1,2)</f>
        <v>0.06</v>
      </c>
      <c r="BE37" s="579"/>
      <c r="BF37" s="579">
        <f t="shared" si="78"/>
        <v>0.01</v>
      </c>
      <c r="BG37" s="579"/>
      <c r="BH37" s="579"/>
      <c r="BI37" s="579"/>
      <c r="BJ37" s="648"/>
      <c r="BK37" s="648"/>
      <c r="BL37" s="587">
        <f t="shared" si="67"/>
        <v>0</v>
      </c>
      <c r="BM37" s="587">
        <f t="shared" si="68"/>
        <v>21.225741</v>
      </c>
      <c r="BN37" s="587">
        <f t="shared" si="84"/>
        <v>0</v>
      </c>
      <c r="BO37" s="587">
        <f t="shared" si="84"/>
        <v>0</v>
      </c>
      <c r="BP37" s="587">
        <f t="shared" si="84"/>
        <v>0</v>
      </c>
      <c r="BQ37" s="648"/>
      <c r="BR37" s="579">
        <f t="shared" si="85"/>
        <v>0</v>
      </c>
      <c r="BS37" s="579">
        <f t="shared" si="85"/>
        <v>-0.054259000000001834</v>
      </c>
      <c r="BT37" s="579">
        <f t="shared" si="85"/>
        <v>0</v>
      </c>
      <c r="BU37" s="579">
        <f t="shared" si="85"/>
        <v>0</v>
      </c>
      <c r="BV37" s="579">
        <f t="shared" si="85"/>
        <v>0</v>
      </c>
      <c r="BW37" s="648"/>
      <c r="BX37" s="648"/>
      <c r="BY37" s="648"/>
      <c r="BZ37" s="648"/>
      <c r="CA37" s="648"/>
      <c r="CB37" s="648"/>
      <c r="CC37" s="648"/>
      <c r="CD37" s="648"/>
      <c r="CE37" s="648"/>
      <c r="CF37" s="648"/>
      <c r="CG37" s="648"/>
      <c r="CH37" s="648"/>
      <c r="CI37" s="648"/>
    </row>
    <row r="38" spans="1:74" ht="12.75">
      <c r="A38" s="596"/>
      <c r="B38" s="541">
        <v>2</v>
      </c>
      <c r="C38" s="72" t="s">
        <v>120</v>
      </c>
      <c r="D38" s="541">
        <v>475</v>
      </c>
      <c r="E38" s="564">
        <v>0</v>
      </c>
      <c r="F38" s="73"/>
      <c r="G38" s="73" t="str">
        <f t="shared" si="55"/>
        <v>042475</v>
      </c>
      <c r="H38" s="46"/>
      <c r="I38" t="s">
        <v>128</v>
      </c>
      <c r="J38" t="s">
        <v>110</v>
      </c>
      <c r="K38" s="59" t="s">
        <v>134</v>
      </c>
      <c r="L38" s="97">
        <v>433</v>
      </c>
      <c r="M38" s="69">
        <f t="shared" si="80"/>
        <v>0</v>
      </c>
      <c r="N38" s="69">
        <f t="shared" si="80"/>
        <v>6</v>
      </c>
      <c r="O38" s="69">
        <f t="shared" si="80"/>
        <v>6</v>
      </c>
      <c r="P38" s="69">
        <f t="shared" si="80"/>
        <v>0</v>
      </c>
      <c r="Q38" s="69">
        <f t="shared" si="80"/>
        <v>0</v>
      </c>
      <c r="R38" s="581">
        <f t="shared" si="1"/>
        <v>0</v>
      </c>
      <c r="S38" s="620">
        <v>0</v>
      </c>
      <c r="T38" s="620">
        <v>26.14</v>
      </c>
      <c r="U38" s="620">
        <v>7.5</v>
      </c>
      <c r="V38" s="620">
        <v>0</v>
      </c>
      <c r="W38" s="620">
        <v>0</v>
      </c>
      <c r="Y38" s="70">
        <f t="shared" si="59"/>
        <v>0</v>
      </c>
      <c r="Z38" s="70">
        <f t="shared" si="60"/>
        <v>156.84</v>
      </c>
      <c r="AA38" s="70">
        <f t="shared" si="61"/>
        <v>45</v>
      </c>
      <c r="AB38" s="70">
        <f t="shared" si="62"/>
        <v>0</v>
      </c>
      <c r="AC38" s="70">
        <f t="shared" si="63"/>
        <v>0</v>
      </c>
      <c r="AE38" s="69">
        <f t="shared" si="64"/>
        <v>0</v>
      </c>
      <c r="AF38" s="69">
        <f>N38</f>
        <v>6</v>
      </c>
      <c r="AG38" s="69">
        <f>O38</f>
        <v>6</v>
      </c>
      <c r="AH38" s="69">
        <f>P38</f>
        <v>0</v>
      </c>
      <c r="AI38" s="69">
        <f>Q38</f>
        <v>0</v>
      </c>
      <c r="AK38" s="436">
        <f t="shared" si="79"/>
        <v>0</v>
      </c>
      <c r="AL38" s="436">
        <f t="shared" si="82"/>
        <v>26.14</v>
      </c>
      <c r="AM38" s="436">
        <f t="shared" si="3"/>
        <v>7.5</v>
      </c>
      <c r="AN38" s="436">
        <f t="shared" si="4"/>
        <v>0</v>
      </c>
      <c r="AO38" s="436">
        <f t="shared" si="5"/>
        <v>0</v>
      </c>
      <c r="AQ38" s="70">
        <f t="shared" si="6"/>
        <v>0</v>
      </c>
      <c r="AR38" s="70">
        <f t="shared" si="7"/>
        <v>156.84</v>
      </c>
      <c r="AS38" s="70">
        <f t="shared" si="8"/>
        <v>45</v>
      </c>
      <c r="AT38" s="70">
        <f t="shared" si="9"/>
        <v>0</v>
      </c>
      <c r="AU38" s="70">
        <f t="shared" si="10"/>
        <v>0</v>
      </c>
      <c r="AV38" s="70">
        <f>SUM(AQ38:AU38)-SUM(Y38:AC38)</f>
        <v>0</v>
      </c>
      <c r="AW38" s="448">
        <v>40</v>
      </c>
      <c r="AX38" s="583"/>
      <c r="AY38" s="583">
        <v>26.61</v>
      </c>
      <c r="AZ38" s="583">
        <v>7.69</v>
      </c>
      <c r="BA38" s="583"/>
      <c r="BB38" s="583"/>
      <c r="BC38" s="140"/>
      <c r="BD38" s="589">
        <f t="shared" si="66"/>
        <v>0.09000000000000008</v>
      </c>
      <c r="BE38" s="54"/>
      <c r="BF38" s="54">
        <f t="shared" si="78"/>
        <v>0.01</v>
      </c>
      <c r="BG38" s="54">
        <f>ROUND((U38*$BE$2)+$BD38-AZ38,2)</f>
        <v>0.01</v>
      </c>
      <c r="BH38" s="54"/>
      <c r="BI38" s="54"/>
      <c r="BL38" s="279">
        <f t="shared" si="67"/>
        <v>0</v>
      </c>
      <c r="BM38" s="279">
        <f t="shared" si="68"/>
        <v>26.534713999999997</v>
      </c>
      <c r="BN38" s="279">
        <f t="shared" si="75"/>
        <v>7.613249999999999</v>
      </c>
      <c r="BO38" s="279">
        <f t="shared" si="76"/>
        <v>0</v>
      </c>
      <c r="BP38" s="279">
        <f t="shared" si="77"/>
        <v>0</v>
      </c>
      <c r="BR38" s="54">
        <f t="shared" si="70"/>
        <v>0</v>
      </c>
      <c r="BS38" s="54">
        <f t="shared" si="71"/>
        <v>-0.07528600000000196</v>
      </c>
      <c r="BT38" s="54">
        <f t="shared" si="72"/>
        <v>-0.07675000000000143</v>
      </c>
      <c r="BU38" s="54">
        <f t="shared" si="73"/>
        <v>0</v>
      </c>
      <c r="BV38" s="54">
        <f t="shared" si="74"/>
        <v>0</v>
      </c>
    </row>
    <row r="39" spans="2:105" ht="12.75">
      <c r="B39" s="35">
        <v>3</v>
      </c>
      <c r="C39" s="72" t="s">
        <v>120</v>
      </c>
      <c r="D39" s="333">
        <v>478</v>
      </c>
      <c r="E39" s="558">
        <v>0</v>
      </c>
      <c r="F39" s="73"/>
      <c r="G39" s="73" t="str">
        <f t="shared" si="55"/>
        <v>042478</v>
      </c>
      <c r="H39" s="46"/>
      <c r="I39" s="435" t="s">
        <v>713</v>
      </c>
      <c r="J39" s="578" t="s">
        <v>110</v>
      </c>
      <c r="K39" s="580" t="s">
        <v>132</v>
      </c>
      <c r="L39" s="582" t="s">
        <v>594</v>
      </c>
      <c r="M39" s="581">
        <f t="shared" si="80"/>
        <v>0</v>
      </c>
      <c r="N39" s="581">
        <f t="shared" si="80"/>
        <v>49</v>
      </c>
      <c r="O39" s="581">
        <f t="shared" si="80"/>
        <v>0</v>
      </c>
      <c r="P39" s="581">
        <f t="shared" si="80"/>
        <v>0</v>
      </c>
      <c r="Q39" s="581">
        <f t="shared" si="80"/>
        <v>0</v>
      </c>
      <c r="R39" s="581">
        <f t="shared" si="1"/>
        <v>0</v>
      </c>
      <c r="S39" s="620">
        <v>0</v>
      </c>
      <c r="T39" s="650">
        <f>T38</f>
        <v>26.14</v>
      </c>
      <c r="U39" s="620">
        <v>0</v>
      </c>
      <c r="V39" s="620"/>
      <c r="W39" s="620"/>
      <c r="X39" s="578"/>
      <c r="Y39" s="70">
        <f aca="true" t="shared" si="86" ref="Y39:AC40">IF(AND(M39&lt;&gt;0,S39=0),#VALUE!,M39*S39)</f>
        <v>0</v>
      </c>
      <c r="Z39" s="70">
        <f t="shared" si="86"/>
        <v>1280.8600000000001</v>
      </c>
      <c r="AA39" s="70">
        <f t="shared" si="86"/>
        <v>0</v>
      </c>
      <c r="AB39" s="70">
        <f t="shared" si="86"/>
        <v>0</v>
      </c>
      <c r="AC39" s="70">
        <f t="shared" si="86"/>
        <v>0</v>
      </c>
      <c r="AD39" s="578"/>
      <c r="AE39" s="581">
        <f>SUMIF($G:$G,TEXT(AE$3,"000")&amp;TEXT($L39,"000"),$E:$E)</f>
        <v>0</v>
      </c>
      <c r="AF39" s="581">
        <f>SUMIF($G:$G,TEXT(AF$3,"000")&amp;TEXT($L39,"000"),$E:$E)</f>
        <v>49</v>
      </c>
      <c r="AG39" s="581">
        <f>SUMIF($G:$G,TEXT(AG$3,"000")&amp;TEXT($L39,"000"),$E:$E)</f>
        <v>0</v>
      </c>
      <c r="AH39" s="581">
        <f>SUMIF($G:$G,TEXT(AH$3,"000")&amp;TEXT($L39,"000"),$E:$E)</f>
        <v>0</v>
      </c>
      <c r="AI39" s="581">
        <f>SUMIF($G:$G,TEXT(AI$3,"000")&amp;TEXT($L39,"000"),$E:$E)</f>
        <v>0</v>
      </c>
      <c r="AJ39" s="578"/>
      <c r="AK39" s="586">
        <f t="shared" si="79"/>
        <v>0</v>
      </c>
      <c r="AL39" s="586">
        <f>AL38</f>
        <v>26.14</v>
      </c>
      <c r="AM39" s="586">
        <f t="shared" si="3"/>
        <v>0</v>
      </c>
      <c r="AN39" s="586">
        <f t="shared" si="4"/>
        <v>0</v>
      </c>
      <c r="AO39" s="586">
        <f t="shared" si="5"/>
        <v>0</v>
      </c>
      <c r="AP39" s="578"/>
      <c r="AQ39" s="70">
        <f t="shared" si="6"/>
        <v>0</v>
      </c>
      <c r="AR39" s="70">
        <f t="shared" si="7"/>
        <v>1280.8600000000001</v>
      </c>
      <c r="AS39" s="70">
        <f t="shared" si="8"/>
        <v>0</v>
      </c>
      <c r="AT39" s="70">
        <f t="shared" si="9"/>
        <v>0</v>
      </c>
      <c r="AU39" s="70">
        <f t="shared" si="10"/>
        <v>0</v>
      </c>
      <c r="AV39" s="578"/>
      <c r="AW39" s="593">
        <v>26</v>
      </c>
      <c r="AX39" s="583"/>
      <c r="AY39" s="583">
        <v>26.58</v>
      </c>
      <c r="AZ39" s="583"/>
      <c r="BA39" s="583"/>
      <c r="BB39" s="583"/>
      <c r="BC39" s="583"/>
      <c r="BD39" s="589">
        <f>ROUND(AW39*$BD$2,2)+ROUND(AW39*$BD$1,2)</f>
        <v>0.06</v>
      </c>
      <c r="BE39" s="579"/>
      <c r="BF39" s="579">
        <f t="shared" si="78"/>
        <v>0.01</v>
      </c>
      <c r="BG39" s="579"/>
      <c r="BH39" s="579"/>
      <c r="BI39" s="579"/>
      <c r="BJ39" s="578"/>
      <c r="BK39" s="578"/>
      <c r="BL39" s="587">
        <f t="shared" si="67"/>
        <v>0</v>
      </c>
      <c r="BM39" s="587">
        <f t="shared" si="68"/>
        <v>26.534713999999997</v>
      </c>
      <c r="BN39" s="587">
        <f aca="true" t="shared" si="87" ref="BN39:BP40">AM39*$BL$1</f>
        <v>0</v>
      </c>
      <c r="BO39" s="587">
        <f t="shared" si="87"/>
        <v>0</v>
      </c>
      <c r="BP39" s="587">
        <f t="shared" si="87"/>
        <v>0</v>
      </c>
      <c r="BQ39" s="578"/>
      <c r="BR39" s="579">
        <f aca="true" t="shared" si="88" ref="BR39:BV40">BL39-AX39</f>
        <v>0</v>
      </c>
      <c r="BS39" s="579">
        <f t="shared" si="88"/>
        <v>-0.045286000000000826</v>
      </c>
      <c r="BT39" s="579">
        <f t="shared" si="88"/>
        <v>0</v>
      </c>
      <c r="BU39" s="579">
        <f t="shared" si="88"/>
        <v>0</v>
      </c>
      <c r="BV39" s="579">
        <f t="shared" si="88"/>
        <v>0</v>
      </c>
      <c r="BW39" s="578"/>
      <c r="BX39" s="578"/>
      <c r="BY39" s="578"/>
      <c r="BZ39" s="578"/>
      <c r="CA39" s="578"/>
      <c r="CK39" s="596"/>
      <c r="CY39" s="649"/>
      <c r="CZ39" s="649"/>
      <c r="DA39" s="649"/>
    </row>
    <row r="40" spans="2:88" ht="12.75">
      <c r="B40" s="35">
        <v>2</v>
      </c>
      <c r="C40" s="72" t="s">
        <v>120</v>
      </c>
      <c r="D40" s="35">
        <v>484</v>
      </c>
      <c r="E40" s="562">
        <v>99</v>
      </c>
      <c r="F40" s="73"/>
      <c r="G40" s="73" t="str">
        <f t="shared" si="55"/>
        <v>042484</v>
      </c>
      <c r="H40" s="46"/>
      <c r="I40" s="648" t="s">
        <v>713</v>
      </c>
      <c r="J40" s="648" t="s">
        <v>110</v>
      </c>
      <c r="K40" s="580" t="s">
        <v>132</v>
      </c>
      <c r="L40" s="582" t="s">
        <v>707</v>
      </c>
      <c r="M40" s="581">
        <f t="shared" si="80"/>
        <v>0</v>
      </c>
      <c r="N40" s="581">
        <f t="shared" si="80"/>
        <v>65</v>
      </c>
      <c r="O40" s="581">
        <f t="shared" si="80"/>
        <v>0</v>
      </c>
      <c r="P40" s="581">
        <f t="shared" si="80"/>
        <v>0</v>
      </c>
      <c r="Q40" s="581">
        <f t="shared" si="80"/>
        <v>0</v>
      </c>
      <c r="R40" s="581">
        <f t="shared" si="1"/>
        <v>0</v>
      </c>
      <c r="S40" s="620">
        <v>0</v>
      </c>
      <c r="T40" s="650">
        <f>T38-T101</f>
        <v>20.91</v>
      </c>
      <c r="U40" s="620"/>
      <c r="V40" s="620">
        <v>0</v>
      </c>
      <c r="W40" s="620">
        <v>0</v>
      </c>
      <c r="X40" s="648"/>
      <c r="Y40" s="70">
        <f t="shared" si="86"/>
        <v>0</v>
      </c>
      <c r="Z40" s="70">
        <f t="shared" si="86"/>
        <v>1359.15</v>
      </c>
      <c r="AA40" s="70">
        <f t="shared" si="86"/>
        <v>0</v>
      </c>
      <c r="AB40" s="70">
        <f t="shared" si="86"/>
        <v>0</v>
      </c>
      <c r="AC40" s="70">
        <f t="shared" si="86"/>
        <v>0</v>
      </c>
      <c r="AD40" s="648"/>
      <c r="AE40" s="581">
        <f>M40</f>
        <v>0</v>
      </c>
      <c r="AF40" s="581">
        <f>N40</f>
        <v>65</v>
      </c>
      <c r="AG40" s="581">
        <f>O40</f>
        <v>0</v>
      </c>
      <c r="AH40" s="581">
        <f>P40</f>
        <v>0</v>
      </c>
      <c r="AI40" s="581">
        <f>Q40</f>
        <v>0</v>
      </c>
      <c r="AJ40" s="648"/>
      <c r="AK40" s="586">
        <f t="shared" si="79"/>
        <v>0</v>
      </c>
      <c r="AL40" s="586">
        <f>AL39-AL101</f>
        <v>20.91</v>
      </c>
      <c r="AM40" s="586">
        <f t="shared" si="3"/>
        <v>0</v>
      </c>
      <c r="AN40" s="586">
        <f t="shared" si="4"/>
        <v>0</v>
      </c>
      <c r="AO40" s="586">
        <f t="shared" si="5"/>
        <v>0</v>
      </c>
      <c r="AP40" s="648"/>
      <c r="AQ40" s="70">
        <f t="shared" si="6"/>
        <v>0</v>
      </c>
      <c r="AR40" s="70">
        <f t="shared" si="7"/>
        <v>1359.15</v>
      </c>
      <c r="AS40" s="70">
        <f t="shared" si="8"/>
        <v>0</v>
      </c>
      <c r="AT40" s="70">
        <f t="shared" si="9"/>
        <v>0</v>
      </c>
      <c r="AU40" s="70">
        <f t="shared" si="10"/>
        <v>0</v>
      </c>
      <c r="AV40" s="70">
        <f>SUM(AQ40:AU40)-SUM(Y40:AC40)</f>
        <v>0</v>
      </c>
      <c r="AW40" s="593">
        <v>26</v>
      </c>
      <c r="AX40" s="583"/>
      <c r="AY40" s="583">
        <v>21.28</v>
      </c>
      <c r="AZ40" s="583"/>
      <c r="BA40" s="583"/>
      <c r="BB40" s="583"/>
      <c r="BC40" s="583"/>
      <c r="BD40" s="589">
        <f>ROUND(AW40*$BD$2,2)+ROUND(AW40*$BD$1,2)</f>
        <v>0.06</v>
      </c>
      <c r="BE40" s="579"/>
      <c r="BF40" s="579">
        <f t="shared" si="78"/>
        <v>0.01</v>
      </c>
      <c r="BG40" s="579"/>
      <c r="BH40" s="579"/>
      <c r="BI40" s="579"/>
      <c r="BJ40" s="648"/>
      <c r="BK40" s="648"/>
      <c r="BL40" s="587">
        <f t="shared" si="67"/>
        <v>0</v>
      </c>
      <c r="BM40" s="587">
        <f t="shared" si="68"/>
        <v>21.225741</v>
      </c>
      <c r="BN40" s="587">
        <f t="shared" si="87"/>
        <v>0</v>
      </c>
      <c r="BO40" s="587">
        <f t="shared" si="87"/>
        <v>0</v>
      </c>
      <c r="BP40" s="587">
        <f t="shared" si="87"/>
        <v>0</v>
      </c>
      <c r="BQ40" s="648"/>
      <c r="BR40" s="579">
        <f t="shared" si="88"/>
        <v>0</v>
      </c>
      <c r="BS40" s="579">
        <f t="shared" si="88"/>
        <v>-0.054259000000001834</v>
      </c>
      <c r="BT40" s="579">
        <f t="shared" si="88"/>
        <v>0</v>
      </c>
      <c r="BU40" s="579">
        <f t="shared" si="88"/>
        <v>0</v>
      </c>
      <c r="BV40" s="579">
        <f t="shared" si="88"/>
        <v>0</v>
      </c>
      <c r="BW40" s="648"/>
      <c r="BX40" s="648"/>
      <c r="BY40" s="648"/>
      <c r="BZ40" s="648"/>
      <c r="CA40" s="648"/>
      <c r="CB40" s="648"/>
      <c r="CC40" s="648"/>
      <c r="CD40" s="648"/>
      <c r="CE40" s="648"/>
      <c r="CF40" s="648"/>
      <c r="CG40" s="648"/>
      <c r="CH40" s="648"/>
      <c r="CI40" s="648"/>
      <c r="CJ40" s="648"/>
    </row>
    <row r="41" spans="1:74" ht="12.75">
      <c r="A41" s="649"/>
      <c r="B41" s="541">
        <v>2</v>
      </c>
      <c r="C41" s="72" t="s">
        <v>120</v>
      </c>
      <c r="D41" s="541" t="s">
        <v>601</v>
      </c>
      <c r="E41" s="564">
        <v>64</v>
      </c>
      <c r="F41" s="73"/>
      <c r="G41" s="73" t="str">
        <f t="shared" si="55"/>
        <v>042484L</v>
      </c>
      <c r="H41" s="46"/>
      <c r="I41" t="s">
        <v>128</v>
      </c>
      <c r="J41" t="s">
        <v>110</v>
      </c>
      <c r="K41" s="59" t="s">
        <v>134</v>
      </c>
      <c r="L41" s="97">
        <v>434</v>
      </c>
      <c r="M41" s="69">
        <f t="shared" si="80"/>
        <v>0</v>
      </c>
      <c r="N41" s="69">
        <f t="shared" si="80"/>
        <v>2197</v>
      </c>
      <c r="O41" s="69">
        <f t="shared" si="80"/>
        <v>0</v>
      </c>
      <c r="P41" s="69">
        <f t="shared" si="80"/>
        <v>0</v>
      </c>
      <c r="Q41" s="69">
        <f t="shared" si="80"/>
        <v>0</v>
      </c>
      <c r="R41" s="581">
        <f t="shared" si="1"/>
        <v>0</v>
      </c>
      <c r="S41" s="620">
        <v>0</v>
      </c>
      <c r="T41" s="620">
        <v>14.74</v>
      </c>
      <c r="U41" s="620">
        <v>0</v>
      </c>
      <c r="V41" s="620">
        <v>0</v>
      </c>
      <c r="W41" s="620">
        <v>0</v>
      </c>
      <c r="Y41" s="70">
        <f t="shared" si="59"/>
        <v>0</v>
      </c>
      <c r="Z41" s="70">
        <f t="shared" si="60"/>
        <v>32383.78</v>
      </c>
      <c r="AA41" s="70">
        <f t="shared" si="61"/>
        <v>0</v>
      </c>
      <c r="AB41" s="70">
        <f t="shared" si="62"/>
        <v>0</v>
      </c>
      <c r="AC41" s="70">
        <f t="shared" si="63"/>
        <v>0</v>
      </c>
      <c r="AE41" s="69">
        <f t="shared" si="64"/>
        <v>0</v>
      </c>
      <c r="AF41" s="69">
        <f>N41</f>
        <v>2197</v>
      </c>
      <c r="AG41" s="69">
        <f>O41</f>
        <v>0</v>
      </c>
      <c r="AH41" s="69">
        <f>P41</f>
        <v>0</v>
      </c>
      <c r="AI41" s="69">
        <f>Q41</f>
        <v>0</v>
      </c>
      <c r="AK41" s="436">
        <f t="shared" si="79"/>
        <v>0</v>
      </c>
      <c r="AL41" s="436">
        <f t="shared" si="82"/>
        <v>14.74</v>
      </c>
      <c r="AM41" s="436">
        <f t="shared" si="3"/>
        <v>0</v>
      </c>
      <c r="AN41" s="436">
        <f t="shared" si="4"/>
        <v>0</v>
      </c>
      <c r="AO41" s="436">
        <f t="shared" si="5"/>
        <v>0</v>
      </c>
      <c r="AQ41" s="70">
        <f t="shared" si="6"/>
        <v>0</v>
      </c>
      <c r="AR41" s="70">
        <f t="shared" si="7"/>
        <v>32383.78</v>
      </c>
      <c r="AS41" s="70">
        <f t="shared" si="8"/>
        <v>0</v>
      </c>
      <c r="AT41" s="70">
        <f t="shared" si="9"/>
        <v>0</v>
      </c>
      <c r="AU41" s="70">
        <f t="shared" si="10"/>
        <v>0</v>
      </c>
      <c r="AV41" s="70">
        <f>SUM(AQ41:AU41)-SUM(Y41:AC41)</f>
        <v>0</v>
      </c>
      <c r="AW41" s="448">
        <v>40</v>
      </c>
      <c r="AX41" s="583"/>
      <c r="AY41" s="583">
        <v>15.04</v>
      </c>
      <c r="AZ41" s="583"/>
      <c r="BA41" s="583"/>
      <c r="BB41" s="583"/>
      <c r="BC41" s="140"/>
      <c r="BD41" s="589">
        <f t="shared" si="66"/>
        <v>0.09000000000000008</v>
      </c>
      <c r="BE41" s="54"/>
      <c r="BF41" s="54">
        <f t="shared" si="78"/>
        <v>0.01</v>
      </c>
      <c r="BG41" s="54"/>
      <c r="BH41" s="54"/>
      <c r="BI41" s="54"/>
      <c r="BL41" s="279">
        <f t="shared" si="67"/>
        <v>0</v>
      </c>
      <c r="BM41" s="279">
        <f t="shared" si="68"/>
        <v>14.962573999999998</v>
      </c>
      <c r="BN41" s="279">
        <f t="shared" si="75"/>
        <v>0</v>
      </c>
      <c r="BO41" s="279">
        <f t="shared" si="76"/>
        <v>0</v>
      </c>
      <c r="BP41" s="279">
        <f t="shared" si="77"/>
        <v>0</v>
      </c>
      <c r="BR41" s="54">
        <f t="shared" si="70"/>
        <v>0</v>
      </c>
      <c r="BS41" s="54">
        <f t="shared" si="71"/>
        <v>-0.07742600000000088</v>
      </c>
      <c r="BT41" s="54">
        <f t="shared" si="72"/>
        <v>0</v>
      </c>
      <c r="BU41" s="54">
        <f t="shared" si="73"/>
        <v>0</v>
      </c>
      <c r="BV41" s="54">
        <f t="shared" si="74"/>
        <v>0</v>
      </c>
    </row>
    <row r="42" spans="2:89" ht="12.75">
      <c r="B42" s="35">
        <v>2</v>
      </c>
      <c r="C42" s="72" t="s">
        <v>120</v>
      </c>
      <c r="D42" s="35">
        <v>531</v>
      </c>
      <c r="E42" s="562">
        <v>0</v>
      </c>
      <c r="F42" s="73"/>
      <c r="G42" s="73" t="str">
        <f aca="true" t="shared" si="89" ref="G42:G69">IF(OR(ISBLANK(C42),ISBLANK(D42)),"",TEXT(C42,"000")&amp;TEXT(D42,"000"))</f>
        <v>042531</v>
      </c>
      <c r="H42" s="46"/>
      <c r="I42" s="435" t="s">
        <v>713</v>
      </c>
      <c r="J42" s="578" t="s">
        <v>110</v>
      </c>
      <c r="K42" s="580" t="s">
        <v>132</v>
      </c>
      <c r="L42" s="582" t="s">
        <v>595</v>
      </c>
      <c r="M42" s="581">
        <f t="shared" si="80"/>
        <v>0</v>
      </c>
      <c r="N42" s="581">
        <f t="shared" si="80"/>
        <v>1100</v>
      </c>
      <c r="O42" s="581">
        <f t="shared" si="80"/>
        <v>0</v>
      </c>
      <c r="P42" s="581">
        <f t="shared" si="80"/>
        <v>0</v>
      </c>
      <c r="Q42" s="581">
        <f t="shared" si="80"/>
        <v>0</v>
      </c>
      <c r="R42" s="581">
        <f t="shared" si="1"/>
        <v>0</v>
      </c>
      <c r="S42" s="620">
        <v>0</v>
      </c>
      <c r="T42" s="650">
        <f>T41</f>
        <v>14.74</v>
      </c>
      <c r="U42" s="620">
        <v>0</v>
      </c>
      <c r="V42" s="620"/>
      <c r="W42" s="620"/>
      <c r="X42" s="578"/>
      <c r="Y42" s="70">
        <f>IF(AND(M42&lt;&gt;0,S42=0),#VALUE!,M42*S42)</f>
        <v>0</v>
      </c>
      <c r="Z42" s="70">
        <f>IF(AND(N42&lt;&gt;0,T42=0),#VALUE!,N42*T42)</f>
        <v>16214</v>
      </c>
      <c r="AA42" s="70">
        <f>IF(AND(O42&lt;&gt;0,U42=0),#VALUE!,O42*U42)</f>
        <v>0</v>
      </c>
      <c r="AB42" s="70">
        <f>IF(AND(P42&lt;&gt;0,V42=0),#VALUE!,P42*V42)</f>
        <v>0</v>
      </c>
      <c r="AC42" s="70">
        <f>IF(AND(Q42&lt;&gt;0,W42=0),#VALUE!,Q42*W42)</f>
        <v>0</v>
      </c>
      <c r="AD42" s="578"/>
      <c r="AE42" s="581">
        <f>SUMIF($G:$G,TEXT(AE$3,"000")&amp;TEXT($L42,"000"),$E:$E)</f>
        <v>0</v>
      </c>
      <c r="AF42" s="581">
        <f>SUMIF($G:$G,TEXT(AF$3,"000")&amp;TEXT($L42,"000"),$E:$E)</f>
        <v>1100</v>
      </c>
      <c r="AG42" s="581">
        <f>SUMIF($G:$G,TEXT(AG$3,"000")&amp;TEXT($L42,"000"),$E:$E)</f>
        <v>0</v>
      </c>
      <c r="AH42" s="581">
        <f>SUMIF($G:$G,TEXT(AH$3,"000")&amp;TEXT($L42,"000"),$E:$E)</f>
        <v>0</v>
      </c>
      <c r="AI42" s="581">
        <f>SUMIF($G:$G,TEXT(AI$3,"000")&amp;TEXT($L42,"000"),$E:$E)</f>
        <v>0</v>
      </c>
      <c r="AJ42" s="578"/>
      <c r="AK42" s="586">
        <f t="shared" si="79"/>
        <v>0</v>
      </c>
      <c r="AL42" s="586">
        <f>AL41</f>
        <v>14.74</v>
      </c>
      <c r="AM42" s="586">
        <f t="shared" si="3"/>
        <v>0</v>
      </c>
      <c r="AN42" s="586">
        <f t="shared" si="4"/>
        <v>0</v>
      </c>
      <c r="AO42" s="586">
        <f t="shared" si="5"/>
        <v>0</v>
      </c>
      <c r="AP42" s="578"/>
      <c r="AQ42" s="70">
        <f t="shared" si="6"/>
        <v>0</v>
      </c>
      <c r="AR42" s="70">
        <f t="shared" si="7"/>
        <v>16214</v>
      </c>
      <c r="AS42" s="70">
        <f t="shared" si="8"/>
        <v>0</v>
      </c>
      <c r="AT42" s="70">
        <f t="shared" si="9"/>
        <v>0</v>
      </c>
      <c r="AU42" s="70">
        <f t="shared" si="10"/>
        <v>0</v>
      </c>
      <c r="AV42" s="578"/>
      <c r="AW42" s="593">
        <v>26</v>
      </c>
      <c r="AX42" s="583"/>
      <c r="AY42" s="583">
        <v>15.01</v>
      </c>
      <c r="AZ42" s="583"/>
      <c r="BA42" s="583"/>
      <c r="BB42" s="583"/>
      <c r="BC42" s="583"/>
      <c r="BD42" s="589">
        <f>ROUND(AW42*$BD$2,2)+ROUND(AW42*$BD$1,2)</f>
        <v>0.06</v>
      </c>
      <c r="BE42" s="579"/>
      <c r="BF42" s="579">
        <f t="shared" si="78"/>
        <v>0.01</v>
      </c>
      <c r="BG42" s="579"/>
      <c r="BH42" s="579"/>
      <c r="BI42" s="579"/>
      <c r="BJ42" s="578"/>
      <c r="BK42" s="578"/>
      <c r="BL42" s="587">
        <f t="shared" si="67"/>
        <v>0</v>
      </c>
      <c r="BM42" s="587">
        <f t="shared" si="68"/>
        <v>14.962573999999998</v>
      </c>
      <c r="BN42" s="587">
        <f>AM42*$BL$1</f>
        <v>0</v>
      </c>
      <c r="BO42" s="587">
        <f>AN42*$BL$1</f>
        <v>0</v>
      </c>
      <c r="BP42" s="587">
        <f>AO42*$BL$1</f>
        <v>0</v>
      </c>
      <c r="BQ42" s="578"/>
      <c r="BR42" s="579">
        <f>BL42-AX42</f>
        <v>0</v>
      </c>
      <c r="BS42" s="579">
        <f>BM42-AY42</f>
        <v>-0.04742600000000152</v>
      </c>
      <c r="BT42" s="579">
        <f>BN42-AZ42</f>
        <v>0</v>
      </c>
      <c r="BU42" s="579">
        <f>BO42-BA42</f>
        <v>0</v>
      </c>
      <c r="BV42" s="579">
        <f>BP42-BB42</f>
        <v>0</v>
      </c>
      <c r="BW42" s="578"/>
      <c r="BX42" s="578"/>
      <c r="BY42" s="578"/>
      <c r="BZ42" s="578"/>
      <c r="CA42" s="578"/>
      <c r="CK42" s="596"/>
    </row>
    <row r="43" spans="1:74" ht="12.75">
      <c r="A43" s="649"/>
      <c r="B43" s="541">
        <v>2</v>
      </c>
      <c r="C43" s="72" t="s">
        <v>120</v>
      </c>
      <c r="D43" s="541" t="s">
        <v>606</v>
      </c>
      <c r="E43" s="564">
        <v>0</v>
      </c>
      <c r="F43" s="73"/>
      <c r="G43" s="73" t="str">
        <f t="shared" si="89"/>
        <v>042531L</v>
      </c>
      <c r="H43" s="46"/>
      <c r="I43" t="s">
        <v>128</v>
      </c>
      <c r="J43" t="s">
        <v>846</v>
      </c>
      <c r="K43" s="59" t="s">
        <v>134</v>
      </c>
      <c r="L43" s="97">
        <v>435</v>
      </c>
      <c r="M43" s="69">
        <f t="shared" si="80"/>
        <v>0</v>
      </c>
      <c r="N43" s="69">
        <f t="shared" si="80"/>
        <v>795</v>
      </c>
      <c r="O43" s="69">
        <f t="shared" si="80"/>
        <v>17</v>
      </c>
      <c r="P43" s="69">
        <f t="shared" si="80"/>
        <v>0</v>
      </c>
      <c r="Q43" s="69">
        <f t="shared" si="80"/>
        <v>17</v>
      </c>
      <c r="R43" s="581">
        <f t="shared" si="1"/>
        <v>0</v>
      </c>
      <c r="S43" s="620">
        <v>0</v>
      </c>
      <c r="T43" s="620">
        <v>13.99</v>
      </c>
      <c r="U43" s="620">
        <v>7.5</v>
      </c>
      <c r="V43" s="620">
        <v>0</v>
      </c>
      <c r="W43" s="620">
        <v>5.01</v>
      </c>
      <c r="Y43" s="70">
        <f t="shared" si="59"/>
        <v>0</v>
      </c>
      <c r="Z43" s="70">
        <f t="shared" si="60"/>
        <v>11122.05</v>
      </c>
      <c r="AA43" s="70">
        <f t="shared" si="61"/>
        <v>127.5</v>
      </c>
      <c r="AB43" s="70">
        <f t="shared" si="62"/>
        <v>0</v>
      </c>
      <c r="AC43" s="70">
        <f t="shared" si="63"/>
        <v>85.17</v>
      </c>
      <c r="AE43" s="69">
        <f t="shared" si="64"/>
        <v>0</v>
      </c>
      <c r="AF43" s="69">
        <f>N43</f>
        <v>795</v>
      </c>
      <c r="AG43" s="69">
        <f>O43</f>
        <v>17</v>
      </c>
      <c r="AH43" s="69">
        <f>P43</f>
        <v>0</v>
      </c>
      <c r="AI43" s="69">
        <f>Q43</f>
        <v>17</v>
      </c>
      <c r="AK43" s="436">
        <f t="shared" si="79"/>
        <v>0</v>
      </c>
      <c r="AL43" s="436">
        <f t="shared" si="82"/>
        <v>13.99</v>
      </c>
      <c r="AM43" s="436">
        <f t="shared" si="3"/>
        <v>7.5</v>
      </c>
      <c r="AN43" s="436">
        <f t="shared" si="4"/>
        <v>0</v>
      </c>
      <c r="AO43" s="436">
        <f t="shared" si="5"/>
        <v>5.01</v>
      </c>
      <c r="AQ43" s="70">
        <f t="shared" si="6"/>
        <v>0</v>
      </c>
      <c r="AR43" s="70">
        <f t="shared" si="7"/>
        <v>11122.05</v>
      </c>
      <c r="AS43" s="70">
        <f t="shared" si="8"/>
        <v>127.5</v>
      </c>
      <c r="AT43" s="70">
        <f t="shared" si="9"/>
        <v>0</v>
      </c>
      <c r="AU43" s="70">
        <f t="shared" si="10"/>
        <v>85.17</v>
      </c>
      <c r="AV43" s="70">
        <f>SUM(AQ43:AU43)-SUM(Y43:AC43)</f>
        <v>0</v>
      </c>
      <c r="AW43" s="448">
        <v>40</v>
      </c>
      <c r="AX43" s="583"/>
      <c r="AY43" s="583">
        <v>14.28</v>
      </c>
      <c r="AZ43" s="583">
        <v>7.69</v>
      </c>
      <c r="BA43" s="583"/>
      <c r="BB43" s="583">
        <v>5.17</v>
      </c>
      <c r="BC43" s="140"/>
      <c r="BD43" s="589">
        <f t="shared" si="66"/>
        <v>0.09000000000000008</v>
      </c>
      <c r="BE43" s="54"/>
      <c r="BF43" s="54">
        <f t="shared" si="78"/>
        <v>0.01</v>
      </c>
      <c r="BG43" s="54">
        <f>ROUND((U43*$BE$2)+$BD43-AZ43,2)</f>
        <v>0.01</v>
      </c>
      <c r="BH43" s="54"/>
      <c r="BI43" s="54">
        <f>ROUND((W43*$BE$2)+$BD43-BB43,2)</f>
        <v>0.01</v>
      </c>
      <c r="BL43" s="279">
        <f t="shared" si="67"/>
        <v>0</v>
      </c>
      <c r="BM43" s="279">
        <f t="shared" si="68"/>
        <v>14.201248999999999</v>
      </c>
      <c r="BN43" s="279">
        <f t="shared" si="75"/>
        <v>7.613249999999999</v>
      </c>
      <c r="BO43" s="279">
        <f t="shared" si="76"/>
        <v>0</v>
      </c>
      <c r="BP43" s="279">
        <f t="shared" si="77"/>
        <v>5.0856509999999995</v>
      </c>
      <c r="BR43" s="54">
        <f t="shared" si="70"/>
        <v>0</v>
      </c>
      <c r="BS43" s="54">
        <f t="shared" si="71"/>
        <v>-0.07875100000000046</v>
      </c>
      <c r="BT43" s="54">
        <f t="shared" si="72"/>
        <v>-0.07675000000000143</v>
      </c>
      <c r="BU43" s="54">
        <f t="shared" si="73"/>
        <v>0</v>
      </c>
      <c r="BV43" s="54">
        <f t="shared" si="74"/>
        <v>-0.08434900000000045</v>
      </c>
    </row>
    <row r="44" spans="1:79" ht="12.75">
      <c r="A44" s="613"/>
      <c r="B44" s="541">
        <v>2</v>
      </c>
      <c r="C44" s="72" t="s">
        <v>120</v>
      </c>
      <c r="D44" s="541" t="s">
        <v>710</v>
      </c>
      <c r="E44" s="564">
        <v>0</v>
      </c>
      <c r="F44" s="73"/>
      <c r="G44" s="73" t="str">
        <f t="shared" si="89"/>
        <v>042531T</v>
      </c>
      <c r="H44" s="46"/>
      <c r="I44" s="435" t="s">
        <v>713</v>
      </c>
      <c r="J44" s="694" t="s">
        <v>846</v>
      </c>
      <c r="K44" s="580" t="s">
        <v>132</v>
      </c>
      <c r="L44" s="582" t="s">
        <v>596</v>
      </c>
      <c r="M44" s="581">
        <f aca="true" t="shared" si="90" ref="M44:Q53">SUMIF($G:$G,TEXT(M$3,"000")&amp;TEXT($L44,"000"),$E:$E)</f>
        <v>0</v>
      </c>
      <c r="N44" s="581">
        <f t="shared" si="90"/>
        <v>7904</v>
      </c>
      <c r="O44" s="581">
        <f t="shared" si="90"/>
        <v>0</v>
      </c>
      <c r="P44" s="581">
        <f t="shared" si="90"/>
        <v>0</v>
      </c>
      <c r="Q44" s="581">
        <f t="shared" si="90"/>
        <v>0</v>
      </c>
      <c r="R44" s="581">
        <f t="shared" si="1"/>
        <v>0</v>
      </c>
      <c r="S44" s="620">
        <v>0</v>
      </c>
      <c r="T44" s="650">
        <f>T43</f>
        <v>13.99</v>
      </c>
      <c r="U44" s="620">
        <v>0</v>
      </c>
      <c r="V44" s="620"/>
      <c r="W44" s="620"/>
      <c r="X44" s="578"/>
      <c r="Y44" s="70">
        <f aca="true" t="shared" si="91" ref="Y44:AC45">IF(AND(M44&lt;&gt;0,S44=0),#VALUE!,M44*S44)</f>
        <v>0</v>
      </c>
      <c r="Z44" s="70">
        <f t="shared" si="91"/>
        <v>110576.96</v>
      </c>
      <c r="AA44" s="70">
        <f t="shared" si="91"/>
        <v>0</v>
      </c>
      <c r="AB44" s="70">
        <f t="shared" si="91"/>
        <v>0</v>
      </c>
      <c r="AC44" s="70">
        <f t="shared" si="91"/>
        <v>0</v>
      </c>
      <c r="AD44" s="578"/>
      <c r="AE44" s="581">
        <f>SUMIF($G:$G,TEXT(AE$3,"000")&amp;TEXT($L44,"000"),$E:$E)</f>
        <v>0</v>
      </c>
      <c r="AF44" s="581">
        <f>SUMIF($G:$G,TEXT(AF$3,"000")&amp;TEXT($L44,"000"),$E:$E)</f>
        <v>7904</v>
      </c>
      <c r="AG44" s="581">
        <f>SUMIF($G:$G,TEXT(AG$3,"000")&amp;TEXT($L44,"000"),$E:$E)</f>
        <v>0</v>
      </c>
      <c r="AH44" s="581">
        <f>SUMIF($G:$G,TEXT(AH$3,"000")&amp;TEXT($L44,"000"),$E:$E)</f>
        <v>0</v>
      </c>
      <c r="AI44" s="581">
        <f>SUMIF($G:$G,TEXT(AI$3,"000")&amp;TEXT($L44,"000"),$E:$E)</f>
        <v>0</v>
      </c>
      <c r="AJ44" s="578"/>
      <c r="AK44" s="586">
        <f t="shared" si="79"/>
        <v>0</v>
      </c>
      <c r="AL44" s="586">
        <f>AL43</f>
        <v>13.99</v>
      </c>
      <c r="AM44" s="586">
        <f t="shared" si="3"/>
        <v>0</v>
      </c>
      <c r="AN44" s="586">
        <f t="shared" si="4"/>
        <v>0</v>
      </c>
      <c r="AO44" s="586">
        <f t="shared" si="5"/>
        <v>0</v>
      </c>
      <c r="AP44" s="578"/>
      <c r="AQ44" s="70">
        <f t="shared" si="6"/>
        <v>0</v>
      </c>
      <c r="AR44" s="70">
        <f t="shared" si="7"/>
        <v>110576.96</v>
      </c>
      <c r="AS44" s="70">
        <f t="shared" si="8"/>
        <v>0</v>
      </c>
      <c r="AT44" s="70">
        <f t="shared" si="9"/>
        <v>0</v>
      </c>
      <c r="AU44" s="70">
        <f t="shared" si="10"/>
        <v>0</v>
      </c>
      <c r="AV44" s="578"/>
      <c r="AW44" s="593">
        <v>26</v>
      </c>
      <c r="AX44" s="583"/>
      <c r="AY44" s="583">
        <v>14.25</v>
      </c>
      <c r="AZ44" s="583"/>
      <c r="BA44" s="583"/>
      <c r="BB44" s="583"/>
      <c r="BC44" s="583"/>
      <c r="BD44" s="589">
        <f>ROUND(AW44*$BD$2,2)+ROUND(AW44*$BD$1,2)</f>
        <v>0.06</v>
      </c>
      <c r="BE44" s="579"/>
      <c r="BF44" s="579">
        <f t="shared" si="78"/>
        <v>0.01</v>
      </c>
      <c r="BG44" s="579"/>
      <c r="BH44" s="579"/>
      <c r="BI44" s="579"/>
      <c r="BJ44" s="578"/>
      <c r="BK44" s="578"/>
      <c r="BL44" s="587">
        <f t="shared" si="67"/>
        <v>0</v>
      </c>
      <c r="BM44" s="587">
        <f t="shared" si="68"/>
        <v>14.201248999999999</v>
      </c>
      <c r="BN44" s="587">
        <f aca="true" t="shared" si="92" ref="BN44:BP45">AM44*$BL$1</f>
        <v>0</v>
      </c>
      <c r="BO44" s="587">
        <f t="shared" si="92"/>
        <v>0</v>
      </c>
      <c r="BP44" s="587">
        <f t="shared" si="92"/>
        <v>0</v>
      </c>
      <c r="BQ44" s="578"/>
      <c r="BR44" s="579">
        <f aca="true" t="shared" si="93" ref="BR44:BV45">BL44-AX44</f>
        <v>0</v>
      </c>
      <c r="BS44" s="579">
        <f t="shared" si="93"/>
        <v>-0.0487510000000011</v>
      </c>
      <c r="BT44" s="579">
        <f t="shared" si="93"/>
        <v>0</v>
      </c>
      <c r="BU44" s="579">
        <f t="shared" si="93"/>
        <v>0</v>
      </c>
      <c r="BV44" s="579">
        <f t="shared" si="93"/>
        <v>0</v>
      </c>
      <c r="BW44" s="578"/>
      <c r="BX44" s="578"/>
      <c r="BY44" s="578"/>
      <c r="BZ44" s="578"/>
      <c r="CA44" s="578"/>
    </row>
    <row r="45" spans="2:85" ht="12.75">
      <c r="B45" s="35">
        <v>2</v>
      </c>
      <c r="C45" s="72" t="s">
        <v>120</v>
      </c>
      <c r="D45" s="35">
        <v>532</v>
      </c>
      <c r="E45" s="562">
        <v>109</v>
      </c>
      <c r="F45" s="73"/>
      <c r="G45" s="73" t="str">
        <f t="shared" si="89"/>
        <v>042532</v>
      </c>
      <c r="H45" s="46"/>
      <c r="I45" s="648" t="s">
        <v>713</v>
      </c>
      <c r="J45" s="694" t="s">
        <v>846</v>
      </c>
      <c r="K45" s="580" t="s">
        <v>132</v>
      </c>
      <c r="L45" s="582" t="s">
        <v>708</v>
      </c>
      <c r="M45" s="581">
        <f t="shared" si="90"/>
        <v>0</v>
      </c>
      <c r="N45" s="581">
        <f t="shared" si="90"/>
        <v>3703</v>
      </c>
      <c r="O45" s="581">
        <f t="shared" si="90"/>
        <v>0</v>
      </c>
      <c r="P45" s="581">
        <f t="shared" si="90"/>
        <v>0</v>
      </c>
      <c r="Q45" s="581">
        <f t="shared" si="90"/>
        <v>0</v>
      </c>
      <c r="R45" s="581">
        <f t="shared" si="1"/>
        <v>0</v>
      </c>
      <c r="S45" s="620">
        <v>0</v>
      </c>
      <c r="T45" s="650">
        <f>T43-T101</f>
        <v>8.76</v>
      </c>
      <c r="U45" s="620"/>
      <c r="V45" s="620">
        <v>0</v>
      </c>
      <c r="W45" s="620"/>
      <c r="X45" s="648"/>
      <c r="Y45" s="70">
        <f t="shared" si="91"/>
        <v>0</v>
      </c>
      <c r="Z45" s="70">
        <f t="shared" si="91"/>
        <v>32438.28</v>
      </c>
      <c r="AA45" s="70">
        <f t="shared" si="91"/>
        <v>0</v>
      </c>
      <c r="AB45" s="70">
        <f t="shared" si="91"/>
        <v>0</v>
      </c>
      <c r="AC45" s="70">
        <f t="shared" si="91"/>
        <v>0</v>
      </c>
      <c r="AD45" s="648"/>
      <c r="AE45" s="581">
        <f>M45</f>
        <v>0</v>
      </c>
      <c r="AF45" s="581">
        <f>N45</f>
        <v>3703</v>
      </c>
      <c r="AG45" s="581">
        <f>O45</f>
        <v>0</v>
      </c>
      <c r="AH45" s="581">
        <f>P45</f>
        <v>0</v>
      </c>
      <c r="AI45" s="581">
        <f>Q45</f>
        <v>0</v>
      </c>
      <c r="AJ45" s="648"/>
      <c r="AK45" s="586">
        <f t="shared" si="79"/>
        <v>0</v>
      </c>
      <c r="AL45" s="586">
        <f>AL44-AL101</f>
        <v>8.76</v>
      </c>
      <c r="AM45" s="586">
        <f t="shared" si="3"/>
        <v>0</v>
      </c>
      <c r="AN45" s="586">
        <f t="shared" si="4"/>
        <v>0</v>
      </c>
      <c r="AO45" s="586">
        <f t="shared" si="5"/>
        <v>0</v>
      </c>
      <c r="AP45" s="648"/>
      <c r="AQ45" s="70">
        <f t="shared" si="6"/>
        <v>0</v>
      </c>
      <c r="AR45" s="70">
        <f t="shared" si="7"/>
        <v>32438.28</v>
      </c>
      <c r="AS45" s="70">
        <f t="shared" si="8"/>
        <v>0</v>
      </c>
      <c r="AT45" s="70">
        <f t="shared" si="9"/>
        <v>0</v>
      </c>
      <c r="AU45" s="70">
        <f t="shared" si="10"/>
        <v>0</v>
      </c>
      <c r="AV45" s="70">
        <f>SUM(AQ45:AU45)-SUM(Y45:AC45)</f>
        <v>0</v>
      </c>
      <c r="AW45" s="593">
        <v>26</v>
      </c>
      <c r="AX45" s="583"/>
      <c r="AY45" s="583">
        <v>8.94</v>
      </c>
      <c r="AZ45" s="583"/>
      <c r="BA45" s="583"/>
      <c r="BB45" s="583"/>
      <c r="BC45" s="583"/>
      <c r="BD45" s="589">
        <f>ROUND(AW45*$BD$2,2)+ROUND(AW45*$BD$1,2)</f>
        <v>0.06</v>
      </c>
      <c r="BE45" s="579"/>
      <c r="BF45" s="579">
        <f t="shared" si="78"/>
        <v>0.01</v>
      </c>
      <c r="BG45" s="579"/>
      <c r="BH45" s="579"/>
      <c r="BI45" s="579"/>
      <c r="BJ45" s="648"/>
      <c r="BK45" s="648"/>
      <c r="BL45" s="587">
        <f t="shared" si="67"/>
        <v>0</v>
      </c>
      <c r="BM45" s="587">
        <f t="shared" si="68"/>
        <v>8.892275999999999</v>
      </c>
      <c r="BN45" s="587">
        <f t="shared" si="92"/>
        <v>0</v>
      </c>
      <c r="BO45" s="587">
        <f t="shared" si="92"/>
        <v>0</v>
      </c>
      <c r="BP45" s="587">
        <f t="shared" si="92"/>
        <v>0</v>
      </c>
      <c r="BQ45" s="648"/>
      <c r="BR45" s="579">
        <f t="shared" si="93"/>
        <v>0</v>
      </c>
      <c r="BS45" s="579">
        <f t="shared" si="93"/>
        <v>-0.047724000000000544</v>
      </c>
      <c r="BT45" s="579">
        <f t="shared" si="93"/>
        <v>0</v>
      </c>
      <c r="BU45" s="579">
        <f t="shared" si="93"/>
        <v>0</v>
      </c>
      <c r="BV45" s="579">
        <f t="shared" si="93"/>
        <v>0</v>
      </c>
      <c r="BW45" s="648"/>
      <c r="BX45" s="648"/>
      <c r="BY45" s="648"/>
      <c r="BZ45" s="648"/>
      <c r="CA45" s="648"/>
      <c r="CB45" s="648"/>
      <c r="CC45" s="648"/>
      <c r="CD45" s="648"/>
      <c r="CE45" s="648"/>
      <c r="CF45" s="648"/>
      <c r="CG45" s="648"/>
    </row>
    <row r="46" spans="1:74" ht="12.75">
      <c r="A46" s="649"/>
      <c r="B46" s="541">
        <v>2</v>
      </c>
      <c r="C46" s="72" t="s">
        <v>120</v>
      </c>
      <c r="D46" s="541" t="s">
        <v>607</v>
      </c>
      <c r="E46" s="564">
        <v>705</v>
      </c>
      <c r="F46" s="73"/>
      <c r="G46" s="73" t="str">
        <f t="shared" si="89"/>
        <v>042532L</v>
      </c>
      <c r="H46" s="46"/>
      <c r="I46" t="s">
        <v>128</v>
      </c>
      <c r="J46" t="s">
        <v>136</v>
      </c>
      <c r="K46" s="59" t="s">
        <v>134</v>
      </c>
      <c r="L46" s="97">
        <v>436</v>
      </c>
      <c r="M46" s="69">
        <f t="shared" si="90"/>
        <v>0</v>
      </c>
      <c r="N46" s="69">
        <f t="shared" si="90"/>
        <v>22</v>
      </c>
      <c r="O46" s="69">
        <f t="shared" si="90"/>
        <v>0</v>
      </c>
      <c r="P46" s="69">
        <f t="shared" si="90"/>
        <v>0</v>
      </c>
      <c r="Q46" s="69">
        <f t="shared" si="90"/>
        <v>0</v>
      </c>
      <c r="R46" s="581">
        <f t="shared" si="1"/>
        <v>0</v>
      </c>
      <c r="S46" s="620">
        <v>0</v>
      </c>
      <c r="T46" s="620">
        <v>15.86</v>
      </c>
      <c r="U46" s="620">
        <v>0</v>
      </c>
      <c r="V46" s="620">
        <v>0</v>
      </c>
      <c r="W46" s="620">
        <v>0</v>
      </c>
      <c r="Y46" s="70">
        <f t="shared" si="59"/>
        <v>0</v>
      </c>
      <c r="Z46" s="70">
        <f t="shared" si="60"/>
        <v>348.91999999999996</v>
      </c>
      <c r="AA46" s="70">
        <f t="shared" si="61"/>
        <v>0</v>
      </c>
      <c r="AB46" s="70">
        <f t="shared" si="62"/>
        <v>0</v>
      </c>
      <c r="AC46" s="70">
        <f t="shared" si="63"/>
        <v>0</v>
      </c>
      <c r="AE46" s="69">
        <f t="shared" si="64"/>
        <v>0</v>
      </c>
      <c r="AF46" s="69">
        <f>N46</f>
        <v>22</v>
      </c>
      <c r="AG46" s="69">
        <f>O46</f>
        <v>0</v>
      </c>
      <c r="AH46" s="69">
        <f>P46</f>
        <v>0</v>
      </c>
      <c r="AI46" s="69">
        <f>Q46</f>
        <v>0</v>
      </c>
      <c r="AK46" s="436">
        <f t="shared" si="79"/>
        <v>0</v>
      </c>
      <c r="AL46" s="586">
        <f t="shared" si="79"/>
        <v>15.86</v>
      </c>
      <c r="AM46" s="436">
        <f t="shared" si="3"/>
        <v>0</v>
      </c>
      <c r="AN46" s="436">
        <f t="shared" si="4"/>
        <v>0</v>
      </c>
      <c r="AO46" s="436">
        <f t="shared" si="5"/>
        <v>0</v>
      </c>
      <c r="AQ46" s="70">
        <f t="shared" si="6"/>
        <v>0</v>
      </c>
      <c r="AR46" s="70">
        <f t="shared" si="7"/>
        <v>348.91999999999996</v>
      </c>
      <c r="AS46" s="70">
        <f t="shared" si="8"/>
        <v>0</v>
      </c>
      <c r="AT46" s="70">
        <f t="shared" si="9"/>
        <v>0</v>
      </c>
      <c r="AU46" s="70">
        <f t="shared" si="10"/>
        <v>0</v>
      </c>
      <c r="AV46" s="70">
        <f>SUM(AQ46:AU46)-SUM(Y46:AC46)</f>
        <v>0</v>
      </c>
      <c r="AW46" s="448">
        <v>40</v>
      </c>
      <c r="AX46" s="583"/>
      <c r="AY46" s="583">
        <v>16.18</v>
      </c>
      <c r="AZ46" s="583"/>
      <c r="BA46" s="583"/>
      <c r="BB46" s="583"/>
      <c r="BC46" s="140"/>
      <c r="BD46" s="589">
        <f t="shared" si="66"/>
        <v>0.09000000000000008</v>
      </c>
      <c r="BE46" s="54"/>
      <c r="BF46" s="54">
        <f t="shared" si="78"/>
        <v>0.01</v>
      </c>
      <c r="BG46" s="54"/>
      <c r="BH46" s="54"/>
      <c r="BI46" s="54"/>
      <c r="BL46" s="279">
        <f t="shared" si="67"/>
        <v>0</v>
      </c>
      <c r="BM46" s="279">
        <f t="shared" si="68"/>
        <v>16.099486</v>
      </c>
      <c r="BN46" s="279">
        <f t="shared" si="75"/>
        <v>0</v>
      </c>
      <c r="BO46" s="279">
        <f t="shared" si="76"/>
        <v>0</v>
      </c>
      <c r="BP46" s="279">
        <f t="shared" si="77"/>
        <v>0</v>
      </c>
      <c r="BR46" s="54">
        <f t="shared" si="70"/>
        <v>0</v>
      </c>
      <c r="BS46" s="54">
        <f t="shared" si="71"/>
        <v>-0.08051400000000086</v>
      </c>
      <c r="BT46" s="54">
        <f t="shared" si="72"/>
        <v>0</v>
      </c>
      <c r="BU46" s="54">
        <f t="shared" si="73"/>
        <v>0</v>
      </c>
      <c r="BV46" s="54">
        <f t="shared" si="74"/>
        <v>0</v>
      </c>
    </row>
    <row r="47" spans="1:105" ht="12.75">
      <c r="A47" s="613"/>
      <c r="B47" s="541">
        <v>2</v>
      </c>
      <c r="C47" s="72" t="s">
        <v>120</v>
      </c>
      <c r="D47" s="541" t="s">
        <v>711</v>
      </c>
      <c r="E47" s="564">
        <v>152</v>
      </c>
      <c r="F47" s="73"/>
      <c r="G47" s="73" t="str">
        <f t="shared" si="89"/>
        <v>042532T</v>
      </c>
      <c r="H47" s="46"/>
      <c r="I47" s="435" t="s">
        <v>713</v>
      </c>
      <c r="J47" s="578" t="s">
        <v>136</v>
      </c>
      <c r="K47" s="580" t="s">
        <v>132</v>
      </c>
      <c r="L47" s="582" t="s">
        <v>597</v>
      </c>
      <c r="M47" s="581">
        <f t="shared" si="90"/>
        <v>0</v>
      </c>
      <c r="N47" s="581">
        <f t="shared" si="90"/>
        <v>80</v>
      </c>
      <c r="O47" s="581">
        <f t="shared" si="90"/>
        <v>0</v>
      </c>
      <c r="P47" s="581">
        <f t="shared" si="90"/>
        <v>0</v>
      </c>
      <c r="Q47" s="581">
        <f t="shared" si="90"/>
        <v>0</v>
      </c>
      <c r="R47" s="581">
        <f t="shared" si="1"/>
        <v>0</v>
      </c>
      <c r="S47" s="620">
        <v>0</v>
      </c>
      <c r="T47" s="650">
        <f>T46</f>
        <v>15.86</v>
      </c>
      <c r="U47" s="620">
        <v>0</v>
      </c>
      <c r="V47" s="620"/>
      <c r="W47" s="620"/>
      <c r="X47" s="578"/>
      <c r="Y47" s="70">
        <f aca="true" t="shared" si="94" ref="Y47:AC48">IF(AND(M47&lt;&gt;0,S47=0),#VALUE!,M47*S47)</f>
        <v>0</v>
      </c>
      <c r="Z47" s="70">
        <f t="shared" si="94"/>
        <v>1268.8</v>
      </c>
      <c r="AA47" s="70">
        <f t="shared" si="94"/>
        <v>0</v>
      </c>
      <c r="AB47" s="70">
        <f t="shared" si="94"/>
        <v>0</v>
      </c>
      <c r="AC47" s="70">
        <f t="shared" si="94"/>
        <v>0</v>
      </c>
      <c r="AD47" s="578"/>
      <c r="AE47" s="581">
        <f>SUMIF($G:$G,TEXT(AE$3,"000")&amp;TEXT($L47,"000"),$E:$E)</f>
        <v>0</v>
      </c>
      <c r="AF47" s="581">
        <f>SUMIF($G:$G,TEXT(AF$3,"000")&amp;TEXT($L47,"000"),$E:$E)</f>
        <v>80</v>
      </c>
      <c r="AG47" s="581">
        <f>SUMIF($G:$G,TEXT(AG$3,"000")&amp;TEXT($L47,"000"),$E:$E)</f>
        <v>0</v>
      </c>
      <c r="AH47" s="581">
        <f>SUMIF($G:$G,TEXT(AH$3,"000")&amp;TEXT($L47,"000"),$E:$E)</f>
        <v>0</v>
      </c>
      <c r="AI47" s="581">
        <f>SUMIF($G:$G,TEXT(AI$3,"000")&amp;TEXT($L47,"000"),$E:$E)</f>
        <v>0</v>
      </c>
      <c r="AJ47" s="578"/>
      <c r="AK47" s="586">
        <f t="shared" si="79"/>
        <v>0</v>
      </c>
      <c r="AL47" s="586">
        <f>AL46</f>
        <v>15.86</v>
      </c>
      <c r="AM47" s="586">
        <f t="shared" si="3"/>
        <v>0</v>
      </c>
      <c r="AN47" s="586">
        <f t="shared" si="4"/>
        <v>0</v>
      </c>
      <c r="AO47" s="586">
        <f t="shared" si="5"/>
        <v>0</v>
      </c>
      <c r="AP47" s="578"/>
      <c r="AQ47" s="70">
        <f t="shared" si="6"/>
        <v>0</v>
      </c>
      <c r="AR47" s="70">
        <f t="shared" si="7"/>
        <v>1268.8</v>
      </c>
      <c r="AS47" s="70">
        <f t="shared" si="8"/>
        <v>0</v>
      </c>
      <c r="AT47" s="70">
        <f t="shared" si="9"/>
        <v>0</v>
      </c>
      <c r="AU47" s="70">
        <f t="shared" si="10"/>
        <v>0</v>
      </c>
      <c r="AV47" s="578"/>
      <c r="AW47" s="593">
        <v>26</v>
      </c>
      <c r="AX47" s="583"/>
      <c r="AY47" s="583">
        <v>16.15</v>
      </c>
      <c r="AZ47" s="583"/>
      <c r="BA47" s="583"/>
      <c r="BB47" s="583"/>
      <c r="BC47" s="583"/>
      <c r="BD47" s="589">
        <f>ROUND(AW47*$BD$2,2)+ROUND(AW47*$BD$1,2)</f>
        <v>0.06</v>
      </c>
      <c r="BE47" s="579"/>
      <c r="BF47" s="579">
        <f t="shared" si="78"/>
        <v>0.01</v>
      </c>
      <c r="BG47" s="579"/>
      <c r="BH47" s="579"/>
      <c r="BI47" s="579"/>
      <c r="BJ47" s="578"/>
      <c r="BK47" s="578"/>
      <c r="BL47" s="587">
        <f t="shared" si="67"/>
        <v>0</v>
      </c>
      <c r="BM47" s="587">
        <f t="shared" si="68"/>
        <v>16.099486</v>
      </c>
      <c r="BN47" s="587">
        <f aca="true" t="shared" si="95" ref="BN47:BP48">AM47*$BL$1</f>
        <v>0</v>
      </c>
      <c r="BO47" s="587">
        <f t="shared" si="95"/>
        <v>0</v>
      </c>
      <c r="BP47" s="587">
        <f t="shared" si="95"/>
        <v>0</v>
      </c>
      <c r="BQ47" s="578"/>
      <c r="BR47" s="579">
        <f aca="true" t="shared" si="96" ref="BR47:BV48">BL47-AX47</f>
        <v>0</v>
      </c>
      <c r="BS47" s="579">
        <f t="shared" si="96"/>
        <v>-0.050513999999999726</v>
      </c>
      <c r="BT47" s="579">
        <f t="shared" si="96"/>
        <v>0</v>
      </c>
      <c r="BU47" s="579">
        <f t="shared" si="96"/>
        <v>0</v>
      </c>
      <c r="BV47" s="579">
        <f t="shared" si="96"/>
        <v>0</v>
      </c>
      <c r="BW47" s="578"/>
      <c r="BX47" s="578"/>
      <c r="BY47" s="578"/>
      <c r="BZ47" s="578"/>
      <c r="CA47" s="578"/>
      <c r="CJ47" s="596"/>
      <c r="CW47" s="649"/>
      <c r="CX47" s="649"/>
      <c r="CY47" s="649"/>
      <c r="CZ47" s="649"/>
      <c r="DA47" s="649"/>
    </row>
    <row r="48" spans="2:87" ht="12.75">
      <c r="B48" s="35">
        <v>2</v>
      </c>
      <c r="C48" s="72" t="s">
        <v>120</v>
      </c>
      <c r="D48" s="35">
        <v>533</v>
      </c>
      <c r="E48" s="562">
        <v>21</v>
      </c>
      <c r="F48" s="73"/>
      <c r="G48" s="73" t="str">
        <f t="shared" si="89"/>
        <v>042533</v>
      </c>
      <c r="H48" s="46"/>
      <c r="I48" s="648" t="s">
        <v>713</v>
      </c>
      <c r="J48" s="648" t="s">
        <v>136</v>
      </c>
      <c r="K48" s="580" t="s">
        <v>132</v>
      </c>
      <c r="L48" s="582" t="s">
        <v>709</v>
      </c>
      <c r="M48" s="581">
        <f t="shared" si="90"/>
        <v>0</v>
      </c>
      <c r="N48" s="581">
        <f t="shared" si="90"/>
        <v>271</v>
      </c>
      <c r="O48" s="581">
        <f t="shared" si="90"/>
        <v>0</v>
      </c>
      <c r="P48" s="581">
        <f t="shared" si="90"/>
        <v>0</v>
      </c>
      <c r="Q48" s="581">
        <f t="shared" si="90"/>
        <v>0</v>
      </c>
      <c r="R48" s="581">
        <f t="shared" si="1"/>
        <v>0</v>
      </c>
      <c r="S48" s="620">
        <v>0</v>
      </c>
      <c r="T48" s="650">
        <f>T46-T101</f>
        <v>10.629999999999999</v>
      </c>
      <c r="U48" s="620">
        <v>0</v>
      </c>
      <c r="V48" s="620">
        <v>0</v>
      </c>
      <c r="W48" s="620">
        <v>0</v>
      </c>
      <c r="X48" s="648"/>
      <c r="Y48" s="70">
        <f t="shared" si="94"/>
        <v>0</v>
      </c>
      <c r="Z48" s="70">
        <f t="shared" si="94"/>
        <v>2880.7299999999996</v>
      </c>
      <c r="AA48" s="70">
        <f t="shared" si="94"/>
        <v>0</v>
      </c>
      <c r="AB48" s="70">
        <f t="shared" si="94"/>
        <v>0</v>
      </c>
      <c r="AC48" s="70">
        <f t="shared" si="94"/>
        <v>0</v>
      </c>
      <c r="AD48" s="648"/>
      <c r="AE48" s="581">
        <f>M48</f>
        <v>0</v>
      </c>
      <c r="AF48" s="581">
        <f>N48</f>
        <v>271</v>
      </c>
      <c r="AG48" s="581">
        <f>O48</f>
        <v>0</v>
      </c>
      <c r="AH48" s="581">
        <f>P48</f>
        <v>0</v>
      </c>
      <c r="AI48" s="581">
        <f>Q48</f>
        <v>0</v>
      </c>
      <c r="AJ48" s="648"/>
      <c r="AK48" s="586">
        <f t="shared" si="79"/>
        <v>0</v>
      </c>
      <c r="AL48" s="586">
        <f>AL47-AL101</f>
        <v>10.629999999999999</v>
      </c>
      <c r="AM48" s="586">
        <f t="shared" si="3"/>
        <v>0</v>
      </c>
      <c r="AN48" s="586">
        <f t="shared" si="4"/>
        <v>0</v>
      </c>
      <c r="AO48" s="586">
        <f t="shared" si="5"/>
        <v>0</v>
      </c>
      <c r="AP48" s="648"/>
      <c r="AQ48" s="70">
        <f t="shared" si="6"/>
        <v>0</v>
      </c>
      <c r="AR48" s="70">
        <f t="shared" si="7"/>
        <v>2880.7299999999996</v>
      </c>
      <c r="AS48" s="70">
        <f t="shared" si="8"/>
        <v>0</v>
      </c>
      <c r="AT48" s="70">
        <f t="shared" si="9"/>
        <v>0</v>
      </c>
      <c r="AU48" s="70">
        <f t="shared" si="10"/>
        <v>0</v>
      </c>
      <c r="AV48" s="70">
        <f>SUM(AQ48:AU48)-SUM(Y48:AC48)</f>
        <v>0</v>
      </c>
      <c r="AW48" s="593">
        <v>26</v>
      </c>
      <c r="AX48" s="583"/>
      <c r="AY48" s="583">
        <v>10.84</v>
      </c>
      <c r="AZ48" s="583"/>
      <c r="BA48" s="583"/>
      <c r="BB48" s="583"/>
      <c r="BC48" s="583"/>
      <c r="BD48" s="589">
        <f>ROUND(AW48*$BD$2,2)+ROUND(AW48*$BD$1,2)</f>
        <v>0.06</v>
      </c>
      <c r="BE48" s="579"/>
      <c r="BF48" s="579">
        <f t="shared" si="78"/>
        <v>0.01</v>
      </c>
      <c r="BG48" s="579"/>
      <c r="BH48" s="579"/>
      <c r="BI48" s="579"/>
      <c r="BJ48" s="648"/>
      <c r="BK48" s="648"/>
      <c r="BL48" s="587">
        <f t="shared" si="67"/>
        <v>0</v>
      </c>
      <c r="BM48" s="587">
        <f t="shared" si="68"/>
        <v>10.790512999999997</v>
      </c>
      <c r="BN48" s="587">
        <f t="shared" si="95"/>
        <v>0</v>
      </c>
      <c r="BO48" s="587">
        <f t="shared" si="95"/>
        <v>0</v>
      </c>
      <c r="BP48" s="587">
        <f t="shared" si="95"/>
        <v>0</v>
      </c>
      <c r="BQ48" s="648"/>
      <c r="BR48" s="579">
        <f t="shared" si="96"/>
        <v>0</v>
      </c>
      <c r="BS48" s="579">
        <f t="shared" si="96"/>
        <v>-0.04948700000000272</v>
      </c>
      <c r="BT48" s="579">
        <f t="shared" si="96"/>
        <v>0</v>
      </c>
      <c r="BU48" s="579">
        <f t="shared" si="96"/>
        <v>0</v>
      </c>
      <c r="BV48" s="579">
        <f t="shared" si="96"/>
        <v>0</v>
      </c>
      <c r="BW48" s="648"/>
      <c r="BX48" s="648"/>
      <c r="BY48" s="648"/>
      <c r="BZ48" s="648"/>
      <c r="CA48" s="648"/>
      <c r="CB48" s="648"/>
      <c r="CC48" s="648"/>
      <c r="CD48" s="648"/>
      <c r="CE48" s="648"/>
      <c r="CF48" s="648"/>
      <c r="CG48" s="648"/>
      <c r="CH48" s="648"/>
      <c r="CI48" s="648"/>
    </row>
    <row r="49" spans="1:74" ht="12.75">
      <c r="A49" s="649"/>
      <c r="B49" s="541">
        <v>2</v>
      </c>
      <c r="C49" s="72" t="s">
        <v>120</v>
      </c>
      <c r="D49" s="541" t="s">
        <v>608</v>
      </c>
      <c r="E49" s="564">
        <v>53</v>
      </c>
      <c r="F49" s="73"/>
      <c r="G49" s="73" t="str">
        <f t="shared" si="89"/>
        <v>042533L</v>
      </c>
      <c r="H49" s="46"/>
      <c r="I49" t="s">
        <v>137</v>
      </c>
      <c r="J49" t="s">
        <v>107</v>
      </c>
      <c r="K49" s="59" t="s">
        <v>138</v>
      </c>
      <c r="L49" s="97">
        <v>438</v>
      </c>
      <c r="M49" s="69">
        <f t="shared" si="90"/>
        <v>0</v>
      </c>
      <c r="N49" s="69">
        <f t="shared" si="90"/>
        <v>10</v>
      </c>
      <c r="O49" s="69">
        <f t="shared" si="90"/>
        <v>0</v>
      </c>
      <c r="P49" s="69">
        <f t="shared" si="90"/>
        <v>0</v>
      </c>
      <c r="Q49" s="69">
        <f t="shared" si="90"/>
        <v>0</v>
      </c>
      <c r="R49" s="581">
        <f aca="true" t="shared" si="97" ref="R49:R98">IF(SUM(M49:Q49)&gt;0,0,1)</f>
        <v>0</v>
      </c>
      <c r="S49" s="620">
        <v>0</v>
      </c>
      <c r="T49" s="620">
        <v>14.74</v>
      </c>
      <c r="U49" s="620">
        <v>0</v>
      </c>
      <c r="V49" s="620">
        <v>0</v>
      </c>
      <c r="W49" s="620">
        <v>0</v>
      </c>
      <c r="Y49" s="70">
        <f t="shared" si="59"/>
        <v>0</v>
      </c>
      <c r="Z49" s="70">
        <f t="shared" si="60"/>
        <v>147.4</v>
      </c>
      <c r="AA49" s="70">
        <f t="shared" si="61"/>
        <v>0</v>
      </c>
      <c r="AB49" s="70">
        <f t="shared" si="62"/>
        <v>0</v>
      </c>
      <c r="AC49" s="70">
        <f t="shared" si="63"/>
        <v>0</v>
      </c>
      <c r="AE49" s="69">
        <f t="shared" si="64"/>
        <v>0</v>
      </c>
      <c r="AF49" s="69">
        <f aca="true" t="shared" si="98" ref="AF49:AI49">N49</f>
        <v>10</v>
      </c>
      <c r="AG49" s="69">
        <f t="shared" si="98"/>
        <v>0</v>
      </c>
      <c r="AH49" s="69">
        <f t="shared" si="98"/>
        <v>0</v>
      </c>
      <c r="AI49" s="69">
        <f t="shared" si="98"/>
        <v>0</v>
      </c>
      <c r="AK49" s="436">
        <f t="shared" si="79"/>
        <v>0</v>
      </c>
      <c r="AL49" s="436">
        <f aca="true" t="shared" si="99" ref="AL49:AL69">ROUND(T49*(1+AL$1),2)</f>
        <v>14.74</v>
      </c>
      <c r="AM49" s="436">
        <f t="shared" si="3"/>
        <v>0</v>
      </c>
      <c r="AN49" s="436">
        <f t="shared" si="4"/>
        <v>0</v>
      </c>
      <c r="AO49" s="436">
        <f t="shared" si="5"/>
        <v>0</v>
      </c>
      <c r="AQ49" s="70">
        <f t="shared" si="6"/>
        <v>0</v>
      </c>
      <c r="AR49" s="70">
        <f t="shared" si="7"/>
        <v>147.4</v>
      </c>
      <c r="AS49" s="70">
        <f t="shared" si="8"/>
        <v>0</v>
      </c>
      <c r="AT49" s="70">
        <f t="shared" si="9"/>
        <v>0</v>
      </c>
      <c r="AU49" s="70">
        <f t="shared" si="10"/>
        <v>0</v>
      </c>
      <c r="AV49" s="70">
        <f>SUM(AQ49:AU49)-SUM(Y49:AC49)</f>
        <v>0</v>
      </c>
      <c r="AW49" s="448">
        <v>40</v>
      </c>
      <c r="AX49" s="583"/>
      <c r="AY49" s="583">
        <v>15.04</v>
      </c>
      <c r="AZ49" s="583"/>
      <c r="BA49" s="583"/>
      <c r="BB49" s="583"/>
      <c r="BC49" s="140"/>
      <c r="BD49" s="589">
        <f t="shared" si="66"/>
        <v>0.09000000000000008</v>
      </c>
      <c r="BE49" s="54"/>
      <c r="BF49" s="54">
        <f t="shared" si="78"/>
        <v>0.01</v>
      </c>
      <c r="BG49" s="54"/>
      <c r="BH49" s="54"/>
      <c r="BI49" s="54"/>
      <c r="BL49" s="279">
        <f t="shared" si="67"/>
        <v>0</v>
      </c>
      <c r="BM49" s="279">
        <f t="shared" si="68"/>
        <v>14.962573999999998</v>
      </c>
      <c r="BN49" s="279">
        <f t="shared" si="75"/>
        <v>0</v>
      </c>
      <c r="BO49" s="279">
        <f t="shared" si="76"/>
        <v>0</v>
      </c>
      <c r="BP49" s="279">
        <f t="shared" si="77"/>
        <v>0</v>
      </c>
      <c r="BR49" s="54">
        <f t="shared" si="70"/>
        <v>0</v>
      </c>
      <c r="BS49" s="54">
        <f t="shared" si="71"/>
        <v>-0.07742600000000088</v>
      </c>
      <c r="BT49" s="54">
        <f t="shared" si="72"/>
        <v>0</v>
      </c>
      <c r="BU49" s="54">
        <f t="shared" si="73"/>
        <v>0</v>
      </c>
      <c r="BV49" s="54">
        <f t="shared" si="74"/>
        <v>0</v>
      </c>
    </row>
    <row r="50" spans="1:87" ht="12.75">
      <c r="A50" s="613"/>
      <c r="B50" s="541">
        <v>2</v>
      </c>
      <c r="C50" s="72" t="s">
        <v>120</v>
      </c>
      <c r="D50" s="541" t="s">
        <v>712</v>
      </c>
      <c r="E50" s="564">
        <v>47</v>
      </c>
      <c r="F50" s="73"/>
      <c r="G50" s="73" t="str">
        <f t="shared" si="89"/>
        <v>042533T</v>
      </c>
      <c r="H50" s="46"/>
      <c r="I50" s="435" t="s">
        <v>717</v>
      </c>
      <c r="J50" s="435" t="s">
        <v>848</v>
      </c>
      <c r="K50" s="580" t="s">
        <v>132</v>
      </c>
      <c r="L50" s="582" t="s">
        <v>599</v>
      </c>
      <c r="M50" s="581">
        <f t="shared" si="90"/>
        <v>0</v>
      </c>
      <c r="N50" s="581">
        <f t="shared" si="90"/>
        <v>14</v>
      </c>
      <c r="O50" s="581">
        <f t="shared" si="90"/>
        <v>0</v>
      </c>
      <c r="P50" s="581">
        <f t="shared" si="90"/>
        <v>0</v>
      </c>
      <c r="Q50" s="581">
        <f t="shared" si="90"/>
        <v>0</v>
      </c>
      <c r="R50" s="581">
        <f t="shared" si="97"/>
        <v>0</v>
      </c>
      <c r="S50" s="620">
        <v>0</v>
      </c>
      <c r="T50" s="620">
        <v>26.85</v>
      </c>
      <c r="U50" s="620">
        <v>0</v>
      </c>
      <c r="V50" s="620"/>
      <c r="W50" s="620"/>
      <c r="X50" s="578"/>
      <c r="Y50" s="70">
        <f aca="true" t="shared" si="100" ref="Y50:AC51">IF(AND(M50&lt;&gt;0,S50=0),#VALUE!,M50*S50)</f>
        <v>0</v>
      </c>
      <c r="Z50" s="70">
        <f t="shared" si="100"/>
        <v>375.90000000000003</v>
      </c>
      <c r="AA50" s="70">
        <f t="shared" si="100"/>
        <v>0</v>
      </c>
      <c r="AB50" s="70">
        <f t="shared" si="100"/>
        <v>0</v>
      </c>
      <c r="AC50" s="70">
        <f t="shared" si="100"/>
        <v>0</v>
      </c>
      <c r="AD50" s="578"/>
      <c r="AE50" s="581">
        <f aca="true" t="shared" si="101" ref="AE50:AI51">SUMIF($G:$G,TEXT(AE$3,"000")&amp;TEXT($L50,"000"),$E:$E)</f>
        <v>0</v>
      </c>
      <c r="AF50" s="581">
        <f t="shared" si="101"/>
        <v>14</v>
      </c>
      <c r="AG50" s="581">
        <f t="shared" si="101"/>
        <v>0</v>
      </c>
      <c r="AH50" s="581">
        <f t="shared" si="101"/>
        <v>0</v>
      </c>
      <c r="AI50" s="581">
        <f t="shared" si="101"/>
        <v>0</v>
      </c>
      <c r="AJ50" s="578"/>
      <c r="AK50" s="586">
        <f t="shared" si="79"/>
        <v>0</v>
      </c>
      <c r="AL50" s="586">
        <f t="shared" si="99"/>
        <v>26.85</v>
      </c>
      <c r="AM50" s="586">
        <f t="shared" si="3"/>
        <v>0</v>
      </c>
      <c r="AN50" s="586">
        <f t="shared" si="4"/>
        <v>0</v>
      </c>
      <c r="AO50" s="586">
        <f t="shared" si="5"/>
        <v>0</v>
      </c>
      <c r="AP50" s="578"/>
      <c r="AQ50" s="70">
        <f t="shared" si="6"/>
        <v>0</v>
      </c>
      <c r="AR50" s="70">
        <f>IF(AND(AF50&lt;&gt;0,AL50=0),#VALUE!,AF50*AL50)</f>
        <v>375.90000000000003</v>
      </c>
      <c r="AS50" s="70">
        <f t="shared" si="8"/>
        <v>0</v>
      </c>
      <c r="AT50" s="70">
        <f t="shared" si="9"/>
        <v>0</v>
      </c>
      <c r="AU50" s="70">
        <f t="shared" si="10"/>
        <v>0</v>
      </c>
      <c r="AV50" s="578"/>
      <c r="AW50" s="593">
        <v>52</v>
      </c>
      <c r="AX50" s="583"/>
      <c r="AY50" s="583">
        <v>27.37</v>
      </c>
      <c r="AZ50" s="583"/>
      <c r="BA50" s="583"/>
      <c r="BB50" s="583"/>
      <c r="BC50" s="583"/>
      <c r="BD50" s="589">
        <f>ROUND(AW50*$BD$2,2)+ROUND(AW50*$BD$1,2)</f>
        <v>0.10999999999999999</v>
      </c>
      <c r="BE50" s="579"/>
      <c r="BF50" s="579">
        <f t="shared" si="78"/>
        <v>0</v>
      </c>
      <c r="BG50" s="579"/>
      <c r="BH50" s="579"/>
      <c r="BI50" s="579"/>
      <c r="BJ50" s="578"/>
      <c r="BK50" s="578"/>
      <c r="BL50" s="587">
        <f t="shared" si="67"/>
        <v>0</v>
      </c>
      <c r="BM50" s="587">
        <f t="shared" si="68"/>
        <v>27.255435</v>
      </c>
      <c r="BN50" s="587">
        <f aca="true" t="shared" si="102" ref="BN50:BP51">AM50*$BL$1</f>
        <v>0</v>
      </c>
      <c r="BO50" s="587">
        <f t="shared" si="102"/>
        <v>0</v>
      </c>
      <c r="BP50" s="587">
        <f t="shared" si="102"/>
        <v>0</v>
      </c>
      <c r="BQ50" s="578"/>
      <c r="BR50" s="579">
        <f aca="true" t="shared" si="103" ref="BR50:BV51">BL50-AX50</f>
        <v>0</v>
      </c>
      <c r="BS50" s="579">
        <f t="shared" si="103"/>
        <v>-0.11456500000000247</v>
      </c>
      <c r="BT50" s="579">
        <f t="shared" si="103"/>
        <v>0</v>
      </c>
      <c r="BU50" s="579">
        <f t="shared" si="103"/>
        <v>0</v>
      </c>
      <c r="BV50" s="579">
        <f t="shared" si="103"/>
        <v>0</v>
      </c>
      <c r="BW50" s="578"/>
      <c r="BX50" s="578"/>
      <c r="BY50" s="578"/>
      <c r="BZ50" s="578"/>
      <c r="CA50" s="578"/>
      <c r="CH50" s="596"/>
      <c r="CI50" s="596"/>
    </row>
    <row r="51" spans="2:105" ht="12.75">
      <c r="B51" s="35">
        <v>2</v>
      </c>
      <c r="C51" s="72" t="s">
        <v>120</v>
      </c>
      <c r="D51" s="35">
        <v>535</v>
      </c>
      <c r="E51" s="562">
        <f>205+109</f>
        <v>314</v>
      </c>
      <c r="F51" s="73"/>
      <c r="G51" s="73" t="str">
        <f t="shared" si="89"/>
        <v>042535</v>
      </c>
      <c r="H51" s="46"/>
      <c r="I51" s="435" t="s">
        <v>717</v>
      </c>
      <c r="J51" s="435" t="s">
        <v>848</v>
      </c>
      <c r="K51" s="580" t="s">
        <v>132</v>
      </c>
      <c r="L51" s="582" t="s">
        <v>721</v>
      </c>
      <c r="M51" s="581">
        <f t="shared" si="90"/>
        <v>0</v>
      </c>
      <c r="N51" s="581">
        <f t="shared" si="90"/>
        <v>11</v>
      </c>
      <c r="O51" s="581">
        <f t="shared" si="90"/>
        <v>0</v>
      </c>
      <c r="P51" s="581">
        <f t="shared" si="90"/>
        <v>0</v>
      </c>
      <c r="Q51" s="581">
        <f t="shared" si="90"/>
        <v>0</v>
      </c>
      <c r="R51" s="581">
        <f t="shared" si="97"/>
        <v>0</v>
      </c>
      <c r="S51" s="620"/>
      <c r="T51" s="650">
        <f>T50-T101-T101</f>
        <v>16.39</v>
      </c>
      <c r="U51" s="620"/>
      <c r="V51" s="620"/>
      <c r="W51" s="620"/>
      <c r="X51" s="649"/>
      <c r="Y51" s="70">
        <f t="shared" si="100"/>
        <v>0</v>
      </c>
      <c r="Z51" s="70">
        <f t="shared" si="100"/>
        <v>180.29000000000002</v>
      </c>
      <c r="AA51" s="70">
        <f t="shared" si="100"/>
        <v>0</v>
      </c>
      <c r="AB51" s="70">
        <f t="shared" si="100"/>
        <v>0</v>
      </c>
      <c r="AC51" s="70">
        <f t="shared" si="100"/>
        <v>0</v>
      </c>
      <c r="AD51" s="649"/>
      <c r="AE51" s="581">
        <f t="shared" si="101"/>
        <v>0</v>
      </c>
      <c r="AF51" s="581">
        <f t="shared" si="101"/>
        <v>11</v>
      </c>
      <c r="AG51" s="581">
        <f t="shared" si="101"/>
        <v>0</v>
      </c>
      <c r="AH51" s="581">
        <f t="shared" si="101"/>
        <v>0</v>
      </c>
      <c r="AI51" s="581">
        <f t="shared" si="101"/>
        <v>0</v>
      </c>
      <c r="AJ51" s="649"/>
      <c r="AK51" s="586">
        <f t="shared" si="79"/>
        <v>0</v>
      </c>
      <c r="AL51" s="586">
        <f>AL50-AL101-AL101</f>
        <v>16.39</v>
      </c>
      <c r="AM51" s="586">
        <f t="shared" si="3"/>
        <v>0</v>
      </c>
      <c r="AN51" s="586">
        <f t="shared" si="4"/>
        <v>0</v>
      </c>
      <c r="AO51" s="586">
        <f t="shared" si="5"/>
        <v>0</v>
      </c>
      <c r="AP51" s="649"/>
      <c r="AQ51" s="70">
        <f t="shared" si="6"/>
        <v>0</v>
      </c>
      <c r="AR51" s="70">
        <f t="shared" si="7"/>
        <v>180.29000000000002</v>
      </c>
      <c r="AS51" s="70">
        <f t="shared" si="8"/>
        <v>0</v>
      </c>
      <c r="AT51" s="70">
        <f t="shared" si="9"/>
        <v>0</v>
      </c>
      <c r="AU51" s="70">
        <f t="shared" si="10"/>
        <v>0</v>
      </c>
      <c r="AV51" s="649"/>
      <c r="AW51" s="593">
        <v>52</v>
      </c>
      <c r="AX51" s="583"/>
      <c r="AY51" s="583">
        <v>16.75</v>
      </c>
      <c r="AZ51" s="583"/>
      <c r="BA51" s="583"/>
      <c r="BB51" s="583"/>
      <c r="BC51" s="583"/>
      <c r="BD51" s="589">
        <f>ROUND(AW51*$BD$2,2)+ROUND(AW51*$BD$1,2)</f>
        <v>0.10999999999999999</v>
      </c>
      <c r="BE51" s="579"/>
      <c r="BF51" s="579">
        <f t="shared" si="78"/>
        <v>0</v>
      </c>
      <c r="BG51" s="579"/>
      <c r="BH51" s="579"/>
      <c r="BI51" s="579"/>
      <c r="BJ51" s="649"/>
      <c r="BK51" s="649"/>
      <c r="BL51" s="587">
        <f t="shared" si="67"/>
        <v>0</v>
      </c>
      <c r="BM51" s="587">
        <f t="shared" si="68"/>
        <v>16.637489</v>
      </c>
      <c r="BN51" s="587">
        <f t="shared" si="102"/>
        <v>0</v>
      </c>
      <c r="BO51" s="587">
        <f t="shared" si="102"/>
        <v>0</v>
      </c>
      <c r="BP51" s="587">
        <f t="shared" si="102"/>
        <v>0</v>
      </c>
      <c r="BQ51" s="649"/>
      <c r="BR51" s="579">
        <f t="shared" si="103"/>
        <v>0</v>
      </c>
      <c r="BS51" s="579">
        <f t="shared" si="103"/>
        <v>-0.11251100000000136</v>
      </c>
      <c r="BT51" s="579">
        <f t="shared" si="103"/>
        <v>0</v>
      </c>
      <c r="BU51" s="579">
        <f t="shared" si="103"/>
        <v>0</v>
      </c>
      <c r="BV51" s="579">
        <f t="shared" si="103"/>
        <v>0</v>
      </c>
      <c r="BW51" s="649"/>
      <c r="BX51" s="649"/>
      <c r="BY51" s="649"/>
      <c r="BZ51" s="649"/>
      <c r="CA51" s="649"/>
      <c r="CB51" s="649"/>
      <c r="CC51" s="649"/>
      <c r="CD51" s="649"/>
      <c r="CE51" s="649"/>
      <c r="CF51" s="649"/>
      <c r="CG51" s="649"/>
      <c r="CH51" s="649"/>
      <c r="CI51" s="649"/>
      <c r="CJ51" s="649"/>
      <c r="CK51" s="649"/>
      <c r="CL51" s="649"/>
      <c r="CM51" s="649"/>
      <c r="CN51" s="649"/>
      <c r="CO51" s="649"/>
      <c r="CP51" s="649"/>
      <c r="CQ51" s="649"/>
      <c r="CR51" s="649"/>
      <c r="CS51" s="649"/>
      <c r="CT51" s="649"/>
      <c r="CU51" s="649"/>
      <c r="CV51" s="649"/>
      <c r="CW51" s="649"/>
      <c r="CX51" s="649"/>
      <c r="CY51" s="649"/>
      <c r="CZ51" s="649"/>
      <c r="DA51" s="649"/>
    </row>
    <row r="52" spans="1:107" ht="12.75">
      <c r="A52" s="649"/>
      <c r="B52" s="541">
        <v>2</v>
      </c>
      <c r="C52" s="72" t="s">
        <v>120</v>
      </c>
      <c r="D52" s="541" t="s">
        <v>609</v>
      </c>
      <c r="E52" s="564">
        <f>1320+814</f>
        <v>2134</v>
      </c>
      <c r="F52" s="73"/>
      <c r="G52" s="73" t="str">
        <f t="shared" si="89"/>
        <v>042535L</v>
      </c>
      <c r="H52" s="46"/>
      <c r="I52" t="s">
        <v>137</v>
      </c>
      <c r="J52" t="s">
        <v>110</v>
      </c>
      <c r="K52" s="59" t="s">
        <v>140</v>
      </c>
      <c r="L52" s="97">
        <v>474</v>
      </c>
      <c r="M52" s="69">
        <f t="shared" si="90"/>
        <v>0</v>
      </c>
      <c r="N52" s="69">
        <f t="shared" si="90"/>
        <v>212</v>
      </c>
      <c r="O52" s="69">
        <f t="shared" si="90"/>
        <v>0</v>
      </c>
      <c r="P52" s="69">
        <f t="shared" si="90"/>
        <v>0</v>
      </c>
      <c r="Q52" s="69">
        <f t="shared" si="90"/>
        <v>0</v>
      </c>
      <c r="R52" s="581">
        <f t="shared" si="97"/>
        <v>0</v>
      </c>
      <c r="S52" s="620">
        <v>0</v>
      </c>
      <c r="T52" s="620">
        <v>25.68</v>
      </c>
      <c r="U52" s="620">
        <v>0</v>
      </c>
      <c r="V52" s="620">
        <v>0</v>
      </c>
      <c r="W52" s="620">
        <v>0</v>
      </c>
      <c r="Y52" s="70">
        <f t="shared" si="59"/>
        <v>0</v>
      </c>
      <c r="Z52" s="70">
        <f t="shared" si="60"/>
        <v>5444.16</v>
      </c>
      <c r="AA52" s="70">
        <f t="shared" si="61"/>
        <v>0</v>
      </c>
      <c r="AB52" s="70">
        <f t="shared" si="62"/>
        <v>0</v>
      </c>
      <c r="AC52" s="70">
        <f t="shared" si="63"/>
        <v>0</v>
      </c>
      <c r="AE52" s="69">
        <f t="shared" si="64"/>
        <v>0</v>
      </c>
      <c r="AF52" s="69">
        <f>N52</f>
        <v>212</v>
      </c>
      <c r="AG52" s="69">
        <f>O52</f>
        <v>0</v>
      </c>
      <c r="AH52" s="69">
        <f>P52</f>
        <v>0</v>
      </c>
      <c r="AI52" s="69">
        <f>Q52</f>
        <v>0</v>
      </c>
      <c r="AK52" s="436">
        <f t="shared" si="79"/>
        <v>0</v>
      </c>
      <c r="AL52" s="436">
        <f t="shared" si="99"/>
        <v>25.68</v>
      </c>
      <c r="AM52" s="436">
        <f t="shared" si="3"/>
        <v>0</v>
      </c>
      <c r="AN52" s="436">
        <f t="shared" si="4"/>
        <v>0</v>
      </c>
      <c r="AO52" s="436">
        <f t="shared" si="5"/>
        <v>0</v>
      </c>
      <c r="AQ52" s="70">
        <f>IF(AND(AE52&lt;&gt;0,AK52=0),#VALUE!,AE52*AK52)</f>
        <v>0</v>
      </c>
      <c r="AR52" s="70">
        <f aca="true" t="shared" si="104" ref="AR52:AR76">IF(AND(AF52&lt;&gt;0,AL52=0),#VALUE!,AF52*AL52)</f>
        <v>5444.16</v>
      </c>
      <c r="AS52" s="70">
        <f aca="true" t="shared" si="105" ref="AS52:AU53">IF(AND(AG52&lt;&gt;0,AM52=0),#VALUE!,AG52*AM52)</f>
        <v>0</v>
      </c>
      <c r="AT52" s="70">
        <f t="shared" si="105"/>
        <v>0</v>
      </c>
      <c r="AU52" s="70">
        <f t="shared" si="105"/>
        <v>0</v>
      </c>
      <c r="AV52" s="70">
        <f>SUM(AQ52:AU52)-SUM(Y52:AC52)</f>
        <v>0</v>
      </c>
      <c r="AW52" s="448">
        <v>40</v>
      </c>
      <c r="AX52" s="583"/>
      <c r="AY52" s="583">
        <v>26.15</v>
      </c>
      <c r="AZ52" s="583"/>
      <c r="BA52" s="583"/>
      <c r="BB52" s="583"/>
      <c r="BC52" s="140"/>
      <c r="BD52" s="589">
        <f t="shared" si="66"/>
        <v>0.09000000000000008</v>
      </c>
      <c r="BE52" s="54"/>
      <c r="BF52" s="54">
        <f t="shared" si="78"/>
        <v>0.01</v>
      </c>
      <c r="BG52" s="54"/>
      <c r="BH52" s="54"/>
      <c r="BI52" s="54"/>
      <c r="BL52" s="279">
        <f t="shared" si="67"/>
        <v>0</v>
      </c>
      <c r="BM52" s="279">
        <f t="shared" si="68"/>
        <v>26.067767999999997</v>
      </c>
      <c r="BN52" s="279">
        <f t="shared" si="75"/>
        <v>0</v>
      </c>
      <c r="BO52" s="279">
        <f t="shared" si="76"/>
        <v>0</v>
      </c>
      <c r="BP52" s="279">
        <f t="shared" si="77"/>
        <v>0</v>
      </c>
      <c r="BR52" s="54">
        <f t="shared" si="70"/>
        <v>0</v>
      </c>
      <c r="BS52" s="54">
        <f t="shared" si="71"/>
        <v>-0.08223200000000119</v>
      </c>
      <c r="BT52" s="54">
        <f t="shared" si="72"/>
        <v>0</v>
      </c>
      <c r="BU52" s="54">
        <f t="shared" si="73"/>
        <v>0</v>
      </c>
      <c r="BV52" s="54">
        <f t="shared" si="74"/>
        <v>0</v>
      </c>
      <c r="DB52" s="649"/>
      <c r="DC52" s="649"/>
    </row>
    <row r="53" spans="1:95" ht="12.75">
      <c r="A53" s="613"/>
      <c r="B53" s="541">
        <v>2</v>
      </c>
      <c r="C53" s="72" t="s">
        <v>120</v>
      </c>
      <c r="D53" s="541" t="s">
        <v>714</v>
      </c>
      <c r="E53" s="564">
        <f>474+393</f>
        <v>867</v>
      </c>
      <c r="F53" s="73"/>
      <c r="G53" s="73" t="str">
        <f t="shared" si="89"/>
        <v>042535T</v>
      </c>
      <c r="H53" s="46"/>
      <c r="I53" s="435" t="s">
        <v>720</v>
      </c>
      <c r="J53" s="578" t="s">
        <v>110</v>
      </c>
      <c r="K53" s="580" t="s">
        <v>603</v>
      </c>
      <c r="L53" s="582" t="s">
        <v>600</v>
      </c>
      <c r="M53" s="581">
        <f t="shared" si="90"/>
        <v>0</v>
      </c>
      <c r="N53" s="581">
        <f t="shared" si="90"/>
        <v>106</v>
      </c>
      <c r="O53" s="581">
        <f t="shared" si="90"/>
        <v>0</v>
      </c>
      <c r="P53" s="581">
        <f t="shared" si="90"/>
        <v>0</v>
      </c>
      <c r="Q53" s="581">
        <f t="shared" si="90"/>
        <v>0</v>
      </c>
      <c r="R53" s="581">
        <f t="shared" si="97"/>
        <v>0</v>
      </c>
      <c r="S53" s="620">
        <v>0</v>
      </c>
      <c r="T53" s="650">
        <f>T52</f>
        <v>25.68</v>
      </c>
      <c r="U53" s="620">
        <v>0</v>
      </c>
      <c r="V53" s="620"/>
      <c r="W53" s="620"/>
      <c r="X53" s="578"/>
      <c r="Y53" s="70">
        <f>IF(AND(M53&lt;&gt;0,S53=0),#VALUE!,M53*S53)</f>
        <v>0</v>
      </c>
      <c r="Z53" s="70">
        <f>IF(AND(N53&lt;&gt;0,T53=0),#VALUE!,N53*T53)</f>
        <v>2722.08</v>
      </c>
      <c r="AA53" s="70">
        <f>IF(AND(O53&lt;&gt;0,U53=0),#VALUE!,O53*U53)</f>
        <v>0</v>
      </c>
      <c r="AB53" s="70">
        <f>IF(AND(P53&lt;&gt;0,V53=0),#VALUE!,P53*V53)</f>
        <v>0</v>
      </c>
      <c r="AC53" s="70">
        <f>IF(AND(Q53&lt;&gt;0,W53=0),#VALUE!,Q53*W53)</f>
        <v>0</v>
      </c>
      <c r="AD53" s="578"/>
      <c r="AE53" s="581">
        <f aca="true" t="shared" si="106" ref="AE53:AI54">SUMIF($G:$G,TEXT(AE$3,"000")&amp;TEXT($L53,"000"),$E:$E)</f>
        <v>0</v>
      </c>
      <c r="AF53" s="581">
        <f t="shared" si="106"/>
        <v>106</v>
      </c>
      <c r="AG53" s="581">
        <f t="shared" si="106"/>
        <v>0</v>
      </c>
      <c r="AH53" s="581">
        <f t="shared" si="106"/>
        <v>0</v>
      </c>
      <c r="AI53" s="581">
        <f t="shared" si="106"/>
        <v>0</v>
      </c>
      <c r="AJ53" s="578"/>
      <c r="AK53" s="586">
        <f t="shared" si="79"/>
        <v>0</v>
      </c>
      <c r="AL53" s="586">
        <f>AL52</f>
        <v>25.68</v>
      </c>
      <c r="AM53" s="586">
        <f t="shared" si="3"/>
        <v>0</v>
      </c>
      <c r="AN53" s="586">
        <f t="shared" si="4"/>
        <v>0</v>
      </c>
      <c r="AO53" s="586">
        <f t="shared" si="5"/>
        <v>0</v>
      </c>
      <c r="AP53" s="578"/>
      <c r="AQ53" s="70">
        <f>IF(AND(AE53&lt;&gt;0,AK53=0),#VALUE!,AE53*AK53)</f>
        <v>0</v>
      </c>
      <c r="AR53" s="70">
        <f t="shared" si="104"/>
        <v>2722.08</v>
      </c>
      <c r="AS53" s="70">
        <f t="shared" si="105"/>
        <v>0</v>
      </c>
      <c r="AT53" s="70">
        <f t="shared" si="105"/>
        <v>0</v>
      </c>
      <c r="AU53" s="70">
        <f t="shared" si="105"/>
        <v>0</v>
      </c>
      <c r="AV53" s="578"/>
      <c r="AW53" s="593">
        <v>26</v>
      </c>
      <c r="AX53" s="583"/>
      <c r="AY53" s="583">
        <v>26.12</v>
      </c>
      <c r="AZ53" s="583"/>
      <c r="BA53" s="583"/>
      <c r="BB53" s="583"/>
      <c r="BC53" s="583"/>
      <c r="BD53" s="589">
        <f>ROUND(AW53*$BD$2,2)+ROUND(AW53*$BD$1,2)</f>
        <v>0.06</v>
      </c>
      <c r="BE53" s="579"/>
      <c r="BF53" s="579">
        <f t="shared" si="78"/>
        <v>0.01</v>
      </c>
      <c r="BG53" s="579"/>
      <c r="BH53" s="579"/>
      <c r="BI53" s="579"/>
      <c r="BJ53" s="578"/>
      <c r="BK53" s="578"/>
      <c r="BL53" s="587">
        <f t="shared" si="67"/>
        <v>0</v>
      </c>
      <c r="BM53" s="587">
        <f t="shared" si="68"/>
        <v>26.067767999999997</v>
      </c>
      <c r="BN53" s="587">
        <f aca="true" t="shared" si="107" ref="BN53:BP54">AM53*$BL$1</f>
        <v>0</v>
      </c>
      <c r="BO53" s="587">
        <f t="shared" si="107"/>
        <v>0</v>
      </c>
      <c r="BP53" s="587">
        <f t="shared" si="107"/>
        <v>0</v>
      </c>
      <c r="BQ53" s="578"/>
      <c r="BR53" s="579">
        <f aca="true" t="shared" si="108" ref="BR53:BV54">BL53-AX53</f>
        <v>0</v>
      </c>
      <c r="BS53" s="579">
        <f t="shared" si="108"/>
        <v>-0.05223200000000361</v>
      </c>
      <c r="BT53" s="579">
        <f t="shared" si="108"/>
        <v>0</v>
      </c>
      <c r="BU53" s="579">
        <f t="shared" si="108"/>
        <v>0</v>
      </c>
      <c r="BV53" s="579">
        <f t="shared" si="108"/>
        <v>0</v>
      </c>
      <c r="BW53" s="578"/>
      <c r="BX53" s="578"/>
      <c r="BY53" s="578"/>
      <c r="BZ53" s="578"/>
      <c r="CA53" s="578"/>
      <c r="CP53" s="649"/>
      <c r="CQ53" s="649"/>
    </row>
    <row r="54" spans="1:88" ht="12.75">
      <c r="A54" s="330"/>
      <c r="B54" s="35">
        <v>2</v>
      </c>
      <c r="C54" s="72" t="s">
        <v>120</v>
      </c>
      <c r="D54" s="35">
        <v>536</v>
      </c>
      <c r="E54" s="562">
        <v>155</v>
      </c>
      <c r="F54" s="73"/>
      <c r="G54" s="73" t="str">
        <f t="shared" si="89"/>
        <v>042536</v>
      </c>
      <c r="H54" s="46"/>
      <c r="I54" s="19" t="s">
        <v>137</v>
      </c>
      <c r="J54" s="19" t="s">
        <v>107</v>
      </c>
      <c r="K54" s="86" t="s">
        <v>140</v>
      </c>
      <c r="L54" s="321">
        <v>475</v>
      </c>
      <c r="M54" s="82">
        <f aca="true" t="shared" si="109" ref="M54:Q63">SUMIF($G:$G,TEXT(M$3,"000")&amp;TEXT($L54,"000"),$E:$E)</f>
        <v>0</v>
      </c>
      <c r="N54" s="82">
        <f t="shared" si="109"/>
        <v>0</v>
      </c>
      <c r="O54" s="69">
        <f t="shared" si="109"/>
        <v>0</v>
      </c>
      <c r="P54" s="69">
        <f t="shared" si="109"/>
        <v>0</v>
      </c>
      <c r="Q54" s="69">
        <f t="shared" si="109"/>
        <v>0</v>
      </c>
      <c r="R54" s="581">
        <f t="shared" si="97"/>
        <v>1</v>
      </c>
      <c r="S54" s="620">
        <v>0</v>
      </c>
      <c r="T54" s="620">
        <v>19.71</v>
      </c>
      <c r="U54" s="620">
        <v>0</v>
      </c>
      <c r="V54" s="620">
        <v>0</v>
      </c>
      <c r="W54" s="620">
        <v>0</v>
      </c>
      <c r="Z54" s="70">
        <f t="shared" si="60"/>
        <v>0</v>
      </c>
      <c r="AB54" s="446"/>
      <c r="AE54" s="69">
        <f t="shared" si="106"/>
        <v>0</v>
      </c>
      <c r="AF54" s="69">
        <f t="shared" si="106"/>
        <v>0</v>
      </c>
      <c r="AG54" s="69">
        <f t="shared" si="106"/>
        <v>0</v>
      </c>
      <c r="AH54" s="69">
        <f t="shared" si="106"/>
        <v>0</v>
      </c>
      <c r="AI54" s="69">
        <f t="shared" si="106"/>
        <v>0</v>
      </c>
      <c r="AK54" s="436">
        <f t="shared" si="79"/>
        <v>0</v>
      </c>
      <c r="AL54" s="436">
        <f>ROUND(T54*(1+AL$1),2)</f>
        <v>19.71</v>
      </c>
      <c r="AM54" s="436">
        <f aca="true" t="shared" si="110" ref="AM54:AM79">ROUND(U54*(1+AM$1),2)</f>
        <v>0</v>
      </c>
      <c r="AN54" s="436">
        <f aca="true" t="shared" si="111" ref="AN54:AN79">ROUND(V54*(1+AN$1),2)</f>
        <v>0</v>
      </c>
      <c r="AO54" s="436">
        <f aca="true" t="shared" si="112" ref="AO54:AO79">ROUND(W54*(1+AO$1),2)</f>
        <v>0</v>
      </c>
      <c r="AR54" s="70">
        <f t="shared" si="104"/>
        <v>0</v>
      </c>
      <c r="AW54" s="448">
        <v>40</v>
      </c>
      <c r="AX54" s="583"/>
      <c r="AY54" s="583">
        <v>20.09</v>
      </c>
      <c r="AZ54" s="583"/>
      <c r="BA54" s="583"/>
      <c r="BB54" s="583"/>
      <c r="BC54" s="140"/>
      <c r="BD54" s="589">
        <f>ROUND(AW54*$BD$2,2)+ROUND(AW54*$BD$1,2)</f>
        <v>0.09000000000000008</v>
      </c>
      <c r="BE54" s="54"/>
      <c r="BF54" s="54">
        <f t="shared" si="78"/>
        <v>0.01</v>
      </c>
      <c r="BG54" s="54"/>
      <c r="BH54" s="54"/>
      <c r="BI54" s="54"/>
      <c r="BL54" s="279">
        <f t="shared" si="67"/>
        <v>0</v>
      </c>
      <c r="BM54" s="279">
        <f t="shared" si="68"/>
        <v>20.007621</v>
      </c>
      <c r="BN54" s="279">
        <f t="shared" si="107"/>
        <v>0</v>
      </c>
      <c r="BO54" s="279">
        <f t="shared" si="107"/>
        <v>0</v>
      </c>
      <c r="BP54" s="279">
        <f t="shared" si="107"/>
        <v>0</v>
      </c>
      <c r="BR54" s="54">
        <f t="shared" si="108"/>
        <v>0</v>
      </c>
      <c r="BS54" s="54">
        <f t="shared" si="108"/>
        <v>-0.08237899999999954</v>
      </c>
      <c r="BT54" s="54">
        <f t="shared" si="108"/>
        <v>0</v>
      </c>
      <c r="BU54" s="54">
        <f t="shared" si="108"/>
        <v>0</v>
      </c>
      <c r="BV54" s="54">
        <f t="shared" si="108"/>
        <v>0</v>
      </c>
      <c r="CJ54" s="444"/>
    </row>
    <row r="55" spans="1:74" ht="12.75">
      <c r="A55" s="649"/>
      <c r="B55" s="541">
        <v>2</v>
      </c>
      <c r="C55" s="72" t="s">
        <v>120</v>
      </c>
      <c r="D55" s="541" t="s">
        <v>610</v>
      </c>
      <c r="E55" s="564">
        <v>241</v>
      </c>
      <c r="F55" s="73"/>
      <c r="G55" s="73" t="str">
        <f t="shared" si="89"/>
        <v>042536L</v>
      </c>
      <c r="H55" s="46"/>
      <c r="I55" t="s">
        <v>137</v>
      </c>
      <c r="J55" t="s">
        <v>110</v>
      </c>
      <c r="K55" s="59" t="s">
        <v>141</v>
      </c>
      <c r="L55" s="97">
        <v>484</v>
      </c>
      <c r="M55" s="69">
        <f t="shared" si="109"/>
        <v>0</v>
      </c>
      <c r="N55" s="69">
        <f t="shared" si="109"/>
        <v>99</v>
      </c>
      <c r="O55" s="69">
        <f t="shared" si="109"/>
        <v>0</v>
      </c>
      <c r="P55" s="69">
        <f t="shared" si="109"/>
        <v>0</v>
      </c>
      <c r="Q55" s="69">
        <f t="shared" si="109"/>
        <v>0</v>
      </c>
      <c r="R55" s="581">
        <f t="shared" si="97"/>
        <v>0</v>
      </c>
      <c r="S55" s="620">
        <v>0</v>
      </c>
      <c r="T55" s="620">
        <v>24.45</v>
      </c>
      <c r="U55" s="620">
        <v>0</v>
      </c>
      <c r="V55" s="620">
        <v>0</v>
      </c>
      <c r="W55" s="620">
        <v>0</v>
      </c>
      <c r="Y55" s="70">
        <f t="shared" si="59"/>
        <v>0</v>
      </c>
      <c r="Z55" s="70">
        <f t="shared" si="60"/>
        <v>2420.5499999999997</v>
      </c>
      <c r="AA55" s="70">
        <f t="shared" si="61"/>
        <v>0</v>
      </c>
      <c r="AB55" s="70">
        <f t="shared" si="62"/>
        <v>0</v>
      </c>
      <c r="AC55" s="70">
        <f t="shared" si="63"/>
        <v>0</v>
      </c>
      <c r="AE55" s="69">
        <f t="shared" si="64"/>
        <v>0</v>
      </c>
      <c r="AF55" s="69">
        <f aca="true" t="shared" si="113" ref="AF55:AI55">N55</f>
        <v>99</v>
      </c>
      <c r="AG55" s="69">
        <f t="shared" si="113"/>
        <v>0</v>
      </c>
      <c r="AH55" s="69">
        <f t="shared" si="113"/>
        <v>0</v>
      </c>
      <c r="AI55" s="69">
        <f t="shared" si="113"/>
        <v>0</v>
      </c>
      <c r="AK55" s="436">
        <f aca="true" t="shared" si="114" ref="AK55:AL99">ROUND(S55*(1+AK$1),2)</f>
        <v>0</v>
      </c>
      <c r="AL55" s="436">
        <f t="shared" si="99"/>
        <v>24.45</v>
      </c>
      <c r="AM55" s="436">
        <f t="shared" si="110"/>
        <v>0</v>
      </c>
      <c r="AN55" s="436">
        <f t="shared" si="111"/>
        <v>0</v>
      </c>
      <c r="AO55" s="436">
        <f t="shared" si="112"/>
        <v>0</v>
      </c>
      <c r="AQ55" s="70">
        <f aca="true" t="shared" si="115" ref="AQ55:AQ80">IF(AND(AE55&lt;&gt;0,AK55=0),#VALUE!,AE55*AK55)</f>
        <v>0</v>
      </c>
      <c r="AR55" s="70">
        <f t="shared" si="104"/>
        <v>2420.5499999999997</v>
      </c>
      <c r="AS55" s="70">
        <f aca="true" t="shared" si="116" ref="AS55:AS80">IF(AND(AG55&lt;&gt;0,AM55=0),#VALUE!,AG55*AM55)</f>
        <v>0</v>
      </c>
      <c r="AT55" s="70">
        <f aca="true" t="shared" si="117" ref="AT55:AT80">IF(AND(AH55&lt;&gt;0,AN55=0),#VALUE!,AH55*AN55)</f>
        <v>0</v>
      </c>
      <c r="AU55" s="70">
        <f aca="true" t="shared" si="118" ref="AU55:AU80">IF(AND(AI55&lt;&gt;0,AO55=0),#VALUE!,AI55*AO55)</f>
        <v>0</v>
      </c>
      <c r="AV55" s="70">
        <f>SUM(AQ55:AU55)-SUM(Y55:AC55)</f>
        <v>0</v>
      </c>
      <c r="AW55" s="448">
        <v>40</v>
      </c>
      <c r="AX55" s="583"/>
      <c r="AY55" s="583">
        <v>24.9</v>
      </c>
      <c r="AZ55" s="583"/>
      <c r="BA55" s="583"/>
      <c r="BB55" s="583"/>
      <c r="BC55" s="140"/>
      <c r="BD55" s="589">
        <f t="shared" si="66"/>
        <v>0.09000000000000008</v>
      </c>
      <c r="BE55" s="54"/>
      <c r="BF55" s="54">
        <f t="shared" si="78"/>
        <v>0.01</v>
      </c>
      <c r="BG55" s="54"/>
      <c r="BH55" s="54"/>
      <c r="BI55" s="54"/>
      <c r="BL55" s="279">
        <f aca="true" t="shared" si="119" ref="BL55:BL80">AK55*$BL$1</f>
        <v>0</v>
      </c>
      <c r="BM55" s="279">
        <f aca="true" t="shared" si="120" ref="BM55:BM80">AL55*$BL$1</f>
        <v>24.819194999999997</v>
      </c>
      <c r="BN55" s="279">
        <f t="shared" si="75"/>
        <v>0</v>
      </c>
      <c r="BO55" s="279">
        <f t="shared" si="76"/>
        <v>0</v>
      </c>
      <c r="BP55" s="279">
        <f t="shared" si="77"/>
        <v>0</v>
      </c>
      <c r="BR55" s="54">
        <f t="shared" si="70"/>
        <v>0</v>
      </c>
      <c r="BS55" s="54">
        <f t="shared" si="71"/>
        <v>-0.08080500000000157</v>
      </c>
      <c r="BT55" s="54">
        <f t="shared" si="72"/>
        <v>0</v>
      </c>
      <c r="BU55" s="54">
        <f t="shared" si="73"/>
        <v>0</v>
      </c>
      <c r="BV55" s="54">
        <f t="shared" si="74"/>
        <v>0</v>
      </c>
    </row>
    <row r="56" spans="1:79" ht="12.75">
      <c r="A56" s="613"/>
      <c r="B56" s="541">
        <v>2</v>
      </c>
      <c r="C56" s="72" t="s">
        <v>120</v>
      </c>
      <c r="D56" s="541" t="s">
        <v>715</v>
      </c>
      <c r="E56" s="564">
        <v>337</v>
      </c>
      <c r="F56" s="73"/>
      <c r="G56" s="73" t="str">
        <f t="shared" si="89"/>
        <v>042536T</v>
      </c>
      <c r="H56" s="46"/>
      <c r="I56" s="435" t="s">
        <v>720</v>
      </c>
      <c r="J56" s="578" t="s">
        <v>110</v>
      </c>
      <c r="K56" s="580" t="s">
        <v>604</v>
      </c>
      <c r="L56" s="582" t="s">
        <v>601</v>
      </c>
      <c r="M56" s="581">
        <f t="shared" si="109"/>
        <v>0</v>
      </c>
      <c r="N56" s="581">
        <f t="shared" si="109"/>
        <v>64</v>
      </c>
      <c r="O56" s="581">
        <f t="shared" si="109"/>
        <v>0</v>
      </c>
      <c r="P56" s="581">
        <f t="shared" si="109"/>
        <v>0</v>
      </c>
      <c r="Q56" s="581">
        <f t="shared" si="109"/>
        <v>0</v>
      </c>
      <c r="R56" s="581">
        <f t="shared" si="97"/>
        <v>0</v>
      </c>
      <c r="S56" s="620">
        <v>0</v>
      </c>
      <c r="T56" s="650">
        <f>T55</f>
        <v>24.45</v>
      </c>
      <c r="U56" s="620">
        <v>0</v>
      </c>
      <c r="V56" s="620"/>
      <c r="W56" s="620"/>
      <c r="X56" s="578"/>
      <c r="Y56" s="70">
        <f>IF(AND(M56&lt;&gt;0,S56=0),#VALUE!,M56*S56)</f>
        <v>0</v>
      </c>
      <c r="Z56" s="70">
        <f>IF(AND(N56&lt;&gt;0,T56=0),#VALUE!,N56*T56)</f>
        <v>1564.8</v>
      </c>
      <c r="AA56" s="70">
        <f>IF(AND(O56&lt;&gt;0,U56=0),#VALUE!,O56*U56)</f>
        <v>0</v>
      </c>
      <c r="AB56" s="70">
        <f>IF(AND(P56&lt;&gt;0,V56=0),#VALUE!,P56*V56)</f>
        <v>0</v>
      </c>
      <c r="AC56" s="70">
        <f>IF(AND(Q56&lt;&gt;0,W56=0),#VALUE!,Q56*W56)</f>
        <v>0</v>
      </c>
      <c r="AD56" s="578"/>
      <c r="AE56" s="581">
        <f aca="true" t="shared" si="121" ref="AE56:AI61">SUMIF($G:$G,TEXT(AE$3,"000")&amp;TEXT($L56,"000"),$E:$E)</f>
        <v>0</v>
      </c>
      <c r="AF56" s="581">
        <f t="shared" si="121"/>
        <v>64</v>
      </c>
      <c r="AG56" s="581">
        <f t="shared" si="121"/>
        <v>0</v>
      </c>
      <c r="AH56" s="581">
        <f t="shared" si="121"/>
        <v>0</v>
      </c>
      <c r="AI56" s="581">
        <f t="shared" si="121"/>
        <v>0</v>
      </c>
      <c r="AJ56" s="578"/>
      <c r="AK56" s="586">
        <f>ROUND(S56*(1+AK$1),2)</f>
        <v>0</v>
      </c>
      <c r="AL56" s="586">
        <f>AL55</f>
        <v>24.45</v>
      </c>
      <c r="AM56" s="586">
        <f t="shared" si="110"/>
        <v>0</v>
      </c>
      <c r="AN56" s="586">
        <f t="shared" si="111"/>
        <v>0</v>
      </c>
      <c r="AO56" s="586">
        <f t="shared" si="112"/>
        <v>0</v>
      </c>
      <c r="AP56" s="578"/>
      <c r="AQ56" s="70">
        <f t="shared" si="115"/>
        <v>0</v>
      </c>
      <c r="AR56" s="70">
        <f t="shared" si="104"/>
        <v>1564.8</v>
      </c>
      <c r="AS56" s="70">
        <f t="shared" si="116"/>
        <v>0</v>
      </c>
      <c r="AT56" s="70">
        <f t="shared" si="117"/>
        <v>0</v>
      </c>
      <c r="AU56" s="70">
        <f t="shared" si="118"/>
        <v>0</v>
      </c>
      <c r="AV56" s="578"/>
      <c r="AW56" s="593">
        <v>26</v>
      </c>
      <c r="AX56" s="583"/>
      <c r="AY56" s="583">
        <v>24.87</v>
      </c>
      <c r="AZ56" s="583"/>
      <c r="BA56" s="583"/>
      <c r="BB56" s="583"/>
      <c r="BC56" s="583"/>
      <c r="BD56" s="589">
        <f>ROUND(AW56*$BD$2,2)+ROUND(AW56*$BD$1,2)</f>
        <v>0.06</v>
      </c>
      <c r="BE56" s="579"/>
      <c r="BF56" s="579">
        <f t="shared" si="78"/>
        <v>0.01</v>
      </c>
      <c r="BG56" s="579"/>
      <c r="BH56" s="579"/>
      <c r="BI56" s="579"/>
      <c r="BJ56" s="578"/>
      <c r="BK56" s="578"/>
      <c r="BL56" s="587">
        <f t="shared" si="119"/>
        <v>0</v>
      </c>
      <c r="BM56" s="587">
        <f t="shared" si="120"/>
        <v>24.819194999999997</v>
      </c>
      <c r="BN56" s="587">
        <f aca="true" t="shared" si="122" ref="BN56:BP60">AM56*$BL$1</f>
        <v>0</v>
      </c>
      <c r="BO56" s="587">
        <f t="shared" si="122"/>
        <v>0</v>
      </c>
      <c r="BP56" s="587">
        <f t="shared" si="122"/>
        <v>0</v>
      </c>
      <c r="BQ56" s="578"/>
      <c r="BR56" s="579">
        <f>BL56-AX56</f>
        <v>0</v>
      </c>
      <c r="BS56" s="579">
        <f>BM56-AY56</f>
        <v>-0.050805000000003986</v>
      </c>
      <c r="BT56" s="579">
        <f>BN56-AZ56</f>
        <v>0</v>
      </c>
      <c r="BU56" s="579">
        <f>BO56-BA56</f>
        <v>0</v>
      </c>
      <c r="BV56" s="579">
        <f>BP56-BB56</f>
        <v>0</v>
      </c>
      <c r="BW56" s="578"/>
      <c r="BX56" s="578"/>
      <c r="BY56" s="578"/>
      <c r="BZ56" s="578"/>
      <c r="CA56" s="578"/>
    </row>
    <row r="57" spans="2:74" ht="12.75">
      <c r="B57" s="35">
        <v>2</v>
      </c>
      <c r="C57" s="72" t="s">
        <v>120</v>
      </c>
      <c r="D57" s="35">
        <v>541</v>
      </c>
      <c r="E57" s="562">
        <v>4</v>
      </c>
      <c r="F57" s="73"/>
      <c r="G57" s="73" t="str">
        <f t="shared" si="89"/>
        <v>042541</v>
      </c>
      <c r="H57" s="46"/>
      <c r="I57" s="393" t="s">
        <v>453</v>
      </c>
      <c r="J57" s="446" t="s">
        <v>131</v>
      </c>
      <c r="K57" s="59" t="s">
        <v>134</v>
      </c>
      <c r="L57" s="97">
        <v>495</v>
      </c>
      <c r="M57" s="69">
        <f t="shared" si="109"/>
        <v>0</v>
      </c>
      <c r="N57" s="69">
        <f t="shared" si="109"/>
        <v>0</v>
      </c>
      <c r="O57" s="69">
        <f t="shared" si="109"/>
        <v>0</v>
      </c>
      <c r="P57" s="69">
        <f t="shared" si="109"/>
        <v>0</v>
      </c>
      <c r="Q57" s="69">
        <f t="shared" si="109"/>
        <v>0</v>
      </c>
      <c r="R57" s="581">
        <f t="shared" si="97"/>
        <v>1</v>
      </c>
      <c r="S57" s="620">
        <v>0</v>
      </c>
      <c r="T57" s="620">
        <v>0</v>
      </c>
      <c r="U57" s="620">
        <v>0</v>
      </c>
      <c r="V57" s="620">
        <v>0</v>
      </c>
      <c r="W57" s="620">
        <v>5.01</v>
      </c>
      <c r="X57" s="393"/>
      <c r="Y57" s="70">
        <f t="shared" si="59"/>
        <v>0</v>
      </c>
      <c r="Z57" s="70">
        <f t="shared" si="60"/>
        <v>0</v>
      </c>
      <c r="AA57" s="70">
        <f t="shared" si="61"/>
        <v>0</v>
      </c>
      <c r="AB57" s="70">
        <f t="shared" si="62"/>
        <v>0</v>
      </c>
      <c r="AC57" s="70">
        <f t="shared" si="63"/>
        <v>0</v>
      </c>
      <c r="AD57" s="393"/>
      <c r="AE57" s="69">
        <f t="shared" si="121"/>
        <v>0</v>
      </c>
      <c r="AF57" s="69">
        <f t="shared" si="121"/>
        <v>0</v>
      </c>
      <c r="AG57" s="69">
        <f t="shared" si="121"/>
        <v>0</v>
      </c>
      <c r="AH57" s="69">
        <f t="shared" si="121"/>
        <v>0</v>
      </c>
      <c r="AI57" s="69">
        <f t="shared" si="121"/>
        <v>0</v>
      </c>
      <c r="AJ57" s="393"/>
      <c r="AK57" s="436">
        <f t="shared" si="114"/>
        <v>0</v>
      </c>
      <c r="AL57" s="436">
        <f t="shared" si="99"/>
        <v>0</v>
      </c>
      <c r="AM57" s="436">
        <f t="shared" si="110"/>
        <v>0</v>
      </c>
      <c r="AN57" s="436">
        <f t="shared" si="111"/>
        <v>0</v>
      </c>
      <c r="AO57" s="640">
        <f t="shared" si="112"/>
        <v>5.01</v>
      </c>
      <c r="AP57" s="393"/>
      <c r="AQ57" s="70">
        <f t="shared" si="115"/>
        <v>0</v>
      </c>
      <c r="AR57" s="70">
        <f t="shared" si="104"/>
        <v>0</v>
      </c>
      <c r="AS57" s="70">
        <f t="shared" si="116"/>
        <v>0</v>
      </c>
      <c r="AT57" s="70">
        <f t="shared" si="117"/>
        <v>0</v>
      </c>
      <c r="AU57" s="70">
        <f t="shared" si="118"/>
        <v>0</v>
      </c>
      <c r="AV57" s="393"/>
      <c r="AW57" s="448">
        <v>49</v>
      </c>
      <c r="AX57" s="583"/>
      <c r="AY57" s="583"/>
      <c r="AZ57" s="583"/>
      <c r="BA57" s="583"/>
      <c r="BB57" s="583"/>
      <c r="BC57" s="140"/>
      <c r="BD57" s="589">
        <f t="shared" si="66"/>
        <v>0.1100000000000001</v>
      </c>
      <c r="BE57" s="54"/>
      <c r="BF57" s="54"/>
      <c r="BG57" s="54"/>
      <c r="BH57" s="54"/>
      <c r="BI57" s="54">
        <f>ROUND((W57*$BE$2)+$BD57-BB57,2)</f>
        <v>5.2</v>
      </c>
      <c r="BJ57" s="393"/>
      <c r="BK57" s="393"/>
      <c r="BL57" s="279">
        <f t="shared" si="119"/>
        <v>0</v>
      </c>
      <c r="BM57" s="279">
        <f t="shared" si="120"/>
        <v>0</v>
      </c>
      <c r="BN57" s="279">
        <f t="shared" si="122"/>
        <v>0</v>
      </c>
      <c r="BO57" s="279">
        <f t="shared" si="122"/>
        <v>0</v>
      </c>
      <c r="BP57" s="279">
        <f t="shared" si="122"/>
        <v>5.0856509999999995</v>
      </c>
      <c r="BQ57" s="393"/>
      <c r="BR57" s="54">
        <f aca="true" t="shared" si="123" ref="BR57:BV60">BL57-AX57</f>
        <v>0</v>
      </c>
      <c r="BS57" s="54">
        <f t="shared" si="123"/>
        <v>0</v>
      </c>
      <c r="BT57" s="54">
        <f t="shared" si="123"/>
        <v>0</v>
      </c>
      <c r="BU57" s="54">
        <f t="shared" si="123"/>
        <v>0</v>
      </c>
      <c r="BV57" s="54">
        <f t="shared" si="123"/>
        <v>5.0856509999999995</v>
      </c>
    </row>
    <row r="58" spans="1:74" ht="12.75">
      <c r="A58" s="649"/>
      <c r="B58" s="541">
        <v>2</v>
      </c>
      <c r="C58" s="72" t="s">
        <v>120</v>
      </c>
      <c r="D58" s="541" t="s">
        <v>611</v>
      </c>
      <c r="E58" s="564">
        <v>1</v>
      </c>
      <c r="F58" s="73"/>
      <c r="G58" s="73" t="str">
        <f t="shared" si="89"/>
        <v>042541L</v>
      </c>
      <c r="H58" s="46"/>
      <c r="I58" s="393" t="s">
        <v>454</v>
      </c>
      <c r="J58" s="534" t="s">
        <v>562</v>
      </c>
      <c r="K58" s="59" t="s">
        <v>134</v>
      </c>
      <c r="L58" s="97">
        <v>499</v>
      </c>
      <c r="M58" s="69">
        <f t="shared" si="109"/>
        <v>0</v>
      </c>
      <c r="N58" s="69">
        <f t="shared" si="109"/>
        <v>0</v>
      </c>
      <c r="O58" s="69">
        <f t="shared" si="109"/>
        <v>0</v>
      </c>
      <c r="P58" s="69">
        <f t="shared" si="109"/>
        <v>0</v>
      </c>
      <c r="Q58" s="69">
        <f t="shared" si="109"/>
        <v>41</v>
      </c>
      <c r="R58" s="581">
        <f t="shared" si="97"/>
        <v>0</v>
      </c>
      <c r="S58" s="620">
        <v>0</v>
      </c>
      <c r="T58" s="620">
        <v>0</v>
      </c>
      <c r="U58" s="620">
        <v>0</v>
      </c>
      <c r="V58" s="620">
        <v>0</v>
      </c>
      <c r="W58" s="620">
        <v>2.78</v>
      </c>
      <c r="X58" s="393"/>
      <c r="Y58" s="70">
        <f t="shared" si="59"/>
        <v>0</v>
      </c>
      <c r="Z58" s="70">
        <f t="shared" si="60"/>
        <v>0</v>
      </c>
      <c r="AA58" s="70">
        <f t="shared" si="61"/>
        <v>0</v>
      </c>
      <c r="AB58" s="70">
        <f t="shared" si="62"/>
        <v>0</v>
      </c>
      <c r="AC58" s="70">
        <f t="shared" si="63"/>
        <v>113.97999999999999</v>
      </c>
      <c r="AD58" s="393"/>
      <c r="AE58" s="69">
        <f t="shared" si="121"/>
        <v>0</v>
      </c>
      <c r="AF58" s="69">
        <f t="shared" si="121"/>
        <v>0</v>
      </c>
      <c r="AG58" s="69">
        <f t="shared" si="121"/>
        <v>0</v>
      </c>
      <c r="AH58" s="69">
        <f t="shared" si="121"/>
        <v>0</v>
      </c>
      <c r="AI58" s="69">
        <f t="shared" si="121"/>
        <v>41</v>
      </c>
      <c r="AJ58" s="393"/>
      <c r="AK58" s="436">
        <f t="shared" si="114"/>
        <v>0</v>
      </c>
      <c r="AL58" s="436">
        <f t="shared" si="99"/>
        <v>0</v>
      </c>
      <c r="AM58" s="436">
        <f t="shared" si="110"/>
        <v>0</v>
      </c>
      <c r="AN58" s="436">
        <f t="shared" si="111"/>
        <v>0</v>
      </c>
      <c r="AO58" s="436">
        <f t="shared" si="112"/>
        <v>2.78</v>
      </c>
      <c r="AP58" s="393"/>
      <c r="AQ58" s="70">
        <f t="shared" si="115"/>
        <v>0</v>
      </c>
      <c r="AR58" s="70">
        <f t="shared" si="104"/>
        <v>0</v>
      </c>
      <c r="AS58" s="70">
        <f t="shared" si="116"/>
        <v>0</v>
      </c>
      <c r="AT58" s="70">
        <f t="shared" si="117"/>
        <v>0</v>
      </c>
      <c r="AU58" s="70">
        <f t="shared" si="118"/>
        <v>113.97999999999999</v>
      </c>
      <c r="AV58" s="393"/>
      <c r="AW58" s="448">
        <v>21</v>
      </c>
      <c r="AX58" s="583"/>
      <c r="AY58" s="583"/>
      <c r="AZ58" s="583"/>
      <c r="BA58" s="583"/>
      <c r="BB58" s="583">
        <v>2.86</v>
      </c>
      <c r="BC58" s="140"/>
      <c r="BD58" s="589">
        <f t="shared" si="66"/>
        <v>0.03999999999999998</v>
      </c>
      <c r="BE58" s="54"/>
      <c r="BF58" s="54"/>
      <c r="BG58" s="54"/>
      <c r="BH58" s="54"/>
      <c r="BI58" s="54">
        <f>ROUND((W58*$BE$2)+$BD58-BB58,2)</f>
        <v>0</v>
      </c>
      <c r="BJ58" s="393"/>
      <c r="BK58" s="393"/>
      <c r="BL58" s="279">
        <f t="shared" si="119"/>
        <v>0</v>
      </c>
      <c r="BM58" s="279">
        <f t="shared" si="120"/>
        <v>0</v>
      </c>
      <c r="BN58" s="279">
        <f t="shared" si="122"/>
        <v>0</v>
      </c>
      <c r="BO58" s="279">
        <f t="shared" si="122"/>
        <v>0</v>
      </c>
      <c r="BP58" s="279">
        <f t="shared" si="122"/>
        <v>2.8219779999999997</v>
      </c>
      <c r="BQ58" s="393"/>
      <c r="BR58" s="54">
        <f t="shared" si="123"/>
        <v>0</v>
      </c>
      <c r="BS58" s="54">
        <f t="shared" si="123"/>
        <v>0</v>
      </c>
      <c r="BT58" s="54">
        <f t="shared" si="123"/>
        <v>0</v>
      </c>
      <c r="BU58" s="54">
        <f t="shared" si="123"/>
        <v>0</v>
      </c>
      <c r="BV58" s="54">
        <f t="shared" si="123"/>
        <v>-0.03802200000000022</v>
      </c>
    </row>
    <row r="59" spans="1:105" ht="12.75">
      <c r="A59" s="648"/>
      <c r="B59" s="541">
        <v>2</v>
      </c>
      <c r="C59" s="72" t="s">
        <v>120</v>
      </c>
      <c r="D59" s="541" t="s">
        <v>716</v>
      </c>
      <c r="E59" s="558">
        <v>0</v>
      </c>
      <c r="F59" s="73"/>
      <c r="G59" s="73" t="str">
        <f t="shared" si="89"/>
        <v>042541T</v>
      </c>
      <c r="H59" s="46"/>
      <c r="I59" s="691" t="s">
        <v>453</v>
      </c>
      <c r="J59" s="691" t="s">
        <v>131</v>
      </c>
      <c r="K59" s="580" t="s">
        <v>825</v>
      </c>
      <c r="L59" s="582" t="s">
        <v>827</v>
      </c>
      <c r="M59" s="581">
        <f t="shared" si="109"/>
        <v>0</v>
      </c>
      <c r="N59" s="581">
        <f t="shared" si="109"/>
        <v>0</v>
      </c>
      <c r="O59" s="581">
        <f t="shared" si="109"/>
        <v>0</v>
      </c>
      <c r="P59" s="581">
        <f t="shared" si="109"/>
        <v>0</v>
      </c>
      <c r="Q59" s="581">
        <f t="shared" si="109"/>
        <v>0</v>
      </c>
      <c r="R59" s="581">
        <f t="shared" si="97"/>
        <v>1</v>
      </c>
      <c r="S59" s="620">
        <v>0</v>
      </c>
      <c r="T59" s="620">
        <v>0</v>
      </c>
      <c r="U59" s="620">
        <v>0</v>
      </c>
      <c r="V59" s="620">
        <v>0</v>
      </c>
      <c r="W59" s="620">
        <v>0.65</v>
      </c>
      <c r="X59" s="691"/>
      <c r="Y59" s="70">
        <f t="shared" si="59"/>
        <v>0</v>
      </c>
      <c r="Z59" s="70">
        <f t="shared" si="60"/>
        <v>0</v>
      </c>
      <c r="AA59" s="70">
        <f t="shared" si="61"/>
        <v>0</v>
      </c>
      <c r="AB59" s="70">
        <f t="shared" si="62"/>
        <v>0</v>
      </c>
      <c r="AC59" s="70">
        <f t="shared" si="63"/>
        <v>0</v>
      </c>
      <c r="AD59" s="691"/>
      <c r="AE59" s="581">
        <f t="shared" si="121"/>
        <v>0</v>
      </c>
      <c r="AF59" s="581">
        <f t="shared" si="121"/>
        <v>0</v>
      </c>
      <c r="AG59" s="581">
        <f t="shared" si="121"/>
        <v>0</v>
      </c>
      <c r="AH59" s="581">
        <f t="shared" si="121"/>
        <v>0</v>
      </c>
      <c r="AI59" s="581">
        <f t="shared" si="121"/>
        <v>0</v>
      </c>
      <c r="AJ59" s="691"/>
      <c r="AK59" s="586">
        <f t="shared" si="114"/>
        <v>0</v>
      </c>
      <c r="AL59" s="586"/>
      <c r="AM59" s="586">
        <f t="shared" si="110"/>
        <v>0</v>
      </c>
      <c r="AN59" s="586">
        <f t="shared" si="111"/>
        <v>0</v>
      </c>
      <c r="AO59" s="640">
        <f t="shared" si="112"/>
        <v>0.65</v>
      </c>
      <c r="AP59" s="691"/>
      <c r="AQ59" s="70">
        <f t="shared" si="115"/>
        <v>0</v>
      </c>
      <c r="AR59" s="70">
        <f t="shared" si="104"/>
        <v>0</v>
      </c>
      <c r="AS59" s="70">
        <f t="shared" si="116"/>
        <v>0</v>
      </c>
      <c r="AT59" s="70">
        <f t="shared" si="117"/>
        <v>0</v>
      </c>
      <c r="AU59" s="70">
        <f t="shared" si="118"/>
        <v>0</v>
      </c>
      <c r="AV59" s="691"/>
      <c r="AW59" s="593">
        <v>6</v>
      </c>
      <c r="AX59" s="583"/>
      <c r="AY59" s="583"/>
      <c r="AZ59" s="583"/>
      <c r="BA59" s="583"/>
      <c r="BB59" s="583"/>
      <c r="BC59" s="583"/>
      <c r="BD59" s="589">
        <f t="shared" si="66"/>
        <v>0.009999999999999995</v>
      </c>
      <c r="BE59" s="579"/>
      <c r="BF59" s="579"/>
      <c r="BG59" s="579"/>
      <c r="BH59" s="579"/>
      <c r="BI59" s="579">
        <f>ROUND((W59*$BE$2)+$BD59-BB59,2)</f>
        <v>0.67</v>
      </c>
      <c r="BJ59" s="691"/>
      <c r="BK59" s="691"/>
      <c r="BL59" s="587">
        <f t="shared" si="119"/>
        <v>0</v>
      </c>
      <c r="BM59" s="587">
        <f t="shared" si="120"/>
        <v>0</v>
      </c>
      <c r="BN59" s="587">
        <f t="shared" si="122"/>
        <v>0</v>
      </c>
      <c r="BO59" s="587">
        <f t="shared" si="122"/>
        <v>0</v>
      </c>
      <c r="BP59" s="587">
        <f>AO59*$BL$1</f>
        <v>0.6598149999999999</v>
      </c>
      <c r="BQ59" s="691"/>
      <c r="BR59" s="579">
        <f t="shared" si="123"/>
        <v>0</v>
      </c>
      <c r="BS59" s="579">
        <f t="shared" si="123"/>
        <v>0</v>
      </c>
      <c r="BT59" s="579">
        <f t="shared" si="123"/>
        <v>0</v>
      </c>
      <c r="BU59" s="579">
        <f t="shared" si="123"/>
        <v>0</v>
      </c>
      <c r="BV59" s="579">
        <f>BP59-BB59</f>
        <v>0.6598149999999999</v>
      </c>
      <c r="BW59" s="691"/>
      <c r="BX59" s="691"/>
      <c r="BY59" s="691"/>
      <c r="BZ59" s="691"/>
      <c r="CA59" s="691"/>
      <c r="CB59" s="691"/>
      <c r="CC59" s="691"/>
      <c r="CD59" s="691"/>
      <c r="CE59" s="691"/>
      <c r="CF59" s="691"/>
      <c r="CG59" s="691"/>
      <c r="CH59" s="691"/>
      <c r="CI59" s="691"/>
      <c r="CJ59" s="691"/>
      <c r="CK59" s="691"/>
      <c r="CL59" s="691"/>
      <c r="CM59" s="691"/>
      <c r="CN59" s="691"/>
      <c r="CO59" s="691"/>
      <c r="CP59" s="691"/>
      <c r="CQ59" s="691"/>
      <c r="CR59" s="691"/>
      <c r="CS59" s="691"/>
      <c r="CT59" s="691"/>
      <c r="CU59" s="691"/>
      <c r="CV59" s="691"/>
      <c r="CW59" s="691"/>
      <c r="CX59" s="691"/>
      <c r="CY59" s="691"/>
      <c r="CZ59" s="691"/>
      <c r="DA59" s="691"/>
    </row>
    <row r="60" spans="1:119" ht="12.75">
      <c r="A60" s="649"/>
      <c r="B60" s="541">
        <v>2</v>
      </c>
      <c r="C60" s="72" t="s">
        <v>120</v>
      </c>
      <c r="D60" s="541" t="s">
        <v>612</v>
      </c>
      <c r="E60" s="564">
        <v>15</v>
      </c>
      <c r="F60" s="73"/>
      <c r="G60" s="73" t="str">
        <f t="shared" si="89"/>
        <v>042542L</v>
      </c>
      <c r="H60" s="46"/>
      <c r="I60" s="691" t="s">
        <v>453</v>
      </c>
      <c r="J60" s="691" t="s">
        <v>131</v>
      </c>
      <c r="K60" s="580" t="s">
        <v>826</v>
      </c>
      <c r="L60" s="582" t="s">
        <v>828</v>
      </c>
      <c r="M60" s="581">
        <f t="shared" si="109"/>
        <v>0</v>
      </c>
      <c r="N60" s="581">
        <f t="shared" si="109"/>
        <v>0</v>
      </c>
      <c r="O60" s="581">
        <f t="shared" si="109"/>
        <v>0</v>
      </c>
      <c r="P60" s="581">
        <f t="shared" si="109"/>
        <v>0</v>
      </c>
      <c r="Q60" s="581">
        <f t="shared" si="109"/>
        <v>0</v>
      </c>
      <c r="R60" s="581">
        <f t="shared" si="97"/>
        <v>1</v>
      </c>
      <c r="S60" s="620">
        <v>0</v>
      </c>
      <c r="T60" s="620">
        <v>0</v>
      </c>
      <c r="U60" s="620">
        <v>0</v>
      </c>
      <c r="V60" s="620">
        <v>0</v>
      </c>
      <c r="W60" s="620">
        <v>0.98</v>
      </c>
      <c r="X60" s="691"/>
      <c r="Y60" s="70">
        <f t="shared" si="59"/>
        <v>0</v>
      </c>
      <c r="Z60" s="70">
        <f t="shared" si="60"/>
        <v>0</v>
      </c>
      <c r="AA60" s="70">
        <f t="shared" si="61"/>
        <v>0</v>
      </c>
      <c r="AB60" s="70">
        <f t="shared" si="62"/>
        <v>0</v>
      </c>
      <c r="AC60" s="70">
        <f t="shared" si="63"/>
        <v>0</v>
      </c>
      <c r="AD60" s="691"/>
      <c r="AE60" s="581">
        <f t="shared" si="121"/>
        <v>0</v>
      </c>
      <c r="AF60" s="581">
        <f t="shared" si="121"/>
        <v>0</v>
      </c>
      <c r="AG60" s="581">
        <f t="shared" si="121"/>
        <v>0</v>
      </c>
      <c r="AH60" s="581">
        <f t="shared" si="121"/>
        <v>0</v>
      </c>
      <c r="AI60" s="581">
        <f t="shared" si="121"/>
        <v>0</v>
      </c>
      <c r="AJ60" s="691"/>
      <c r="AK60" s="586">
        <f t="shared" si="114"/>
        <v>0</v>
      </c>
      <c r="AL60" s="586"/>
      <c r="AM60" s="586">
        <f t="shared" si="110"/>
        <v>0</v>
      </c>
      <c r="AN60" s="586">
        <f t="shared" si="111"/>
        <v>0</v>
      </c>
      <c r="AO60" s="640">
        <f t="shared" si="112"/>
        <v>0.98</v>
      </c>
      <c r="AP60" s="691"/>
      <c r="AQ60" s="70">
        <f t="shared" si="115"/>
        <v>0</v>
      </c>
      <c r="AR60" s="70">
        <f t="shared" si="104"/>
        <v>0</v>
      </c>
      <c r="AS60" s="70">
        <f t="shared" si="116"/>
        <v>0</v>
      </c>
      <c r="AT60" s="70">
        <f t="shared" si="117"/>
        <v>0</v>
      </c>
      <c r="AU60" s="70">
        <f t="shared" si="118"/>
        <v>0</v>
      </c>
      <c r="AV60" s="691"/>
      <c r="AW60" s="593">
        <v>9</v>
      </c>
      <c r="AX60" s="583"/>
      <c r="AY60" s="583"/>
      <c r="AZ60" s="583"/>
      <c r="BA60" s="583"/>
      <c r="BB60" s="583"/>
      <c r="BC60" s="583"/>
      <c r="BD60" s="589">
        <f t="shared" si="66"/>
        <v>0.020000000000000004</v>
      </c>
      <c r="BE60" s="579"/>
      <c r="BF60" s="579"/>
      <c r="BG60" s="579"/>
      <c r="BH60" s="579"/>
      <c r="BI60" s="579">
        <f>ROUND((W60*$BE$2)+$BD60-BB60,2)</f>
        <v>1.01</v>
      </c>
      <c r="BJ60" s="691"/>
      <c r="BK60" s="691"/>
      <c r="BL60" s="587">
        <f t="shared" si="119"/>
        <v>0</v>
      </c>
      <c r="BM60" s="587">
        <f t="shared" si="120"/>
        <v>0</v>
      </c>
      <c r="BN60" s="587">
        <f t="shared" si="122"/>
        <v>0</v>
      </c>
      <c r="BO60" s="587">
        <f t="shared" si="122"/>
        <v>0</v>
      </c>
      <c r="BP60" s="587">
        <f aca="true" t="shared" si="124" ref="BP60">AO60*$BL$1</f>
        <v>0.9947979999999998</v>
      </c>
      <c r="BQ60" s="691"/>
      <c r="BR60" s="579">
        <f t="shared" si="123"/>
        <v>0</v>
      </c>
      <c r="BS60" s="579">
        <f t="shared" si="123"/>
        <v>0</v>
      </c>
      <c r="BT60" s="579">
        <f t="shared" si="123"/>
        <v>0</v>
      </c>
      <c r="BU60" s="579">
        <f t="shared" si="123"/>
        <v>0</v>
      </c>
      <c r="BV60" s="579">
        <f aca="true" t="shared" si="125" ref="BV60">BP60-BB60</f>
        <v>0.9947979999999998</v>
      </c>
      <c r="BW60" s="691"/>
      <c r="BX60" s="691"/>
      <c r="BY60" s="691"/>
      <c r="BZ60" s="691"/>
      <c r="CA60" s="691"/>
      <c r="CB60" s="691"/>
      <c r="CC60" s="691"/>
      <c r="CD60" s="691"/>
      <c r="CE60" s="691"/>
      <c r="CF60" s="691"/>
      <c r="CG60" s="691"/>
      <c r="CH60" s="691"/>
      <c r="CI60" s="691"/>
      <c r="CJ60" s="691"/>
      <c r="CK60" s="691"/>
      <c r="CL60" s="691"/>
      <c r="CM60" s="691"/>
      <c r="CN60" s="691"/>
      <c r="CO60" s="691"/>
      <c r="CP60" s="691"/>
      <c r="CQ60" s="691"/>
      <c r="CR60" s="691"/>
      <c r="CS60" s="691"/>
      <c r="CT60" s="691"/>
      <c r="CU60" s="691"/>
      <c r="CV60" s="691"/>
      <c r="CW60" s="691"/>
      <c r="CX60" s="691"/>
      <c r="CY60" s="691"/>
      <c r="CZ60" s="691"/>
      <c r="DA60" s="691"/>
      <c r="DB60" s="691"/>
      <c r="DC60" s="691"/>
      <c r="DD60" s="691"/>
      <c r="DE60" s="691"/>
      <c r="DF60" s="691"/>
      <c r="DG60" s="691"/>
      <c r="DH60" s="691"/>
      <c r="DI60" s="691"/>
      <c r="DJ60" s="691"/>
      <c r="DK60" s="691"/>
      <c r="DL60" s="691"/>
      <c r="DM60" s="691"/>
      <c r="DN60" s="691"/>
      <c r="DO60" s="691"/>
    </row>
    <row r="61" spans="1:119" ht="12.75">
      <c r="A61" s="613"/>
      <c r="B61" s="541">
        <v>2</v>
      </c>
      <c r="C61" s="72" t="s">
        <v>120</v>
      </c>
      <c r="D61" s="541" t="s">
        <v>718</v>
      </c>
      <c r="E61" s="564">
        <v>9</v>
      </c>
      <c r="F61" s="73"/>
      <c r="G61" s="73" t="str">
        <f t="shared" si="89"/>
        <v>042542T</v>
      </c>
      <c r="H61" s="46"/>
      <c r="I61" t="s">
        <v>133</v>
      </c>
      <c r="J61" t="s">
        <v>131</v>
      </c>
      <c r="K61" s="59">
        <v>10000</v>
      </c>
      <c r="L61" s="97">
        <v>515</v>
      </c>
      <c r="M61" s="69">
        <f t="shared" si="109"/>
        <v>0</v>
      </c>
      <c r="N61" s="69">
        <f t="shared" si="109"/>
        <v>0</v>
      </c>
      <c r="O61" s="69">
        <f t="shared" si="109"/>
        <v>0</v>
      </c>
      <c r="P61" s="69">
        <f t="shared" si="109"/>
        <v>1</v>
      </c>
      <c r="Q61" s="69">
        <f t="shared" si="109"/>
        <v>0</v>
      </c>
      <c r="R61" s="581">
        <f t="shared" si="97"/>
        <v>0</v>
      </c>
      <c r="S61" s="620">
        <v>0</v>
      </c>
      <c r="T61" s="620">
        <v>0</v>
      </c>
      <c r="U61" s="620">
        <v>0</v>
      </c>
      <c r="V61" s="620">
        <v>9.65</v>
      </c>
      <c r="W61" s="620">
        <v>0</v>
      </c>
      <c r="Y61" s="70">
        <f t="shared" si="59"/>
        <v>0</v>
      </c>
      <c r="Z61" s="70">
        <f t="shared" si="60"/>
        <v>0</v>
      </c>
      <c r="AA61" s="70">
        <f t="shared" si="61"/>
        <v>0</v>
      </c>
      <c r="AB61" s="70">
        <f t="shared" si="62"/>
        <v>9.65</v>
      </c>
      <c r="AC61" s="70">
        <f t="shared" si="63"/>
        <v>0</v>
      </c>
      <c r="AE61" s="69">
        <f t="shared" si="121"/>
        <v>0</v>
      </c>
      <c r="AF61" s="69">
        <f t="shared" si="121"/>
        <v>0</v>
      </c>
      <c r="AG61" s="69">
        <f t="shared" si="121"/>
        <v>0</v>
      </c>
      <c r="AH61" s="69">
        <f t="shared" si="121"/>
        <v>1</v>
      </c>
      <c r="AI61" s="69">
        <f t="shared" si="121"/>
        <v>0</v>
      </c>
      <c r="AK61" s="436">
        <f t="shared" si="114"/>
        <v>0</v>
      </c>
      <c r="AL61" s="436">
        <f t="shared" si="99"/>
        <v>0</v>
      </c>
      <c r="AM61" s="436">
        <f t="shared" si="110"/>
        <v>0</v>
      </c>
      <c r="AN61" s="436">
        <f t="shared" si="111"/>
        <v>9.65</v>
      </c>
      <c r="AO61" s="436">
        <f t="shared" si="112"/>
        <v>0</v>
      </c>
      <c r="AQ61" s="70">
        <f t="shared" si="115"/>
        <v>0</v>
      </c>
      <c r="AR61" s="70">
        <f t="shared" si="104"/>
        <v>0</v>
      </c>
      <c r="AS61" s="70">
        <f t="shared" si="116"/>
        <v>0</v>
      </c>
      <c r="AT61" s="70">
        <f t="shared" si="117"/>
        <v>9.65</v>
      </c>
      <c r="AU61" s="70">
        <f t="shared" si="118"/>
        <v>0</v>
      </c>
      <c r="AV61" s="70">
        <f>SUM(AQ61:AU61)-SUM(Y61:AC61)</f>
        <v>0</v>
      </c>
      <c r="AW61" s="448">
        <v>111</v>
      </c>
      <c r="AX61" s="583"/>
      <c r="AY61" s="583"/>
      <c r="AZ61" s="583"/>
      <c r="BA61" s="583">
        <v>10.04</v>
      </c>
      <c r="BB61" s="583"/>
      <c r="BC61" s="140"/>
      <c r="BD61" s="589">
        <f t="shared" si="66"/>
        <v>0.25</v>
      </c>
      <c r="BE61" s="54"/>
      <c r="BF61" s="54"/>
      <c r="BG61" s="54"/>
      <c r="BH61" s="54">
        <f>ROUND((V61*$BE$2)+$BD61-BA61,2)</f>
        <v>0.01</v>
      </c>
      <c r="BI61" s="54"/>
      <c r="BL61" s="279">
        <f t="shared" si="119"/>
        <v>0</v>
      </c>
      <c r="BM61" s="279">
        <f t="shared" si="120"/>
        <v>0</v>
      </c>
      <c r="BN61" s="279">
        <f t="shared" si="75"/>
        <v>0</v>
      </c>
      <c r="BO61" s="279">
        <f t="shared" si="76"/>
        <v>9.795715</v>
      </c>
      <c r="BP61" s="279">
        <f t="shared" si="77"/>
        <v>0</v>
      </c>
      <c r="BR61" s="54">
        <f t="shared" si="70"/>
        <v>0</v>
      </c>
      <c r="BS61" s="54">
        <f t="shared" si="71"/>
        <v>0</v>
      </c>
      <c r="BT61" s="54">
        <f t="shared" si="72"/>
        <v>0</v>
      </c>
      <c r="BU61" s="54">
        <f t="shared" si="73"/>
        <v>-0.24428499999999964</v>
      </c>
      <c r="BV61" s="54">
        <f t="shared" si="74"/>
        <v>0</v>
      </c>
      <c r="DB61" s="691"/>
      <c r="DC61" s="691"/>
      <c r="DD61" s="691"/>
      <c r="DE61" s="691"/>
      <c r="DF61" s="691"/>
      <c r="DG61" s="691"/>
      <c r="DH61" s="691"/>
      <c r="DI61" s="691"/>
      <c r="DJ61" s="691"/>
      <c r="DK61" s="691"/>
      <c r="DL61" s="691"/>
      <c r="DM61" s="691"/>
      <c r="DN61" s="691"/>
      <c r="DO61" s="691"/>
    </row>
    <row r="62" spans="1:74" ht="12.75">
      <c r="A62" s="649"/>
      <c r="B62" s="541">
        <v>2</v>
      </c>
      <c r="C62" s="72" t="s">
        <v>120</v>
      </c>
      <c r="D62" s="541" t="s">
        <v>727</v>
      </c>
      <c r="E62" s="564">
        <v>8</v>
      </c>
      <c r="F62" s="73"/>
      <c r="G62" s="73" t="str">
        <f t="shared" si="89"/>
        <v>042546T</v>
      </c>
      <c r="H62" s="46"/>
      <c r="I62" t="s">
        <v>128</v>
      </c>
      <c r="J62" s="694" t="s">
        <v>847</v>
      </c>
      <c r="K62" s="59" t="s">
        <v>142</v>
      </c>
      <c r="L62" s="97">
        <v>531</v>
      </c>
      <c r="M62" s="69">
        <f t="shared" si="109"/>
        <v>0</v>
      </c>
      <c r="N62" s="69">
        <f t="shared" si="109"/>
        <v>0</v>
      </c>
      <c r="O62" s="69">
        <f t="shared" si="109"/>
        <v>1</v>
      </c>
      <c r="P62" s="69">
        <f t="shared" si="109"/>
        <v>0</v>
      </c>
      <c r="Q62" s="69">
        <f t="shared" si="109"/>
        <v>0</v>
      </c>
      <c r="R62" s="581">
        <f t="shared" si="97"/>
        <v>0</v>
      </c>
      <c r="S62" s="620">
        <v>0</v>
      </c>
      <c r="T62" s="620">
        <v>34.98</v>
      </c>
      <c r="U62" s="620">
        <v>11.68</v>
      </c>
      <c r="V62" s="620">
        <v>0</v>
      </c>
      <c r="W62" s="620">
        <v>0</v>
      </c>
      <c r="Y62" s="70">
        <f t="shared" si="59"/>
        <v>0</v>
      </c>
      <c r="Z62" s="70">
        <f t="shared" si="60"/>
        <v>0</v>
      </c>
      <c r="AA62" s="70">
        <f t="shared" si="61"/>
        <v>11.68</v>
      </c>
      <c r="AB62" s="70">
        <f t="shared" si="62"/>
        <v>0</v>
      </c>
      <c r="AC62" s="70">
        <f t="shared" si="63"/>
        <v>0</v>
      </c>
      <c r="AE62" s="69">
        <f t="shared" si="64"/>
        <v>0</v>
      </c>
      <c r="AF62" s="69">
        <f aca="true" t="shared" si="126" ref="AF62:AF100">N62</f>
        <v>0</v>
      </c>
      <c r="AG62" s="69">
        <f aca="true" t="shared" si="127" ref="AG62:AG100">O62</f>
        <v>1</v>
      </c>
      <c r="AH62" s="69">
        <f aca="true" t="shared" si="128" ref="AH62:AH100">P62</f>
        <v>0</v>
      </c>
      <c r="AI62" s="69">
        <f aca="true" t="shared" si="129" ref="AI62:AI100">Q62</f>
        <v>0</v>
      </c>
      <c r="AK62" s="436">
        <f t="shared" si="114"/>
        <v>0</v>
      </c>
      <c r="AL62" s="586">
        <f t="shared" si="99"/>
        <v>34.98</v>
      </c>
      <c r="AM62" s="436">
        <f t="shared" si="110"/>
        <v>11.68</v>
      </c>
      <c r="AN62" s="436">
        <f t="shared" si="111"/>
        <v>0</v>
      </c>
      <c r="AO62" s="436">
        <f t="shared" si="112"/>
        <v>0</v>
      </c>
      <c r="AQ62" s="70">
        <f t="shared" si="115"/>
        <v>0</v>
      </c>
      <c r="AR62" s="70">
        <f t="shared" si="104"/>
        <v>0</v>
      </c>
      <c r="AS62" s="70">
        <f t="shared" si="116"/>
        <v>11.68</v>
      </c>
      <c r="AT62" s="70">
        <f t="shared" si="117"/>
        <v>0</v>
      </c>
      <c r="AU62" s="70">
        <f t="shared" si="118"/>
        <v>0</v>
      </c>
      <c r="AV62" s="70">
        <f>SUM(AQ62:AU62)-SUM(Y62:AC62)</f>
        <v>0</v>
      </c>
      <c r="AW62" s="448">
        <v>85</v>
      </c>
      <c r="AX62" s="583"/>
      <c r="AY62" s="583"/>
      <c r="AZ62" s="583">
        <v>12.04</v>
      </c>
      <c r="BA62" s="583"/>
      <c r="BB62" s="583"/>
      <c r="BC62" s="140"/>
      <c r="BD62" s="589">
        <f t="shared" si="66"/>
        <v>0.17999999999999994</v>
      </c>
      <c r="BE62" s="54"/>
      <c r="BF62" s="54"/>
      <c r="BG62" s="54">
        <f>ROUND((U62*$BE$2)+$BD62-AZ62,2)</f>
        <v>0</v>
      </c>
      <c r="BH62" s="54"/>
      <c r="BI62" s="54"/>
      <c r="BL62" s="279">
        <f t="shared" si="119"/>
        <v>0</v>
      </c>
      <c r="BM62" s="279">
        <f t="shared" si="120"/>
        <v>35.50819799999999</v>
      </c>
      <c r="BN62" s="279">
        <f t="shared" si="75"/>
        <v>11.856367999999998</v>
      </c>
      <c r="BO62" s="279">
        <f t="shared" si="76"/>
        <v>0</v>
      </c>
      <c r="BP62" s="279">
        <f t="shared" si="77"/>
        <v>0</v>
      </c>
      <c r="BR62" s="54">
        <f t="shared" si="70"/>
        <v>0</v>
      </c>
      <c r="BS62" s="54">
        <f t="shared" si="71"/>
        <v>35.50819799999999</v>
      </c>
      <c r="BT62" s="54">
        <f t="shared" si="72"/>
        <v>-0.18363200000000113</v>
      </c>
      <c r="BU62" s="54">
        <f t="shared" si="73"/>
        <v>0</v>
      </c>
      <c r="BV62" s="54">
        <f t="shared" si="74"/>
        <v>0</v>
      </c>
    </row>
    <row r="63" spans="2:74" ht="12.75">
      <c r="B63" s="35">
        <v>2</v>
      </c>
      <c r="C63" s="72" t="s">
        <v>120</v>
      </c>
      <c r="D63" s="35">
        <v>631</v>
      </c>
      <c r="E63" s="562">
        <v>38</v>
      </c>
      <c r="F63" s="73"/>
      <c r="G63" s="73" t="str">
        <f t="shared" si="89"/>
        <v>042631</v>
      </c>
      <c r="H63" s="46"/>
      <c r="I63" t="s">
        <v>128</v>
      </c>
      <c r="J63" t="s">
        <v>109</v>
      </c>
      <c r="K63" s="59" t="s">
        <v>142</v>
      </c>
      <c r="L63" s="97">
        <v>532</v>
      </c>
      <c r="M63" s="69">
        <f t="shared" si="109"/>
        <v>0</v>
      </c>
      <c r="N63" s="69">
        <f t="shared" si="109"/>
        <v>109</v>
      </c>
      <c r="O63" s="69">
        <f t="shared" si="109"/>
        <v>89</v>
      </c>
      <c r="P63" s="69">
        <f t="shared" si="109"/>
        <v>0</v>
      </c>
      <c r="Q63" s="69">
        <f t="shared" si="109"/>
        <v>0</v>
      </c>
      <c r="R63" s="581">
        <f t="shared" si="97"/>
        <v>0</v>
      </c>
      <c r="S63" s="620">
        <v>0</v>
      </c>
      <c r="T63" s="620">
        <v>34.98</v>
      </c>
      <c r="U63" s="620">
        <v>11.68</v>
      </c>
      <c r="V63" s="620">
        <v>0</v>
      </c>
      <c r="W63" s="620">
        <v>0</v>
      </c>
      <c r="Y63" s="70">
        <f t="shared" si="59"/>
        <v>0</v>
      </c>
      <c r="Z63" s="70">
        <f>IF(AND(N63&lt;&gt;0,T63=0),#VALUE!,N63*T63)</f>
        <v>3812.8199999999997</v>
      </c>
      <c r="AA63" s="70">
        <f t="shared" si="61"/>
        <v>1039.52</v>
      </c>
      <c r="AB63" s="70">
        <f t="shared" si="62"/>
        <v>0</v>
      </c>
      <c r="AC63" s="70">
        <f t="shared" si="63"/>
        <v>0</v>
      </c>
      <c r="AE63" s="69">
        <f t="shared" si="64"/>
        <v>0</v>
      </c>
      <c r="AF63" s="69">
        <f t="shared" si="126"/>
        <v>109</v>
      </c>
      <c r="AG63" s="69">
        <f t="shared" si="127"/>
        <v>89</v>
      </c>
      <c r="AH63" s="69">
        <f t="shared" si="128"/>
        <v>0</v>
      </c>
      <c r="AI63" s="69">
        <f t="shared" si="129"/>
        <v>0</v>
      </c>
      <c r="AK63" s="436">
        <f t="shared" si="114"/>
        <v>0</v>
      </c>
      <c r="AL63" s="436">
        <f t="shared" si="99"/>
        <v>34.98</v>
      </c>
      <c r="AM63" s="436">
        <f t="shared" si="110"/>
        <v>11.68</v>
      </c>
      <c r="AN63" s="436">
        <f t="shared" si="111"/>
        <v>0</v>
      </c>
      <c r="AO63" s="436">
        <f t="shared" si="112"/>
        <v>0</v>
      </c>
      <c r="AQ63" s="70">
        <f t="shared" si="115"/>
        <v>0</v>
      </c>
      <c r="AR63" s="70">
        <f t="shared" si="104"/>
        <v>3812.8199999999997</v>
      </c>
      <c r="AS63" s="70">
        <f t="shared" si="116"/>
        <v>1039.52</v>
      </c>
      <c r="AT63" s="70">
        <f t="shared" si="117"/>
        <v>0</v>
      </c>
      <c r="AU63" s="70">
        <f t="shared" si="118"/>
        <v>0</v>
      </c>
      <c r="AV63" s="70">
        <f>SUM(AQ63:AU63)-SUM(Y63:AC63)</f>
        <v>0</v>
      </c>
      <c r="AW63" s="448">
        <v>85</v>
      </c>
      <c r="AX63" s="583"/>
      <c r="AY63" s="583">
        <v>35.69</v>
      </c>
      <c r="AZ63" s="583">
        <v>12.04</v>
      </c>
      <c r="BA63" s="583"/>
      <c r="BB63" s="583"/>
      <c r="BC63" s="140"/>
      <c r="BD63" s="589">
        <f t="shared" si="66"/>
        <v>0.17999999999999994</v>
      </c>
      <c r="BE63" s="54"/>
      <c r="BF63" s="54">
        <f aca="true" t="shared" si="130" ref="BF63:BF79">ROUND((T63*$BE$2)+$BD63-AY63,2)</f>
        <v>0</v>
      </c>
      <c r="BG63" s="54">
        <f>ROUND((U63*$BE$2)+$BD63-AZ63,2)</f>
        <v>0</v>
      </c>
      <c r="BH63" s="54"/>
      <c r="BI63" s="54"/>
      <c r="BL63" s="279">
        <f t="shared" si="119"/>
        <v>0</v>
      </c>
      <c r="BM63" s="279">
        <f t="shared" si="120"/>
        <v>35.50819799999999</v>
      </c>
      <c r="BN63" s="279">
        <f t="shared" si="75"/>
        <v>11.856367999999998</v>
      </c>
      <c r="BO63" s="279">
        <f t="shared" si="76"/>
        <v>0</v>
      </c>
      <c r="BP63" s="279">
        <f t="shared" si="77"/>
        <v>0</v>
      </c>
      <c r="BR63" s="54">
        <f t="shared" si="70"/>
        <v>0</v>
      </c>
      <c r="BS63" s="54">
        <f t="shared" si="71"/>
        <v>-0.18180200000000468</v>
      </c>
      <c r="BT63" s="54">
        <f t="shared" si="72"/>
        <v>-0.18363200000000113</v>
      </c>
      <c r="BU63" s="54">
        <f t="shared" si="73"/>
        <v>0</v>
      </c>
      <c r="BV63" s="54">
        <f t="shared" si="74"/>
        <v>0</v>
      </c>
    </row>
    <row r="64" spans="2:84" ht="12.75">
      <c r="B64" s="35">
        <v>2</v>
      </c>
      <c r="C64" s="72" t="s">
        <v>120</v>
      </c>
      <c r="D64" s="35">
        <v>633</v>
      </c>
      <c r="E64" s="562">
        <v>34</v>
      </c>
      <c r="F64" s="73"/>
      <c r="G64" s="73" t="str">
        <f t="shared" si="89"/>
        <v>042633</v>
      </c>
      <c r="H64" s="46"/>
      <c r="I64" s="435" t="s">
        <v>713</v>
      </c>
      <c r="J64" s="578" t="s">
        <v>109</v>
      </c>
      <c r="K64" s="580" t="s">
        <v>615</v>
      </c>
      <c r="L64" s="582" t="s">
        <v>607</v>
      </c>
      <c r="M64" s="581">
        <f aca="true" t="shared" si="131" ref="M64:Q73">SUMIF($G:$G,TEXT(M$3,"000")&amp;TEXT($L64,"000"),$E:$E)</f>
        <v>0</v>
      </c>
      <c r="N64" s="581">
        <f t="shared" si="131"/>
        <v>705</v>
      </c>
      <c r="O64" s="581">
        <f t="shared" si="131"/>
        <v>0</v>
      </c>
      <c r="P64" s="581">
        <f t="shared" si="131"/>
        <v>0</v>
      </c>
      <c r="Q64" s="581">
        <f t="shared" si="131"/>
        <v>0</v>
      </c>
      <c r="R64" s="581">
        <f t="shared" si="97"/>
        <v>0</v>
      </c>
      <c r="S64" s="620">
        <v>0</v>
      </c>
      <c r="T64" s="650">
        <f>T63</f>
        <v>34.98</v>
      </c>
      <c r="U64" s="620">
        <v>0</v>
      </c>
      <c r="V64" s="620">
        <v>0</v>
      </c>
      <c r="W64" s="620"/>
      <c r="X64" s="578"/>
      <c r="Y64" s="70">
        <f aca="true" t="shared" si="132" ref="Y64:AC65">IF(AND(M64&lt;&gt;0,S64=0),#VALUE!,M64*S64)</f>
        <v>0</v>
      </c>
      <c r="Z64" s="70">
        <f t="shared" si="132"/>
        <v>24660.899999999998</v>
      </c>
      <c r="AA64" s="70">
        <f t="shared" si="132"/>
        <v>0</v>
      </c>
      <c r="AB64" s="70">
        <f t="shared" si="132"/>
        <v>0</v>
      </c>
      <c r="AC64" s="70">
        <f t="shared" si="132"/>
        <v>0</v>
      </c>
      <c r="AD64" s="578"/>
      <c r="AE64" s="581">
        <f>SUMIF($G:$G,TEXT(AE$3,"000")&amp;TEXT($L64,"000"),$E:$E)</f>
        <v>0</v>
      </c>
      <c r="AF64" s="581">
        <f>SUMIF($G:$G,TEXT(AF$3,"000")&amp;TEXT($L64,"000"),$E:$E)</f>
        <v>705</v>
      </c>
      <c r="AG64" s="581">
        <f>SUMIF($G:$G,TEXT(AG$3,"000")&amp;TEXT($L64,"000"),$E:$E)</f>
        <v>0</v>
      </c>
      <c r="AH64" s="581">
        <f>SUMIF($G:$G,TEXT(AH$3,"000")&amp;TEXT($L64,"000"),$E:$E)</f>
        <v>0</v>
      </c>
      <c r="AI64" s="581">
        <f>SUMIF($G:$G,TEXT(AI$3,"000")&amp;TEXT($L64,"000"),$E:$E)</f>
        <v>0</v>
      </c>
      <c r="AJ64" s="578"/>
      <c r="AK64" s="586">
        <f>ROUND(S64*(1+AK$1),2)</f>
        <v>0</v>
      </c>
      <c r="AL64" s="586">
        <f>AL63</f>
        <v>34.98</v>
      </c>
      <c r="AM64" s="586">
        <f t="shared" si="110"/>
        <v>0</v>
      </c>
      <c r="AN64" s="586">
        <f t="shared" si="111"/>
        <v>0</v>
      </c>
      <c r="AO64" s="586">
        <f t="shared" si="112"/>
        <v>0</v>
      </c>
      <c r="AP64" s="578"/>
      <c r="AQ64" s="70">
        <f t="shared" si="115"/>
        <v>0</v>
      </c>
      <c r="AR64" s="70">
        <f t="shared" si="104"/>
        <v>24660.899999999998</v>
      </c>
      <c r="AS64" s="70">
        <f t="shared" si="116"/>
        <v>0</v>
      </c>
      <c r="AT64" s="70">
        <f t="shared" si="117"/>
        <v>0</v>
      </c>
      <c r="AU64" s="70">
        <f t="shared" si="118"/>
        <v>0</v>
      </c>
      <c r="AV64" s="578"/>
      <c r="AW64" s="593">
        <v>39</v>
      </c>
      <c r="AX64" s="583"/>
      <c r="AY64" s="583">
        <v>35.59</v>
      </c>
      <c r="AZ64" s="583"/>
      <c r="BA64" s="583"/>
      <c r="BB64" s="583"/>
      <c r="BC64" s="583"/>
      <c r="BD64" s="589">
        <f>ROUND(AW64*$BD$2,2)+ROUND(AW64*$BD$1,2)</f>
        <v>0.08000000000000002</v>
      </c>
      <c r="BE64" s="579"/>
      <c r="BF64" s="579">
        <f t="shared" si="130"/>
        <v>0</v>
      </c>
      <c r="BG64" s="579"/>
      <c r="BH64" s="579"/>
      <c r="BI64" s="579"/>
      <c r="BJ64" s="578"/>
      <c r="BK64" s="578"/>
      <c r="BL64" s="587">
        <f t="shared" si="119"/>
        <v>0</v>
      </c>
      <c r="BM64" s="587">
        <f t="shared" si="120"/>
        <v>35.50819799999999</v>
      </c>
      <c r="BN64" s="587">
        <f aca="true" t="shared" si="133" ref="BN64:BP65">AM64*$BL$1</f>
        <v>0</v>
      </c>
      <c r="BO64" s="587">
        <f t="shared" si="133"/>
        <v>0</v>
      </c>
      <c r="BP64" s="587">
        <f t="shared" si="133"/>
        <v>0</v>
      </c>
      <c r="BQ64" s="578"/>
      <c r="BR64" s="579">
        <f aca="true" t="shared" si="134" ref="BR64:BV65">BL64-AX64</f>
        <v>0</v>
      </c>
      <c r="BS64" s="579">
        <f t="shared" si="134"/>
        <v>-0.08180200000001037</v>
      </c>
      <c r="BT64" s="579">
        <f t="shared" si="134"/>
        <v>0</v>
      </c>
      <c r="BU64" s="579">
        <f t="shared" si="134"/>
        <v>0</v>
      </c>
      <c r="BV64" s="579">
        <f t="shared" si="134"/>
        <v>0</v>
      </c>
      <c r="BW64" s="578"/>
      <c r="BX64" s="578"/>
      <c r="BY64" s="578"/>
      <c r="BZ64" s="578"/>
      <c r="CA64" s="578"/>
      <c r="CF64" s="596"/>
    </row>
    <row r="65" spans="2:83" ht="12.75">
      <c r="B65" s="35">
        <v>2</v>
      </c>
      <c r="C65" s="72" t="s">
        <v>120</v>
      </c>
      <c r="D65" s="35">
        <v>636</v>
      </c>
      <c r="E65" s="562">
        <v>2</v>
      </c>
      <c r="F65" s="73"/>
      <c r="G65" s="73" t="str">
        <f t="shared" si="89"/>
        <v>042636</v>
      </c>
      <c r="H65" s="46"/>
      <c r="I65" s="648" t="s">
        <v>713</v>
      </c>
      <c r="J65" s="648" t="s">
        <v>109</v>
      </c>
      <c r="K65" s="580" t="s">
        <v>615</v>
      </c>
      <c r="L65" s="582" t="s">
        <v>711</v>
      </c>
      <c r="M65" s="581">
        <f t="shared" si="131"/>
        <v>0</v>
      </c>
      <c r="N65" s="581">
        <f t="shared" si="131"/>
        <v>152</v>
      </c>
      <c r="O65" s="581">
        <f t="shared" si="131"/>
        <v>0</v>
      </c>
      <c r="P65" s="581">
        <f t="shared" si="131"/>
        <v>0</v>
      </c>
      <c r="Q65" s="581">
        <f t="shared" si="131"/>
        <v>0</v>
      </c>
      <c r="R65" s="581">
        <f t="shared" si="97"/>
        <v>0</v>
      </c>
      <c r="S65" s="620">
        <v>0</v>
      </c>
      <c r="T65" s="650">
        <f>T63-T102</f>
        <v>29.449999999999996</v>
      </c>
      <c r="U65" s="620"/>
      <c r="V65" s="620">
        <v>0</v>
      </c>
      <c r="W65" s="620">
        <v>0</v>
      </c>
      <c r="X65" s="648"/>
      <c r="Y65" s="70">
        <f t="shared" si="132"/>
        <v>0</v>
      </c>
      <c r="Z65" s="70">
        <f t="shared" si="132"/>
        <v>4476.4</v>
      </c>
      <c r="AA65" s="70">
        <f t="shared" si="132"/>
        <v>0</v>
      </c>
      <c r="AB65" s="70">
        <f t="shared" si="132"/>
        <v>0</v>
      </c>
      <c r="AC65" s="70">
        <f t="shared" si="132"/>
        <v>0</v>
      </c>
      <c r="AD65" s="648"/>
      <c r="AE65" s="581">
        <f>M65</f>
        <v>0</v>
      </c>
      <c r="AF65" s="581">
        <f>N65</f>
        <v>152</v>
      </c>
      <c r="AG65" s="581">
        <f>O65</f>
        <v>0</v>
      </c>
      <c r="AH65" s="581">
        <f>P65</f>
        <v>0</v>
      </c>
      <c r="AI65" s="581">
        <f>Q65</f>
        <v>0</v>
      </c>
      <c r="AJ65" s="648"/>
      <c r="AK65" s="586">
        <f>ROUND(S65*(1+AK$1),2)</f>
        <v>0</v>
      </c>
      <c r="AL65" s="586">
        <f>AL64-AL102</f>
        <v>29.449999999999996</v>
      </c>
      <c r="AM65" s="586">
        <f t="shared" si="110"/>
        <v>0</v>
      </c>
      <c r="AN65" s="586">
        <f t="shared" si="111"/>
        <v>0</v>
      </c>
      <c r="AO65" s="586">
        <f t="shared" si="112"/>
        <v>0</v>
      </c>
      <c r="AP65" s="648"/>
      <c r="AQ65" s="70">
        <f t="shared" si="115"/>
        <v>0</v>
      </c>
      <c r="AR65" s="70">
        <f t="shared" si="104"/>
        <v>4476.4</v>
      </c>
      <c r="AS65" s="70">
        <f t="shared" si="116"/>
        <v>0</v>
      </c>
      <c r="AT65" s="70">
        <f t="shared" si="117"/>
        <v>0</v>
      </c>
      <c r="AU65" s="70">
        <f t="shared" si="118"/>
        <v>0</v>
      </c>
      <c r="AV65" s="70">
        <f>SUM(AQ65:AU65)-SUM(Y65:AC65)</f>
        <v>0</v>
      </c>
      <c r="AW65" s="593">
        <v>39</v>
      </c>
      <c r="AX65" s="583"/>
      <c r="AY65" s="583">
        <v>29.97</v>
      </c>
      <c r="AZ65" s="583"/>
      <c r="BA65" s="583"/>
      <c r="BB65" s="583"/>
      <c r="BC65" s="583"/>
      <c r="BD65" s="589">
        <f>ROUND(AW65*$BD$2,2)+ROUND(AW65*$BD$1,2)</f>
        <v>0.08000000000000002</v>
      </c>
      <c r="BE65" s="579"/>
      <c r="BF65" s="579">
        <f t="shared" si="130"/>
        <v>0</v>
      </c>
      <c r="BG65" s="579"/>
      <c r="BH65" s="579"/>
      <c r="BI65" s="579"/>
      <c r="BJ65" s="648"/>
      <c r="BK65" s="648"/>
      <c r="BL65" s="587">
        <f t="shared" si="119"/>
        <v>0</v>
      </c>
      <c r="BM65" s="587">
        <f t="shared" si="120"/>
        <v>29.89469499999999</v>
      </c>
      <c r="BN65" s="587">
        <f t="shared" si="133"/>
        <v>0</v>
      </c>
      <c r="BO65" s="587">
        <f t="shared" si="133"/>
        <v>0</v>
      </c>
      <c r="BP65" s="587">
        <f t="shared" si="133"/>
        <v>0</v>
      </c>
      <c r="BQ65" s="648"/>
      <c r="BR65" s="579">
        <f t="shared" si="134"/>
        <v>0</v>
      </c>
      <c r="BS65" s="579">
        <f t="shared" si="134"/>
        <v>-0.07530500000000728</v>
      </c>
      <c r="BT65" s="579">
        <f t="shared" si="134"/>
        <v>0</v>
      </c>
      <c r="BU65" s="579">
        <f t="shared" si="134"/>
        <v>0</v>
      </c>
      <c r="BV65" s="579">
        <f t="shared" si="134"/>
        <v>0</v>
      </c>
      <c r="BW65" s="648"/>
      <c r="BX65" s="648"/>
      <c r="BY65" s="648"/>
      <c r="BZ65" s="648"/>
      <c r="CA65" s="648"/>
      <c r="CB65" s="648"/>
      <c r="CC65" s="648"/>
      <c r="CD65" s="648"/>
      <c r="CE65" s="648"/>
    </row>
    <row r="66" spans="2:74" ht="12.75">
      <c r="B66" s="35">
        <v>2</v>
      </c>
      <c r="C66" s="72" t="s">
        <v>120</v>
      </c>
      <c r="D66" s="35">
        <v>831</v>
      </c>
      <c r="E66" s="562">
        <v>0</v>
      </c>
      <c r="F66" s="73"/>
      <c r="G66" s="73" t="str">
        <f t="shared" si="89"/>
        <v>042831</v>
      </c>
      <c r="H66" s="46"/>
      <c r="I66" t="s">
        <v>128</v>
      </c>
      <c r="J66" t="s">
        <v>110</v>
      </c>
      <c r="K66" s="59" t="s">
        <v>142</v>
      </c>
      <c r="L66" s="97">
        <v>533</v>
      </c>
      <c r="M66" s="69">
        <f t="shared" si="131"/>
        <v>0</v>
      </c>
      <c r="N66" s="69">
        <f t="shared" si="131"/>
        <v>21</v>
      </c>
      <c r="O66" s="69">
        <f t="shared" si="131"/>
        <v>3</v>
      </c>
      <c r="P66" s="69">
        <f t="shared" si="131"/>
        <v>0</v>
      </c>
      <c r="Q66" s="69">
        <f t="shared" si="131"/>
        <v>0</v>
      </c>
      <c r="R66" s="581">
        <f t="shared" si="97"/>
        <v>0</v>
      </c>
      <c r="S66" s="620">
        <v>0</v>
      </c>
      <c r="T66" s="620">
        <v>34.98</v>
      </c>
      <c r="U66" s="620">
        <v>11.68</v>
      </c>
      <c r="V66" s="620">
        <v>0</v>
      </c>
      <c r="W66" s="620">
        <v>0</v>
      </c>
      <c r="Y66" s="70">
        <f t="shared" si="59"/>
        <v>0</v>
      </c>
      <c r="Z66" s="70">
        <f t="shared" si="60"/>
        <v>734.5799999999999</v>
      </c>
      <c r="AA66" s="70">
        <f t="shared" si="61"/>
        <v>35.04</v>
      </c>
      <c r="AB66" s="70">
        <f t="shared" si="62"/>
        <v>0</v>
      </c>
      <c r="AC66" s="70">
        <f t="shared" si="63"/>
        <v>0</v>
      </c>
      <c r="AE66" s="69">
        <f t="shared" si="64"/>
        <v>0</v>
      </c>
      <c r="AF66" s="69">
        <f t="shared" si="126"/>
        <v>21</v>
      </c>
      <c r="AG66" s="69">
        <f t="shared" si="127"/>
        <v>3</v>
      </c>
      <c r="AH66" s="69">
        <f t="shared" si="128"/>
        <v>0</v>
      </c>
      <c r="AI66" s="69">
        <f t="shared" si="129"/>
        <v>0</v>
      </c>
      <c r="AK66" s="436">
        <f t="shared" si="114"/>
        <v>0</v>
      </c>
      <c r="AL66" s="436">
        <f t="shared" si="99"/>
        <v>34.98</v>
      </c>
      <c r="AM66" s="436">
        <f t="shared" si="110"/>
        <v>11.68</v>
      </c>
      <c r="AN66" s="436">
        <f t="shared" si="111"/>
        <v>0</v>
      </c>
      <c r="AO66" s="436">
        <f t="shared" si="112"/>
        <v>0</v>
      </c>
      <c r="AQ66" s="70">
        <f t="shared" si="115"/>
        <v>0</v>
      </c>
      <c r="AR66" s="70">
        <f t="shared" si="104"/>
        <v>734.5799999999999</v>
      </c>
      <c r="AS66" s="70">
        <f t="shared" si="116"/>
        <v>35.04</v>
      </c>
      <c r="AT66" s="70">
        <f t="shared" si="117"/>
        <v>0</v>
      </c>
      <c r="AU66" s="70">
        <f t="shared" si="118"/>
        <v>0</v>
      </c>
      <c r="AV66" s="70">
        <f>SUM(AQ66:AU66)-SUM(Y66:AC66)</f>
        <v>0</v>
      </c>
      <c r="AW66" s="448">
        <v>85</v>
      </c>
      <c r="AX66" s="583"/>
      <c r="AY66" s="583">
        <v>35.69</v>
      </c>
      <c r="AZ66" s="583">
        <v>12.04</v>
      </c>
      <c r="BA66" s="583"/>
      <c r="BB66" s="583"/>
      <c r="BC66" s="140"/>
      <c r="BD66" s="589">
        <f t="shared" si="66"/>
        <v>0.17999999999999994</v>
      </c>
      <c r="BE66" s="54"/>
      <c r="BF66" s="54">
        <f t="shared" si="130"/>
        <v>0</v>
      </c>
      <c r="BG66" s="54">
        <f>ROUND((U66*$BE$2)+$BD66-AZ66,2)</f>
        <v>0</v>
      </c>
      <c r="BH66" s="54"/>
      <c r="BI66" s="54"/>
      <c r="BL66" s="279">
        <f t="shared" si="119"/>
        <v>0</v>
      </c>
      <c r="BM66" s="279">
        <f t="shared" si="120"/>
        <v>35.50819799999999</v>
      </c>
      <c r="BN66" s="279">
        <f t="shared" si="75"/>
        <v>11.856367999999998</v>
      </c>
      <c r="BO66" s="279">
        <f t="shared" si="76"/>
        <v>0</v>
      </c>
      <c r="BP66" s="279">
        <f t="shared" si="77"/>
        <v>0</v>
      </c>
      <c r="BR66" s="54">
        <f t="shared" si="70"/>
        <v>0</v>
      </c>
      <c r="BS66" s="54">
        <f t="shared" si="71"/>
        <v>-0.18180200000000468</v>
      </c>
      <c r="BT66" s="54">
        <f t="shared" si="72"/>
        <v>-0.18363200000000113</v>
      </c>
      <c r="BU66" s="54">
        <f t="shared" si="73"/>
        <v>0</v>
      </c>
      <c r="BV66" s="54">
        <f t="shared" si="74"/>
        <v>0</v>
      </c>
    </row>
    <row r="67" spans="1:79" ht="12.75">
      <c r="A67" s="648"/>
      <c r="B67" s="541">
        <v>2</v>
      </c>
      <c r="C67" s="72" t="s">
        <v>120</v>
      </c>
      <c r="D67" s="541" t="s">
        <v>719</v>
      </c>
      <c r="E67" s="564">
        <v>0</v>
      </c>
      <c r="F67" s="73"/>
      <c r="G67" s="73" t="str">
        <f t="shared" si="89"/>
        <v>042831T</v>
      </c>
      <c r="H67" s="46"/>
      <c r="I67" s="435" t="s">
        <v>713</v>
      </c>
      <c r="J67" s="578" t="s">
        <v>110</v>
      </c>
      <c r="K67" s="580" t="s">
        <v>615</v>
      </c>
      <c r="L67" s="582" t="s">
        <v>608</v>
      </c>
      <c r="M67" s="581">
        <f t="shared" si="131"/>
        <v>0</v>
      </c>
      <c r="N67" s="581">
        <f t="shared" si="131"/>
        <v>53</v>
      </c>
      <c r="O67" s="581">
        <f t="shared" si="131"/>
        <v>0</v>
      </c>
      <c r="P67" s="581">
        <f t="shared" si="131"/>
        <v>0</v>
      </c>
      <c r="Q67" s="581">
        <f t="shared" si="131"/>
        <v>0</v>
      </c>
      <c r="R67" s="581">
        <f t="shared" si="97"/>
        <v>0</v>
      </c>
      <c r="S67" s="620">
        <v>0</v>
      </c>
      <c r="T67" s="650">
        <f>T66</f>
        <v>34.98</v>
      </c>
      <c r="U67" s="620">
        <v>0</v>
      </c>
      <c r="V67" s="620">
        <v>0</v>
      </c>
      <c r="W67" s="620"/>
      <c r="X67" s="578"/>
      <c r="Y67" s="70">
        <f aca="true" t="shared" si="135" ref="Y67:AC68">IF(AND(M67&lt;&gt;0,S67=0),#VALUE!,M67*S67)</f>
        <v>0</v>
      </c>
      <c r="Z67" s="70">
        <f t="shared" si="135"/>
        <v>1853.9399999999998</v>
      </c>
      <c r="AA67" s="70">
        <f t="shared" si="135"/>
        <v>0</v>
      </c>
      <c r="AB67" s="70">
        <f t="shared" si="135"/>
        <v>0</v>
      </c>
      <c r="AC67" s="70">
        <f t="shared" si="135"/>
        <v>0</v>
      </c>
      <c r="AD67" s="578"/>
      <c r="AE67" s="581">
        <f>SUMIF($G:$G,TEXT(AE$3,"000")&amp;TEXT($L67,"000"),$E:$E)</f>
        <v>0</v>
      </c>
      <c r="AF67" s="581">
        <f>SUMIF($G:$G,TEXT(AF$3,"000")&amp;TEXT($L67,"000"),$E:$E)</f>
        <v>53</v>
      </c>
      <c r="AG67" s="581">
        <f>SUMIF($G:$G,TEXT(AG$3,"000")&amp;TEXT($L67,"000"),$E:$E)</f>
        <v>0</v>
      </c>
      <c r="AH67" s="581">
        <f>SUMIF($G:$G,TEXT(AH$3,"000")&amp;TEXT($L67,"000"),$E:$E)</f>
        <v>0</v>
      </c>
      <c r="AI67" s="581">
        <f>SUMIF($G:$G,TEXT(AI$3,"000")&amp;TEXT($L67,"000"),$E:$E)</f>
        <v>0</v>
      </c>
      <c r="AJ67" s="578"/>
      <c r="AK67" s="586">
        <f>ROUND(S67*(1+AK$1),2)</f>
        <v>0</v>
      </c>
      <c r="AL67" s="586">
        <f>AL66</f>
        <v>34.98</v>
      </c>
      <c r="AM67" s="586">
        <f t="shared" si="110"/>
        <v>0</v>
      </c>
      <c r="AN67" s="586">
        <f t="shared" si="111"/>
        <v>0</v>
      </c>
      <c r="AO67" s="586">
        <f t="shared" si="112"/>
        <v>0</v>
      </c>
      <c r="AP67" s="578"/>
      <c r="AQ67" s="70">
        <f t="shared" si="115"/>
        <v>0</v>
      </c>
      <c r="AR67" s="70">
        <f t="shared" si="104"/>
        <v>1853.9399999999998</v>
      </c>
      <c r="AS67" s="70">
        <f t="shared" si="116"/>
        <v>0</v>
      </c>
      <c r="AT67" s="70">
        <f t="shared" si="117"/>
        <v>0</v>
      </c>
      <c r="AU67" s="70">
        <f t="shared" si="118"/>
        <v>0</v>
      </c>
      <c r="AV67" s="578"/>
      <c r="AW67" s="593">
        <v>39</v>
      </c>
      <c r="AX67" s="583"/>
      <c r="AY67" s="583">
        <v>35.59</v>
      </c>
      <c r="AZ67" s="583"/>
      <c r="BA67" s="583"/>
      <c r="BB67" s="583"/>
      <c r="BC67" s="583"/>
      <c r="BD67" s="589">
        <f>ROUND(AW67*$BD$2,2)+ROUND(AW67*$BD$1,2)</f>
        <v>0.08000000000000002</v>
      </c>
      <c r="BE67" s="579"/>
      <c r="BF67" s="579">
        <f t="shared" si="130"/>
        <v>0</v>
      </c>
      <c r="BG67" s="579"/>
      <c r="BH67" s="579"/>
      <c r="BI67" s="579"/>
      <c r="BJ67" s="578"/>
      <c r="BK67" s="578"/>
      <c r="BL67" s="587">
        <f t="shared" si="119"/>
        <v>0</v>
      </c>
      <c r="BM67" s="587">
        <f t="shared" si="120"/>
        <v>35.50819799999999</v>
      </c>
      <c r="BN67" s="587">
        <f aca="true" t="shared" si="136" ref="BN67:BP68">AM67*$BL$1</f>
        <v>0</v>
      </c>
      <c r="BO67" s="587">
        <f t="shared" si="136"/>
        <v>0</v>
      </c>
      <c r="BP67" s="587">
        <f t="shared" si="136"/>
        <v>0</v>
      </c>
      <c r="BQ67" s="578"/>
      <c r="BR67" s="579">
        <f aca="true" t="shared" si="137" ref="BR67:BV68">BL67-AX67</f>
        <v>0</v>
      </c>
      <c r="BS67" s="579">
        <f t="shared" si="137"/>
        <v>-0.08180200000001037</v>
      </c>
      <c r="BT67" s="579">
        <f t="shared" si="137"/>
        <v>0</v>
      </c>
      <c r="BU67" s="579">
        <f t="shared" si="137"/>
        <v>0</v>
      </c>
      <c r="BV67" s="579">
        <f t="shared" si="137"/>
        <v>0</v>
      </c>
      <c r="BW67" s="578"/>
      <c r="BX67" s="578"/>
      <c r="BY67" s="578"/>
      <c r="BZ67" s="578"/>
      <c r="CA67" s="578"/>
    </row>
    <row r="68" spans="1:83" ht="12.75">
      <c r="A68" s="686"/>
      <c r="B68" s="541">
        <v>2</v>
      </c>
      <c r="C68" s="72" t="s">
        <v>120</v>
      </c>
      <c r="D68" s="541" t="s">
        <v>641</v>
      </c>
      <c r="E68" s="564">
        <v>0</v>
      </c>
      <c r="F68" s="73"/>
      <c r="G68" s="73" t="str">
        <f aca="true" t="shared" si="138" ref="G68">IF(OR(ISBLANK(C68),ISBLANK(D68)),"",TEXT(C68,"000")&amp;TEXT(D68,"000"))</f>
        <v>042831L</v>
      </c>
      <c r="H68" s="46"/>
      <c r="I68" s="648" t="s">
        <v>713</v>
      </c>
      <c r="J68" s="648" t="s">
        <v>110</v>
      </c>
      <c r="K68" s="580" t="s">
        <v>615</v>
      </c>
      <c r="L68" s="582" t="s">
        <v>712</v>
      </c>
      <c r="M68" s="581">
        <f t="shared" si="131"/>
        <v>0</v>
      </c>
      <c r="N68" s="581">
        <f t="shared" si="131"/>
        <v>47</v>
      </c>
      <c r="O68" s="581">
        <f t="shared" si="131"/>
        <v>0</v>
      </c>
      <c r="P68" s="581">
        <f t="shared" si="131"/>
        <v>0</v>
      </c>
      <c r="Q68" s="581">
        <f t="shared" si="131"/>
        <v>0</v>
      </c>
      <c r="R68" s="581">
        <f t="shared" si="97"/>
        <v>0</v>
      </c>
      <c r="S68" s="620">
        <v>0</v>
      </c>
      <c r="T68" s="650">
        <f>T66-T102</f>
        <v>29.449999999999996</v>
      </c>
      <c r="U68" s="620"/>
      <c r="V68" s="620">
        <v>0</v>
      </c>
      <c r="W68" s="620">
        <v>0</v>
      </c>
      <c r="X68" s="648"/>
      <c r="Y68" s="70">
        <f t="shared" si="135"/>
        <v>0</v>
      </c>
      <c r="Z68" s="70">
        <f t="shared" si="135"/>
        <v>1384.1499999999999</v>
      </c>
      <c r="AA68" s="70">
        <f t="shared" si="135"/>
        <v>0</v>
      </c>
      <c r="AB68" s="70">
        <f t="shared" si="135"/>
        <v>0</v>
      </c>
      <c r="AC68" s="70">
        <f t="shared" si="135"/>
        <v>0</v>
      </c>
      <c r="AD68" s="648"/>
      <c r="AE68" s="581">
        <f>M68</f>
        <v>0</v>
      </c>
      <c r="AF68" s="581">
        <f>N68</f>
        <v>47</v>
      </c>
      <c r="AG68" s="581">
        <f>O68</f>
        <v>0</v>
      </c>
      <c r="AH68" s="581">
        <f>P68</f>
        <v>0</v>
      </c>
      <c r="AI68" s="581">
        <f>Q68</f>
        <v>0</v>
      </c>
      <c r="AJ68" s="648"/>
      <c r="AK68" s="586">
        <f>ROUND(S68*(1+AK$1),2)</f>
        <v>0</v>
      </c>
      <c r="AL68" s="586">
        <f>AL67-AL102</f>
        <v>29.449999999999996</v>
      </c>
      <c r="AM68" s="586">
        <f t="shared" si="110"/>
        <v>0</v>
      </c>
      <c r="AN68" s="586">
        <f t="shared" si="111"/>
        <v>0</v>
      </c>
      <c r="AO68" s="586">
        <f t="shared" si="112"/>
        <v>0</v>
      </c>
      <c r="AP68" s="648"/>
      <c r="AQ68" s="70">
        <f t="shared" si="115"/>
        <v>0</v>
      </c>
      <c r="AR68" s="70">
        <f t="shared" si="104"/>
        <v>1384.1499999999999</v>
      </c>
      <c r="AS68" s="70">
        <f t="shared" si="116"/>
        <v>0</v>
      </c>
      <c r="AT68" s="70">
        <f t="shared" si="117"/>
        <v>0</v>
      </c>
      <c r="AU68" s="70">
        <f t="shared" si="118"/>
        <v>0</v>
      </c>
      <c r="AV68" s="70">
        <f>SUM(AQ68:AU68)-SUM(Y68:AC68)</f>
        <v>0</v>
      </c>
      <c r="AW68" s="593">
        <v>39</v>
      </c>
      <c r="AX68" s="583"/>
      <c r="AY68" s="583">
        <v>29.97</v>
      </c>
      <c r="AZ68" s="583"/>
      <c r="BA68" s="583"/>
      <c r="BB68" s="583"/>
      <c r="BC68" s="583"/>
      <c r="BD68" s="589">
        <f>ROUND(AW68*$BD$2,2)+ROUND(AW68*$BD$1,2)</f>
        <v>0.08000000000000002</v>
      </c>
      <c r="BE68" s="579"/>
      <c r="BF68" s="579">
        <f t="shared" si="130"/>
        <v>0</v>
      </c>
      <c r="BG68" s="579"/>
      <c r="BH68" s="579"/>
      <c r="BI68" s="579"/>
      <c r="BJ68" s="648"/>
      <c r="BK68" s="648"/>
      <c r="BL68" s="587">
        <f t="shared" si="119"/>
        <v>0</v>
      </c>
      <c r="BM68" s="587">
        <f t="shared" si="120"/>
        <v>29.89469499999999</v>
      </c>
      <c r="BN68" s="587">
        <f t="shared" si="136"/>
        <v>0</v>
      </c>
      <c r="BO68" s="587">
        <f t="shared" si="136"/>
        <v>0</v>
      </c>
      <c r="BP68" s="587">
        <f t="shared" si="136"/>
        <v>0</v>
      </c>
      <c r="BQ68" s="648"/>
      <c r="BR68" s="579">
        <f t="shared" si="137"/>
        <v>0</v>
      </c>
      <c r="BS68" s="579">
        <f t="shared" si="137"/>
        <v>-0.07530500000000728</v>
      </c>
      <c r="BT68" s="579">
        <f t="shared" si="137"/>
        <v>0</v>
      </c>
      <c r="BU68" s="579">
        <f t="shared" si="137"/>
        <v>0</v>
      </c>
      <c r="BV68" s="579">
        <f t="shared" si="137"/>
        <v>0</v>
      </c>
      <c r="BW68" s="648"/>
      <c r="BX68" s="648"/>
      <c r="BY68" s="648"/>
      <c r="BZ68" s="648"/>
      <c r="CA68" s="648"/>
      <c r="CB68" s="648"/>
      <c r="CC68" s="648"/>
      <c r="CD68" s="648"/>
      <c r="CE68" s="648"/>
    </row>
    <row r="69" spans="2:74" ht="12.75">
      <c r="B69" s="35">
        <v>2</v>
      </c>
      <c r="C69" s="72" t="s">
        <v>120</v>
      </c>
      <c r="D69" s="35">
        <v>832</v>
      </c>
      <c r="E69" s="562">
        <v>0</v>
      </c>
      <c r="F69" s="73"/>
      <c r="G69" s="73" t="str">
        <f t="shared" si="89"/>
        <v>042832</v>
      </c>
      <c r="H69" s="46"/>
      <c r="I69" t="s">
        <v>128</v>
      </c>
      <c r="J69" t="s">
        <v>846</v>
      </c>
      <c r="K69" s="59" t="s">
        <v>142</v>
      </c>
      <c r="L69" s="97">
        <v>535</v>
      </c>
      <c r="M69" s="69">
        <f t="shared" si="131"/>
        <v>0</v>
      </c>
      <c r="N69" s="69">
        <f t="shared" si="131"/>
        <v>314</v>
      </c>
      <c r="O69" s="69">
        <f t="shared" si="131"/>
        <v>9</v>
      </c>
      <c r="P69" s="69">
        <f t="shared" si="131"/>
        <v>0</v>
      </c>
      <c r="Q69" s="69">
        <f t="shared" si="131"/>
        <v>49</v>
      </c>
      <c r="R69" s="581">
        <f t="shared" si="97"/>
        <v>0</v>
      </c>
      <c r="S69" s="620">
        <v>0</v>
      </c>
      <c r="T69" s="620">
        <v>19.45</v>
      </c>
      <c r="U69" s="620">
        <v>11.68</v>
      </c>
      <c r="V69" s="620">
        <v>0</v>
      </c>
      <c r="W69" s="620">
        <v>9.23</v>
      </c>
      <c r="Y69" s="70">
        <f t="shared" si="59"/>
        <v>0</v>
      </c>
      <c r="Z69" s="70">
        <f t="shared" si="60"/>
        <v>6107.3</v>
      </c>
      <c r="AA69" s="70">
        <f t="shared" si="61"/>
        <v>105.12</v>
      </c>
      <c r="AB69" s="70">
        <f t="shared" si="62"/>
        <v>0</v>
      </c>
      <c r="AC69" s="70">
        <f t="shared" si="63"/>
        <v>452.27000000000004</v>
      </c>
      <c r="AE69" s="69">
        <f t="shared" si="64"/>
        <v>0</v>
      </c>
      <c r="AF69" s="69">
        <f t="shared" si="126"/>
        <v>314</v>
      </c>
      <c r="AG69" s="69">
        <f t="shared" si="127"/>
        <v>9</v>
      </c>
      <c r="AH69" s="69">
        <f t="shared" si="128"/>
        <v>0</v>
      </c>
      <c r="AI69" s="69">
        <f t="shared" si="129"/>
        <v>49</v>
      </c>
      <c r="AK69" s="436">
        <f t="shared" si="114"/>
        <v>0</v>
      </c>
      <c r="AL69" s="436">
        <f t="shared" si="99"/>
        <v>19.45</v>
      </c>
      <c r="AM69" s="436">
        <f t="shared" si="110"/>
        <v>11.68</v>
      </c>
      <c r="AN69" s="436">
        <f t="shared" si="111"/>
        <v>0</v>
      </c>
      <c r="AO69" s="436">
        <f t="shared" si="112"/>
        <v>9.23</v>
      </c>
      <c r="AQ69" s="70">
        <f t="shared" si="115"/>
        <v>0</v>
      </c>
      <c r="AR69" s="70">
        <f t="shared" si="104"/>
        <v>6107.3</v>
      </c>
      <c r="AS69" s="70">
        <f t="shared" si="116"/>
        <v>105.12</v>
      </c>
      <c r="AT69" s="70">
        <f t="shared" si="117"/>
        <v>0</v>
      </c>
      <c r="AU69" s="70">
        <f t="shared" si="118"/>
        <v>452.27000000000004</v>
      </c>
      <c r="AV69" s="70">
        <f>SUM(AQ69:AU69)-SUM(Y69:AC69)</f>
        <v>0</v>
      </c>
      <c r="AW69" s="448">
        <v>85</v>
      </c>
      <c r="AX69" s="583"/>
      <c r="AY69" s="583">
        <v>19.92</v>
      </c>
      <c r="AZ69" s="583">
        <v>12.04</v>
      </c>
      <c r="BA69" s="583"/>
      <c r="BB69" s="583">
        <v>9.55</v>
      </c>
      <c r="BC69" s="140"/>
      <c r="BD69" s="589">
        <f t="shared" si="66"/>
        <v>0.17999999999999994</v>
      </c>
      <c r="BE69" s="54"/>
      <c r="BF69" s="54">
        <f t="shared" si="130"/>
        <v>0</v>
      </c>
      <c r="BG69" s="54">
        <f>ROUND((U69*$BE$2)+$BD69-AZ69,2)</f>
        <v>0</v>
      </c>
      <c r="BH69" s="54"/>
      <c r="BI69" s="54">
        <f>ROUND((W69*$BE$2)+$BD69-BB69,2)</f>
        <v>0</v>
      </c>
      <c r="BL69" s="279">
        <f t="shared" si="119"/>
        <v>0</v>
      </c>
      <c r="BM69" s="279">
        <f t="shared" si="120"/>
        <v>19.743695</v>
      </c>
      <c r="BN69" s="279">
        <f t="shared" si="75"/>
        <v>11.856367999999998</v>
      </c>
      <c r="BO69" s="279">
        <f t="shared" si="76"/>
        <v>0</v>
      </c>
      <c r="BP69" s="279">
        <f t="shared" si="77"/>
        <v>9.369373</v>
      </c>
      <c r="BR69" s="54">
        <f t="shared" si="70"/>
        <v>0</v>
      </c>
      <c r="BS69" s="54">
        <f t="shared" si="71"/>
        <v>-0.17630500000000282</v>
      </c>
      <c r="BT69" s="54">
        <f t="shared" si="72"/>
        <v>-0.18363200000000113</v>
      </c>
      <c r="BU69" s="54">
        <f t="shared" si="73"/>
        <v>0</v>
      </c>
      <c r="BV69" s="54">
        <f t="shared" si="74"/>
        <v>-0.1806270000000012</v>
      </c>
    </row>
    <row r="70" spans="1:83" ht="12.75">
      <c r="A70" s="686"/>
      <c r="B70" s="541">
        <v>2</v>
      </c>
      <c r="C70" s="72" t="s">
        <v>120</v>
      </c>
      <c r="D70" s="541" t="s">
        <v>821</v>
      </c>
      <c r="E70" s="564">
        <v>19</v>
      </c>
      <c r="F70" s="73"/>
      <c r="G70" s="73" t="str">
        <f aca="true" t="shared" si="139" ref="G70:G71">IF(OR(ISBLANK(C70),ISBLANK(D70)),"",TEXT(C70,"000")&amp;TEXT(D70,"000"))</f>
        <v>042832T</v>
      </c>
      <c r="H70" s="46"/>
      <c r="I70" s="435" t="s">
        <v>713</v>
      </c>
      <c r="J70" s="694" t="s">
        <v>846</v>
      </c>
      <c r="K70" s="580" t="s">
        <v>615</v>
      </c>
      <c r="L70" s="582" t="s">
        <v>609</v>
      </c>
      <c r="M70" s="581">
        <f t="shared" si="131"/>
        <v>0</v>
      </c>
      <c r="N70" s="581">
        <f t="shared" si="131"/>
        <v>2134</v>
      </c>
      <c r="O70" s="581">
        <f t="shared" si="131"/>
        <v>0</v>
      </c>
      <c r="P70" s="581">
        <f t="shared" si="131"/>
        <v>0</v>
      </c>
      <c r="Q70" s="581">
        <f t="shared" si="131"/>
        <v>0</v>
      </c>
      <c r="R70" s="581">
        <f t="shared" si="97"/>
        <v>0</v>
      </c>
      <c r="S70" s="620">
        <v>0</v>
      </c>
      <c r="T70" s="650">
        <f>T69</f>
        <v>19.45</v>
      </c>
      <c r="U70" s="620">
        <v>0</v>
      </c>
      <c r="V70" s="620">
        <v>0</v>
      </c>
      <c r="W70" s="620"/>
      <c r="X70" s="578"/>
      <c r="Y70" s="70">
        <f aca="true" t="shared" si="140" ref="Y70:AC71">IF(AND(M70&lt;&gt;0,S70=0),#VALUE!,M70*S70)</f>
        <v>0</v>
      </c>
      <c r="Z70" s="70">
        <f t="shared" si="140"/>
        <v>41506.299999999996</v>
      </c>
      <c r="AA70" s="70">
        <f t="shared" si="140"/>
        <v>0</v>
      </c>
      <c r="AB70" s="70">
        <f t="shared" si="140"/>
        <v>0</v>
      </c>
      <c r="AC70" s="70">
        <f t="shared" si="140"/>
        <v>0</v>
      </c>
      <c r="AD70" s="578"/>
      <c r="AE70" s="581">
        <f>SUMIF($G:$G,TEXT(AE$3,"000")&amp;TEXT($L70,"000"),$E:$E)</f>
        <v>0</v>
      </c>
      <c r="AF70" s="581">
        <f>SUMIF($G:$G,TEXT(AF$3,"000")&amp;TEXT($L70,"000"),$E:$E)</f>
        <v>2134</v>
      </c>
      <c r="AG70" s="581">
        <f>SUMIF($G:$G,TEXT(AG$3,"000")&amp;TEXT($L70,"000"),$E:$E)</f>
        <v>0</v>
      </c>
      <c r="AH70" s="581">
        <f>SUMIF($G:$G,TEXT(AH$3,"000")&amp;TEXT($L70,"000"),$E:$E)</f>
        <v>0</v>
      </c>
      <c r="AI70" s="581">
        <f>SUMIF($G:$G,TEXT(AI$3,"000")&amp;TEXT($L70,"000"),$E:$E)</f>
        <v>0</v>
      </c>
      <c r="AJ70" s="578"/>
      <c r="AK70" s="586">
        <f>ROUND(S70*(1+AK$1),2)</f>
        <v>0</v>
      </c>
      <c r="AL70" s="586">
        <f>AL69</f>
        <v>19.45</v>
      </c>
      <c r="AM70" s="586">
        <f t="shared" si="110"/>
        <v>0</v>
      </c>
      <c r="AN70" s="586">
        <f t="shared" si="111"/>
        <v>0</v>
      </c>
      <c r="AO70" s="586">
        <f t="shared" si="112"/>
        <v>0</v>
      </c>
      <c r="AP70" s="578"/>
      <c r="AQ70" s="70">
        <f t="shared" si="115"/>
        <v>0</v>
      </c>
      <c r="AR70" s="70">
        <f t="shared" si="104"/>
        <v>41506.299999999996</v>
      </c>
      <c r="AS70" s="70">
        <f t="shared" si="116"/>
        <v>0</v>
      </c>
      <c r="AT70" s="70">
        <f t="shared" si="117"/>
        <v>0</v>
      </c>
      <c r="AU70" s="70">
        <f t="shared" si="118"/>
        <v>0</v>
      </c>
      <c r="AV70" s="578"/>
      <c r="AW70" s="593">
        <v>39</v>
      </c>
      <c r="AX70" s="583"/>
      <c r="AY70" s="583">
        <v>19.82</v>
      </c>
      <c r="AZ70" s="583"/>
      <c r="BA70" s="583"/>
      <c r="BB70" s="583"/>
      <c r="BC70" s="583"/>
      <c r="BD70" s="589">
        <f>ROUND(AW70*$BD$2,2)+ROUND(AW70*$BD$1,2)</f>
        <v>0.08000000000000002</v>
      </c>
      <c r="BE70" s="579"/>
      <c r="BF70" s="579">
        <f t="shared" si="130"/>
        <v>0</v>
      </c>
      <c r="BG70" s="579"/>
      <c r="BH70" s="579"/>
      <c r="BI70" s="579"/>
      <c r="BJ70" s="578"/>
      <c r="BK70" s="578"/>
      <c r="BL70" s="587">
        <f t="shared" si="119"/>
        <v>0</v>
      </c>
      <c r="BM70" s="587">
        <f t="shared" si="120"/>
        <v>19.743695</v>
      </c>
      <c r="BN70" s="587">
        <f aca="true" t="shared" si="141" ref="BN70:BP71">AM70*$BL$1</f>
        <v>0</v>
      </c>
      <c r="BO70" s="587">
        <f t="shared" si="141"/>
        <v>0</v>
      </c>
      <c r="BP70" s="587">
        <f t="shared" si="141"/>
        <v>0</v>
      </c>
      <c r="BQ70" s="578"/>
      <c r="BR70" s="579">
        <f aca="true" t="shared" si="142" ref="BR70:BV71">BL70-AX70</f>
        <v>0</v>
      </c>
      <c r="BS70" s="579">
        <f t="shared" si="142"/>
        <v>-0.0763050000000014</v>
      </c>
      <c r="BT70" s="579">
        <f t="shared" si="142"/>
        <v>0</v>
      </c>
      <c r="BU70" s="579">
        <f t="shared" si="142"/>
        <v>0</v>
      </c>
      <c r="BV70" s="579">
        <f t="shared" si="142"/>
        <v>0</v>
      </c>
      <c r="BW70" s="578"/>
      <c r="BX70" s="578"/>
      <c r="BY70" s="578"/>
      <c r="BZ70" s="578"/>
      <c r="CA70" s="578"/>
      <c r="CD70" s="596"/>
      <c r="CE70" s="596"/>
    </row>
    <row r="71" spans="1:83" ht="12.75">
      <c r="A71" s="686"/>
      <c r="B71" s="541">
        <v>2</v>
      </c>
      <c r="C71" s="72" t="s">
        <v>120</v>
      </c>
      <c r="D71" s="541" t="s">
        <v>642</v>
      </c>
      <c r="E71" s="564">
        <v>1</v>
      </c>
      <c r="F71" s="73"/>
      <c r="G71" s="73" t="str">
        <f t="shared" si="139"/>
        <v>042832L</v>
      </c>
      <c r="H71" s="46"/>
      <c r="I71" s="648" t="s">
        <v>713</v>
      </c>
      <c r="J71" s="694" t="s">
        <v>846</v>
      </c>
      <c r="K71" s="580" t="s">
        <v>615</v>
      </c>
      <c r="L71" s="582" t="s">
        <v>714</v>
      </c>
      <c r="M71" s="581">
        <f t="shared" si="131"/>
        <v>0</v>
      </c>
      <c r="N71" s="581">
        <f t="shared" si="131"/>
        <v>867</v>
      </c>
      <c r="O71" s="581">
        <f t="shared" si="131"/>
        <v>0</v>
      </c>
      <c r="P71" s="581">
        <f t="shared" si="131"/>
        <v>0</v>
      </c>
      <c r="Q71" s="581">
        <f t="shared" si="131"/>
        <v>0</v>
      </c>
      <c r="R71" s="581">
        <f t="shared" si="97"/>
        <v>0</v>
      </c>
      <c r="S71" s="620">
        <v>0</v>
      </c>
      <c r="T71" s="650">
        <f>T69-T102</f>
        <v>13.919999999999998</v>
      </c>
      <c r="U71" s="620"/>
      <c r="V71" s="620">
        <v>0</v>
      </c>
      <c r="W71" s="620"/>
      <c r="X71" s="648"/>
      <c r="Y71" s="70">
        <f t="shared" si="140"/>
        <v>0</v>
      </c>
      <c r="Z71" s="70">
        <f t="shared" si="140"/>
        <v>12068.639999999998</v>
      </c>
      <c r="AA71" s="70">
        <f t="shared" si="140"/>
        <v>0</v>
      </c>
      <c r="AB71" s="70">
        <f t="shared" si="140"/>
        <v>0</v>
      </c>
      <c r="AC71" s="70">
        <f t="shared" si="140"/>
        <v>0</v>
      </c>
      <c r="AD71" s="648"/>
      <c r="AE71" s="581">
        <f>M71</f>
        <v>0</v>
      </c>
      <c r="AF71" s="581">
        <f>N71</f>
        <v>867</v>
      </c>
      <c r="AG71" s="581">
        <f>O71</f>
        <v>0</v>
      </c>
      <c r="AH71" s="581">
        <f>P71</f>
        <v>0</v>
      </c>
      <c r="AI71" s="581">
        <f>Q71</f>
        <v>0</v>
      </c>
      <c r="AJ71" s="648"/>
      <c r="AK71" s="586">
        <f>ROUND(S71*(1+AK$1),2)</f>
        <v>0</v>
      </c>
      <c r="AL71" s="586">
        <f>AL70-AL102</f>
        <v>13.919999999999998</v>
      </c>
      <c r="AM71" s="586">
        <f t="shared" si="110"/>
        <v>0</v>
      </c>
      <c r="AN71" s="586">
        <f t="shared" si="111"/>
        <v>0</v>
      </c>
      <c r="AO71" s="586">
        <f t="shared" si="112"/>
        <v>0</v>
      </c>
      <c r="AP71" s="648"/>
      <c r="AQ71" s="70">
        <f t="shared" si="115"/>
        <v>0</v>
      </c>
      <c r="AR71" s="70">
        <f t="shared" si="104"/>
        <v>12068.639999999998</v>
      </c>
      <c r="AS71" s="70">
        <f t="shared" si="116"/>
        <v>0</v>
      </c>
      <c r="AT71" s="70">
        <f t="shared" si="117"/>
        <v>0</v>
      </c>
      <c r="AU71" s="70">
        <f t="shared" si="118"/>
        <v>0</v>
      </c>
      <c r="AV71" s="70">
        <f>SUM(AQ71:AU71)-SUM(Y71:AC71)</f>
        <v>0</v>
      </c>
      <c r="AW71" s="593">
        <v>39</v>
      </c>
      <c r="AX71" s="583"/>
      <c r="AY71" s="583">
        <v>14.21</v>
      </c>
      <c r="AZ71" s="583"/>
      <c r="BA71" s="583"/>
      <c r="BB71" s="583"/>
      <c r="BC71" s="583"/>
      <c r="BD71" s="589">
        <f>ROUND(AW71*$BD$2,2)+ROUND(AW71*$BD$1,2)</f>
        <v>0.08000000000000002</v>
      </c>
      <c r="BE71" s="579"/>
      <c r="BF71" s="579">
        <f t="shared" si="130"/>
        <v>0</v>
      </c>
      <c r="BG71" s="579"/>
      <c r="BH71" s="579"/>
      <c r="BI71" s="579"/>
      <c r="BJ71" s="648"/>
      <c r="BK71" s="648"/>
      <c r="BL71" s="587">
        <f t="shared" si="119"/>
        <v>0</v>
      </c>
      <c r="BM71" s="587">
        <f t="shared" si="120"/>
        <v>14.130191999999997</v>
      </c>
      <c r="BN71" s="587">
        <f t="shared" si="141"/>
        <v>0</v>
      </c>
      <c r="BO71" s="587">
        <f t="shared" si="141"/>
        <v>0</v>
      </c>
      <c r="BP71" s="587">
        <f t="shared" si="141"/>
        <v>0</v>
      </c>
      <c r="BQ71" s="648"/>
      <c r="BR71" s="579">
        <f t="shared" si="142"/>
        <v>0</v>
      </c>
      <c r="BS71" s="579">
        <f t="shared" si="142"/>
        <v>-0.07980800000000343</v>
      </c>
      <c r="BT71" s="579">
        <f t="shared" si="142"/>
        <v>0</v>
      </c>
      <c r="BU71" s="579">
        <f t="shared" si="142"/>
        <v>0</v>
      </c>
      <c r="BV71" s="579">
        <f t="shared" si="142"/>
        <v>0</v>
      </c>
      <c r="BW71" s="648"/>
      <c r="BX71" s="648"/>
      <c r="BY71" s="648"/>
      <c r="BZ71" s="648"/>
      <c r="CA71" s="648"/>
      <c r="CB71" s="648"/>
      <c r="CC71" s="648"/>
      <c r="CD71" s="648"/>
      <c r="CE71" s="648"/>
    </row>
    <row r="72" spans="2:85" ht="12.75">
      <c r="B72" s="35">
        <v>2</v>
      </c>
      <c r="C72" s="72" t="s">
        <v>120</v>
      </c>
      <c r="D72" s="35">
        <v>835</v>
      </c>
      <c r="E72" s="562">
        <f>8+36</f>
        <v>44</v>
      </c>
      <c r="F72" s="73"/>
      <c r="G72" s="73" t="str">
        <f aca="true" t="shared" si="143" ref="G72:G137">IF(OR(ISBLANK(C72),ISBLANK(D72)),"",TEXT(C72,"000")&amp;TEXT(D72,"000"))</f>
        <v>042835</v>
      </c>
      <c r="H72" s="46"/>
      <c r="I72" t="s">
        <v>128</v>
      </c>
      <c r="J72" t="s">
        <v>136</v>
      </c>
      <c r="K72" s="59" t="s">
        <v>142</v>
      </c>
      <c r="L72" s="97">
        <v>536</v>
      </c>
      <c r="M72" s="69">
        <f t="shared" si="131"/>
        <v>0</v>
      </c>
      <c r="N72" s="69">
        <f t="shared" si="131"/>
        <v>155</v>
      </c>
      <c r="O72" s="69">
        <f t="shared" si="131"/>
        <v>0</v>
      </c>
      <c r="P72" s="69">
        <f t="shared" si="131"/>
        <v>0</v>
      </c>
      <c r="Q72" s="69">
        <f t="shared" si="131"/>
        <v>0</v>
      </c>
      <c r="R72" s="581">
        <f t="shared" si="97"/>
        <v>0</v>
      </c>
      <c r="S72" s="620">
        <v>0</v>
      </c>
      <c r="T72" s="620">
        <v>23.62</v>
      </c>
      <c r="U72" s="620">
        <v>0</v>
      </c>
      <c r="V72" s="620">
        <v>0</v>
      </c>
      <c r="W72" s="620">
        <v>0</v>
      </c>
      <c r="Y72" s="70">
        <f t="shared" si="59"/>
        <v>0</v>
      </c>
      <c r="Z72" s="70">
        <f t="shared" si="60"/>
        <v>3661.1000000000004</v>
      </c>
      <c r="AA72" s="70">
        <f t="shared" si="61"/>
        <v>0</v>
      </c>
      <c r="AB72" s="70">
        <f t="shared" si="62"/>
        <v>0</v>
      </c>
      <c r="AC72" s="70">
        <f t="shared" si="63"/>
        <v>0</v>
      </c>
      <c r="AE72" s="69">
        <f t="shared" si="64"/>
        <v>0</v>
      </c>
      <c r="AF72" s="69">
        <f t="shared" si="126"/>
        <v>155</v>
      </c>
      <c r="AG72" s="69">
        <f t="shared" si="127"/>
        <v>0</v>
      </c>
      <c r="AH72" s="69">
        <f t="shared" si="128"/>
        <v>0</v>
      </c>
      <c r="AI72" s="69">
        <f t="shared" si="129"/>
        <v>0</v>
      </c>
      <c r="AK72" s="436">
        <f t="shared" si="114"/>
        <v>0</v>
      </c>
      <c r="AL72" s="586">
        <f t="shared" si="114"/>
        <v>23.62</v>
      </c>
      <c r="AM72" s="436">
        <f t="shared" si="110"/>
        <v>0</v>
      </c>
      <c r="AN72" s="436">
        <f t="shared" si="111"/>
        <v>0</v>
      </c>
      <c r="AO72" s="436">
        <f t="shared" si="112"/>
        <v>0</v>
      </c>
      <c r="AQ72" s="70">
        <f t="shared" si="115"/>
        <v>0</v>
      </c>
      <c r="AR72" s="70">
        <f t="shared" si="104"/>
        <v>3661.1000000000004</v>
      </c>
      <c r="AS72" s="70">
        <f t="shared" si="116"/>
        <v>0</v>
      </c>
      <c r="AT72" s="70">
        <f t="shared" si="117"/>
        <v>0</v>
      </c>
      <c r="AU72" s="70">
        <f t="shared" si="118"/>
        <v>0</v>
      </c>
      <c r="AV72" s="70">
        <f>SUM(AQ72:AU72)-SUM(Y72:AC72)</f>
        <v>0</v>
      </c>
      <c r="AW72" s="448">
        <v>85</v>
      </c>
      <c r="AX72" s="583"/>
      <c r="AY72" s="583">
        <v>24.16</v>
      </c>
      <c r="AZ72" s="583"/>
      <c r="BA72" s="583"/>
      <c r="BB72" s="583"/>
      <c r="BC72" s="140"/>
      <c r="BD72" s="589">
        <f t="shared" si="66"/>
        <v>0.17999999999999994</v>
      </c>
      <c r="BE72" s="54"/>
      <c r="BF72" s="54">
        <f t="shared" si="130"/>
        <v>0</v>
      </c>
      <c r="BG72" s="54"/>
      <c r="BH72" s="54"/>
      <c r="BI72" s="54"/>
      <c r="BL72" s="279">
        <f t="shared" si="119"/>
        <v>0</v>
      </c>
      <c r="BM72" s="279">
        <f t="shared" si="120"/>
        <v>23.976661999999997</v>
      </c>
      <c r="BN72" s="279">
        <f t="shared" si="75"/>
        <v>0</v>
      </c>
      <c r="BO72" s="279">
        <f t="shared" si="76"/>
        <v>0</v>
      </c>
      <c r="BP72" s="279">
        <f t="shared" si="77"/>
        <v>0</v>
      </c>
      <c r="BR72" s="54">
        <f t="shared" si="70"/>
        <v>0</v>
      </c>
      <c r="BS72" s="54">
        <f t="shared" si="71"/>
        <v>-0.18333800000000267</v>
      </c>
      <c r="BT72" s="54">
        <f t="shared" si="72"/>
        <v>0</v>
      </c>
      <c r="BU72" s="54">
        <f t="shared" si="73"/>
        <v>0</v>
      </c>
      <c r="BV72" s="54">
        <f t="shared" si="74"/>
        <v>0</v>
      </c>
      <c r="CG72" s="648"/>
    </row>
    <row r="73" spans="1:83" ht="12.75">
      <c r="A73" s="656"/>
      <c r="B73" s="541">
        <v>2</v>
      </c>
      <c r="C73" s="72" t="s">
        <v>120</v>
      </c>
      <c r="D73" s="541" t="s">
        <v>728</v>
      </c>
      <c r="E73" s="564">
        <f>19+26</f>
        <v>45</v>
      </c>
      <c r="F73" s="73"/>
      <c r="G73" s="73" t="str">
        <f>IF(OR(ISBLANK(C73),ISBLANK(D73)),"",TEXT(C73,"000")&amp;TEXT(D73,"000"))</f>
        <v>042835T</v>
      </c>
      <c r="H73" s="46"/>
      <c r="I73" s="435" t="s">
        <v>713</v>
      </c>
      <c r="J73" s="578" t="s">
        <v>136</v>
      </c>
      <c r="K73" s="580" t="s">
        <v>615</v>
      </c>
      <c r="L73" s="582" t="s">
        <v>610</v>
      </c>
      <c r="M73" s="581">
        <f t="shared" si="131"/>
        <v>0</v>
      </c>
      <c r="N73" s="581">
        <f t="shared" si="131"/>
        <v>241</v>
      </c>
      <c r="O73" s="581">
        <f t="shared" si="131"/>
        <v>0</v>
      </c>
      <c r="P73" s="581">
        <f t="shared" si="131"/>
        <v>0</v>
      </c>
      <c r="Q73" s="581">
        <f t="shared" si="131"/>
        <v>0</v>
      </c>
      <c r="R73" s="581">
        <f t="shared" si="97"/>
        <v>0</v>
      </c>
      <c r="S73" s="620">
        <v>0</v>
      </c>
      <c r="T73" s="650">
        <f>T72</f>
        <v>23.62</v>
      </c>
      <c r="U73" s="620">
        <v>0</v>
      </c>
      <c r="V73" s="620">
        <v>0</v>
      </c>
      <c r="W73" s="620"/>
      <c r="X73" s="578"/>
      <c r="Y73" s="70">
        <f aca="true" t="shared" si="144" ref="Y73:AC74">IF(AND(M73&lt;&gt;0,S73=0),#VALUE!,M73*S73)</f>
        <v>0</v>
      </c>
      <c r="Z73" s="70">
        <f t="shared" si="144"/>
        <v>5692.42</v>
      </c>
      <c r="AA73" s="70">
        <f t="shared" si="144"/>
        <v>0</v>
      </c>
      <c r="AB73" s="70">
        <f t="shared" si="144"/>
        <v>0</v>
      </c>
      <c r="AC73" s="70">
        <f t="shared" si="144"/>
        <v>0</v>
      </c>
      <c r="AD73" s="578"/>
      <c r="AE73" s="581">
        <f>SUMIF($G:$G,TEXT(AE$3,"000")&amp;TEXT($L73,"000"),$E:$E)</f>
        <v>0</v>
      </c>
      <c r="AF73" s="581">
        <f>SUMIF($G:$G,TEXT(AF$3,"000")&amp;TEXT($L73,"000"),$E:$E)</f>
        <v>241</v>
      </c>
      <c r="AG73" s="581">
        <f>SUMIF($G:$G,TEXT(AG$3,"000")&amp;TEXT($L73,"000"),$E:$E)</f>
        <v>0</v>
      </c>
      <c r="AH73" s="581">
        <f>SUMIF($G:$G,TEXT(AH$3,"000")&amp;TEXT($L73,"000"),$E:$E)</f>
        <v>0</v>
      </c>
      <c r="AI73" s="581">
        <f>SUMIF($G:$G,TEXT(AI$3,"000")&amp;TEXT($L73,"000"),$E:$E)</f>
        <v>0</v>
      </c>
      <c r="AJ73" s="578"/>
      <c r="AK73" s="586">
        <f>ROUND(S73*(1+AK$1),2)</f>
        <v>0</v>
      </c>
      <c r="AL73" s="586">
        <f>AL72</f>
        <v>23.62</v>
      </c>
      <c r="AM73" s="586">
        <f t="shared" si="110"/>
        <v>0</v>
      </c>
      <c r="AN73" s="586">
        <f t="shared" si="111"/>
        <v>0</v>
      </c>
      <c r="AO73" s="586">
        <f t="shared" si="112"/>
        <v>0</v>
      </c>
      <c r="AP73" s="578"/>
      <c r="AQ73" s="70">
        <f t="shared" si="115"/>
        <v>0</v>
      </c>
      <c r="AR73" s="70">
        <f t="shared" si="104"/>
        <v>5692.42</v>
      </c>
      <c r="AS73" s="70">
        <f t="shared" si="116"/>
        <v>0</v>
      </c>
      <c r="AT73" s="70">
        <f t="shared" si="117"/>
        <v>0</v>
      </c>
      <c r="AU73" s="70">
        <f t="shared" si="118"/>
        <v>0</v>
      </c>
      <c r="AV73" s="578"/>
      <c r="AW73" s="593">
        <v>39</v>
      </c>
      <c r="AX73" s="583"/>
      <c r="AY73" s="583">
        <v>24.06</v>
      </c>
      <c r="AZ73" s="583"/>
      <c r="BA73" s="583"/>
      <c r="BB73" s="583"/>
      <c r="BC73" s="583"/>
      <c r="BD73" s="589">
        <f>ROUND(AW73*$BD$2,2)+ROUND(AW73*$BD$1,2)</f>
        <v>0.08000000000000002</v>
      </c>
      <c r="BE73" s="579"/>
      <c r="BF73" s="579">
        <f t="shared" si="130"/>
        <v>0</v>
      </c>
      <c r="BG73" s="579"/>
      <c r="BH73" s="579"/>
      <c r="BI73" s="579"/>
      <c r="BJ73" s="578"/>
      <c r="BK73" s="578"/>
      <c r="BL73" s="587">
        <f t="shared" si="119"/>
        <v>0</v>
      </c>
      <c r="BM73" s="587">
        <f t="shared" si="120"/>
        <v>23.976661999999997</v>
      </c>
      <c r="BN73" s="587">
        <f aca="true" t="shared" si="145" ref="BN73:BP74">AM73*$BL$1</f>
        <v>0</v>
      </c>
      <c r="BO73" s="587">
        <f t="shared" si="145"/>
        <v>0</v>
      </c>
      <c r="BP73" s="587">
        <f t="shared" si="145"/>
        <v>0</v>
      </c>
      <c r="BQ73" s="578"/>
      <c r="BR73" s="579">
        <f aca="true" t="shared" si="146" ref="BR73:BV74">BL73-AX73</f>
        <v>0</v>
      </c>
      <c r="BS73" s="579">
        <f t="shared" si="146"/>
        <v>-0.08333800000000124</v>
      </c>
      <c r="BT73" s="579">
        <f t="shared" si="146"/>
        <v>0</v>
      </c>
      <c r="BU73" s="579">
        <f t="shared" si="146"/>
        <v>0</v>
      </c>
      <c r="BV73" s="579">
        <f t="shared" si="146"/>
        <v>0</v>
      </c>
      <c r="BW73" s="578"/>
      <c r="BX73" s="578"/>
      <c r="BY73" s="578"/>
      <c r="BZ73" s="596"/>
      <c r="CA73" s="596"/>
      <c r="CB73" s="596"/>
      <c r="CC73" s="596"/>
      <c r="CD73" s="596"/>
      <c r="CE73" s="596"/>
    </row>
    <row r="74" spans="1:84" ht="12.75">
      <c r="A74" s="686"/>
      <c r="B74" s="541">
        <v>2</v>
      </c>
      <c r="C74" s="72" t="s">
        <v>120</v>
      </c>
      <c r="D74" s="541" t="s">
        <v>643</v>
      </c>
      <c r="E74" s="564">
        <f>9+13</f>
        <v>22</v>
      </c>
      <c r="F74" s="73"/>
      <c r="G74" s="73" t="str">
        <f>IF(OR(ISBLANK(C74),ISBLANK(D74)),"",TEXT(C74,"000")&amp;TEXT(D74,"000"))</f>
        <v>042835L</v>
      </c>
      <c r="H74" s="46"/>
      <c r="I74" s="648" t="s">
        <v>713</v>
      </c>
      <c r="J74" s="648" t="s">
        <v>136</v>
      </c>
      <c r="K74" s="580" t="s">
        <v>615</v>
      </c>
      <c r="L74" s="582" t="s">
        <v>715</v>
      </c>
      <c r="M74" s="581">
        <f aca="true" t="shared" si="147" ref="M74:Q83">SUMIF($G:$G,TEXT(M$3,"000")&amp;TEXT($L74,"000"),$E:$E)</f>
        <v>0</v>
      </c>
      <c r="N74" s="581">
        <f t="shared" si="147"/>
        <v>337</v>
      </c>
      <c r="O74" s="581">
        <f t="shared" si="147"/>
        <v>0</v>
      </c>
      <c r="P74" s="581">
        <f t="shared" si="147"/>
        <v>0</v>
      </c>
      <c r="Q74" s="581">
        <f t="shared" si="147"/>
        <v>0</v>
      </c>
      <c r="R74" s="581">
        <f t="shared" si="97"/>
        <v>0</v>
      </c>
      <c r="S74" s="620">
        <v>0</v>
      </c>
      <c r="T74" s="650">
        <f>T72-T102</f>
        <v>18.09</v>
      </c>
      <c r="U74" s="620">
        <v>0</v>
      </c>
      <c r="V74" s="620">
        <v>0</v>
      </c>
      <c r="W74" s="620">
        <v>0</v>
      </c>
      <c r="X74" s="648"/>
      <c r="Y74" s="70">
        <f t="shared" si="144"/>
        <v>0</v>
      </c>
      <c r="Z74" s="70">
        <f t="shared" si="144"/>
        <v>6096.33</v>
      </c>
      <c r="AA74" s="70">
        <f t="shared" si="144"/>
        <v>0</v>
      </c>
      <c r="AB74" s="70">
        <f t="shared" si="144"/>
        <v>0</v>
      </c>
      <c r="AC74" s="70">
        <f t="shared" si="144"/>
        <v>0</v>
      </c>
      <c r="AD74" s="648"/>
      <c r="AE74" s="581">
        <f>M74</f>
        <v>0</v>
      </c>
      <c r="AF74" s="581">
        <f>N74</f>
        <v>337</v>
      </c>
      <c r="AG74" s="581">
        <f>O74</f>
        <v>0</v>
      </c>
      <c r="AH74" s="581">
        <f>P74</f>
        <v>0</v>
      </c>
      <c r="AI74" s="581">
        <f>Q74</f>
        <v>0</v>
      </c>
      <c r="AJ74" s="648"/>
      <c r="AK74" s="586">
        <f>ROUND(S74*(1+AK$1),2)</f>
        <v>0</v>
      </c>
      <c r="AL74" s="586">
        <f>AL73-AL102</f>
        <v>18.09</v>
      </c>
      <c r="AM74" s="586">
        <f t="shared" si="110"/>
        <v>0</v>
      </c>
      <c r="AN74" s="586">
        <f t="shared" si="111"/>
        <v>0</v>
      </c>
      <c r="AO74" s="586">
        <f t="shared" si="112"/>
        <v>0</v>
      </c>
      <c r="AP74" s="648"/>
      <c r="AQ74" s="70">
        <f t="shared" si="115"/>
        <v>0</v>
      </c>
      <c r="AR74" s="70">
        <f t="shared" si="104"/>
        <v>6096.33</v>
      </c>
      <c r="AS74" s="70">
        <f t="shared" si="116"/>
        <v>0</v>
      </c>
      <c r="AT74" s="70">
        <f t="shared" si="117"/>
        <v>0</v>
      </c>
      <c r="AU74" s="70">
        <f t="shared" si="118"/>
        <v>0</v>
      </c>
      <c r="AV74" s="70">
        <f>SUM(AQ74:AU74)-SUM(Y74:AC74)</f>
        <v>0</v>
      </c>
      <c r="AW74" s="593">
        <v>39</v>
      </c>
      <c r="AX74" s="583"/>
      <c r="AY74" s="583">
        <v>18.44</v>
      </c>
      <c r="AZ74" s="583"/>
      <c r="BA74" s="583"/>
      <c r="BB74" s="583"/>
      <c r="BC74" s="583"/>
      <c r="BD74" s="589">
        <f>ROUND(AW74*$BD$2,2)+ROUND(AW74*$BD$1,2)</f>
        <v>0.08000000000000002</v>
      </c>
      <c r="BE74" s="579"/>
      <c r="BF74" s="579">
        <f t="shared" si="130"/>
        <v>0</v>
      </c>
      <c r="BG74" s="579"/>
      <c r="BH74" s="579"/>
      <c r="BI74" s="579"/>
      <c r="BJ74" s="648"/>
      <c r="BK74" s="648"/>
      <c r="BL74" s="587">
        <f t="shared" si="119"/>
        <v>0</v>
      </c>
      <c r="BM74" s="587">
        <f t="shared" si="120"/>
        <v>18.363159</v>
      </c>
      <c r="BN74" s="587">
        <f t="shared" si="145"/>
        <v>0</v>
      </c>
      <c r="BO74" s="587">
        <f t="shared" si="145"/>
        <v>0</v>
      </c>
      <c r="BP74" s="587">
        <f t="shared" si="145"/>
        <v>0</v>
      </c>
      <c r="BQ74" s="648"/>
      <c r="BR74" s="579">
        <f t="shared" si="146"/>
        <v>0</v>
      </c>
      <c r="BS74" s="579">
        <f t="shared" si="146"/>
        <v>-0.07684100000000171</v>
      </c>
      <c r="BT74" s="579">
        <f t="shared" si="146"/>
        <v>0</v>
      </c>
      <c r="BU74" s="579">
        <f t="shared" si="146"/>
        <v>0</v>
      </c>
      <c r="BV74" s="579">
        <f t="shared" si="146"/>
        <v>0</v>
      </c>
      <c r="BW74" s="648"/>
      <c r="BX74" s="648"/>
      <c r="BY74" s="648"/>
      <c r="BZ74" s="648"/>
      <c r="CA74" s="648"/>
      <c r="CB74" s="648"/>
      <c r="CC74" s="648"/>
      <c r="CD74" s="648"/>
      <c r="CE74" s="648"/>
      <c r="CF74" s="648"/>
    </row>
    <row r="75" spans="1:85" ht="12.75">
      <c r="A75" s="686"/>
      <c r="B75" s="541">
        <v>2</v>
      </c>
      <c r="C75" s="72" t="s">
        <v>120</v>
      </c>
      <c r="D75" s="541" t="s">
        <v>822</v>
      </c>
      <c r="E75" s="558">
        <v>3</v>
      </c>
      <c r="F75" s="73"/>
      <c r="G75" s="73" t="str">
        <f aca="true" t="shared" si="148" ref="G75">IF(OR(ISBLANK(C75),ISBLANK(D75)),"",TEXT(C75,"000")&amp;TEXT(D75,"000"))</f>
        <v>042836T</v>
      </c>
      <c r="H75" s="46"/>
      <c r="I75" t="s">
        <v>139</v>
      </c>
      <c r="J75" t="s">
        <v>848</v>
      </c>
      <c r="K75" s="59" t="s">
        <v>142</v>
      </c>
      <c r="L75" s="97">
        <v>541</v>
      </c>
      <c r="M75" s="69">
        <f t="shared" si="147"/>
        <v>0</v>
      </c>
      <c r="N75" s="69">
        <f t="shared" si="147"/>
        <v>4</v>
      </c>
      <c r="O75" s="69">
        <f t="shared" si="147"/>
        <v>0</v>
      </c>
      <c r="P75" s="69">
        <f t="shared" si="147"/>
        <v>0</v>
      </c>
      <c r="Q75" s="69">
        <f t="shared" si="147"/>
        <v>0</v>
      </c>
      <c r="R75" s="581">
        <f t="shared" si="97"/>
        <v>0</v>
      </c>
      <c r="S75" s="620">
        <v>0</v>
      </c>
      <c r="T75" s="620">
        <v>43.09</v>
      </c>
      <c r="U75" s="620">
        <v>0</v>
      </c>
      <c r="V75" s="620">
        <v>0</v>
      </c>
      <c r="W75" s="620">
        <v>0</v>
      </c>
      <c r="Y75" s="70">
        <f t="shared" si="59"/>
        <v>0</v>
      </c>
      <c r="Z75" s="70">
        <f t="shared" si="60"/>
        <v>172.36</v>
      </c>
      <c r="AA75" s="70">
        <f t="shared" si="61"/>
        <v>0</v>
      </c>
      <c r="AB75" s="70">
        <f t="shared" si="62"/>
        <v>0</v>
      </c>
      <c r="AC75" s="70">
        <f t="shared" si="63"/>
        <v>0</v>
      </c>
      <c r="AE75" s="69">
        <f t="shared" si="64"/>
        <v>0</v>
      </c>
      <c r="AF75" s="69">
        <f t="shared" si="126"/>
        <v>4</v>
      </c>
      <c r="AG75" s="69">
        <f t="shared" si="127"/>
        <v>0</v>
      </c>
      <c r="AH75" s="69">
        <f t="shared" si="128"/>
        <v>0</v>
      </c>
      <c r="AI75" s="69">
        <f t="shared" si="129"/>
        <v>0</v>
      </c>
      <c r="AK75" s="436">
        <f t="shared" si="114"/>
        <v>0</v>
      </c>
      <c r="AL75" s="436">
        <f aca="true" t="shared" si="149" ref="AL75:AL87">ROUND(T75*(1+AL$1),2)</f>
        <v>43.09</v>
      </c>
      <c r="AM75" s="436">
        <f t="shared" si="110"/>
        <v>0</v>
      </c>
      <c r="AN75" s="436">
        <f t="shared" si="111"/>
        <v>0</v>
      </c>
      <c r="AO75" s="436">
        <f t="shared" si="112"/>
        <v>0</v>
      </c>
      <c r="AQ75" s="70">
        <f t="shared" si="115"/>
        <v>0</v>
      </c>
      <c r="AR75" s="70">
        <f t="shared" si="104"/>
        <v>172.36</v>
      </c>
      <c r="AS75" s="70">
        <f t="shared" si="116"/>
        <v>0</v>
      </c>
      <c r="AT75" s="70">
        <f t="shared" si="117"/>
        <v>0</v>
      </c>
      <c r="AU75" s="70">
        <f t="shared" si="118"/>
        <v>0</v>
      </c>
      <c r="AV75" s="70">
        <f>SUM(AQ75:AU75)-SUM(Y75:AC75)</f>
        <v>0</v>
      </c>
      <c r="AW75" s="448">
        <v>170</v>
      </c>
      <c r="AX75" s="583"/>
      <c r="AY75" s="583">
        <v>44.11</v>
      </c>
      <c r="AZ75" s="583"/>
      <c r="BA75" s="583"/>
      <c r="BB75" s="583"/>
      <c r="BC75" s="140"/>
      <c r="BD75" s="589">
        <f t="shared" si="66"/>
        <v>0.3800000000000001</v>
      </c>
      <c r="BE75" s="54"/>
      <c r="BF75" s="54">
        <f t="shared" si="130"/>
        <v>0.01</v>
      </c>
      <c r="BG75" s="54"/>
      <c r="BH75" s="54"/>
      <c r="BI75" s="54"/>
      <c r="BL75" s="279">
        <f t="shared" si="119"/>
        <v>0</v>
      </c>
      <c r="BM75" s="279">
        <f t="shared" si="120"/>
        <v>43.740659</v>
      </c>
      <c r="BN75" s="279">
        <f t="shared" si="75"/>
        <v>0</v>
      </c>
      <c r="BO75" s="279">
        <f t="shared" si="76"/>
        <v>0</v>
      </c>
      <c r="BP75" s="279">
        <f t="shared" si="77"/>
        <v>0</v>
      </c>
      <c r="BR75" s="54">
        <f t="shared" si="70"/>
        <v>0</v>
      </c>
      <c r="BS75" s="54">
        <f t="shared" si="71"/>
        <v>-0.3693409999999986</v>
      </c>
      <c r="BT75" s="54">
        <f t="shared" si="72"/>
        <v>0</v>
      </c>
      <c r="BU75" s="54">
        <f t="shared" si="73"/>
        <v>0</v>
      </c>
      <c r="BV75" s="54">
        <f t="shared" si="74"/>
        <v>0</v>
      </c>
      <c r="CG75" s="648"/>
    </row>
    <row r="76" spans="2:81" ht="12.75">
      <c r="B76" s="35">
        <v>2</v>
      </c>
      <c r="C76" s="72" t="s">
        <v>120</v>
      </c>
      <c r="D76" s="35">
        <v>842</v>
      </c>
      <c r="E76" s="562">
        <v>2</v>
      </c>
      <c r="F76" s="73"/>
      <c r="G76" s="73" t="str">
        <f t="shared" si="143"/>
        <v>042842</v>
      </c>
      <c r="I76" s="435" t="s">
        <v>717</v>
      </c>
      <c r="J76" s="694" t="s">
        <v>848</v>
      </c>
      <c r="K76" s="580" t="s">
        <v>615</v>
      </c>
      <c r="L76" s="582" t="s">
        <v>611</v>
      </c>
      <c r="M76" s="581">
        <f t="shared" si="147"/>
        <v>0</v>
      </c>
      <c r="N76" s="581">
        <f t="shared" si="147"/>
        <v>1</v>
      </c>
      <c r="O76" s="581">
        <f t="shared" si="147"/>
        <v>0</v>
      </c>
      <c r="P76" s="581">
        <f t="shared" si="147"/>
        <v>0</v>
      </c>
      <c r="Q76" s="581">
        <f t="shared" si="147"/>
        <v>0</v>
      </c>
      <c r="R76" s="581">
        <f t="shared" si="97"/>
        <v>0</v>
      </c>
      <c r="S76" s="620">
        <v>0</v>
      </c>
      <c r="T76" s="650">
        <f>T75</f>
        <v>43.09</v>
      </c>
      <c r="U76" s="620">
        <v>0</v>
      </c>
      <c r="V76" s="620">
        <v>0</v>
      </c>
      <c r="W76" s="620"/>
      <c r="X76" s="578"/>
      <c r="Y76" s="70">
        <f aca="true" t="shared" si="150" ref="Y76:AC76">IF(AND(M76&lt;&gt;0,S76=0),#VALUE!,M76*S76)</f>
        <v>0</v>
      </c>
      <c r="Z76" s="70">
        <f t="shared" si="150"/>
        <v>43.09</v>
      </c>
      <c r="AA76" s="70">
        <f t="shared" si="150"/>
        <v>0</v>
      </c>
      <c r="AB76" s="70">
        <f t="shared" si="150"/>
        <v>0</v>
      </c>
      <c r="AC76" s="70">
        <f t="shared" si="150"/>
        <v>0</v>
      </c>
      <c r="AD76" s="578"/>
      <c r="AE76" s="581">
        <f aca="true" t="shared" si="151" ref="AE76:AI77">SUMIF($G:$G,TEXT(AE$3,"000")&amp;TEXT($L76,"000"),$E:$E)</f>
        <v>0</v>
      </c>
      <c r="AF76" s="581">
        <f t="shared" si="151"/>
        <v>1</v>
      </c>
      <c r="AG76" s="581">
        <f t="shared" si="151"/>
        <v>0</v>
      </c>
      <c r="AH76" s="581">
        <f t="shared" si="151"/>
        <v>0</v>
      </c>
      <c r="AI76" s="581">
        <f t="shared" si="151"/>
        <v>0</v>
      </c>
      <c r="AJ76" s="578"/>
      <c r="AK76" s="586">
        <f>ROUND(S76*(1+AK$1),2)</f>
        <v>0</v>
      </c>
      <c r="AL76" s="586">
        <f>AL75</f>
        <v>43.09</v>
      </c>
      <c r="AM76" s="586">
        <f t="shared" si="110"/>
        <v>0</v>
      </c>
      <c r="AN76" s="586">
        <f t="shared" si="111"/>
        <v>0</v>
      </c>
      <c r="AO76" s="586">
        <f t="shared" si="112"/>
        <v>0</v>
      </c>
      <c r="AP76" s="578"/>
      <c r="AQ76" s="70">
        <f t="shared" si="115"/>
        <v>0</v>
      </c>
      <c r="AR76" s="70">
        <f t="shared" si="104"/>
        <v>43.09</v>
      </c>
      <c r="AS76" s="70">
        <f t="shared" si="116"/>
        <v>0</v>
      </c>
      <c r="AT76" s="70">
        <f t="shared" si="117"/>
        <v>0</v>
      </c>
      <c r="AU76" s="70">
        <f t="shared" si="118"/>
        <v>0</v>
      </c>
      <c r="AV76" s="578"/>
      <c r="AW76" s="593">
        <v>78</v>
      </c>
      <c r="AX76" s="583"/>
      <c r="AY76" s="583">
        <v>43.91</v>
      </c>
      <c r="AZ76" s="583"/>
      <c r="BA76" s="583"/>
      <c r="BB76" s="583"/>
      <c r="BC76" s="583"/>
      <c r="BD76" s="589">
        <f>ROUND(AW76*$BD$2,2)+ROUND(AW76*$BD$1,2)</f>
        <v>0.18000000000000005</v>
      </c>
      <c r="BE76" s="579"/>
      <c r="BF76" s="579">
        <f t="shared" si="130"/>
        <v>0.01</v>
      </c>
      <c r="BG76" s="579"/>
      <c r="BH76" s="579"/>
      <c r="BI76" s="579"/>
      <c r="BJ76" s="578"/>
      <c r="BK76" s="578"/>
      <c r="BL76" s="587">
        <f t="shared" si="119"/>
        <v>0</v>
      </c>
      <c r="BM76" s="587">
        <f t="shared" si="120"/>
        <v>43.740659</v>
      </c>
      <c r="BN76" s="587">
        <f aca="true" t="shared" si="152" ref="BN76:BP76">AM76*$BL$1</f>
        <v>0</v>
      </c>
      <c r="BO76" s="587">
        <f t="shared" si="152"/>
        <v>0</v>
      </c>
      <c r="BP76" s="587">
        <f t="shared" si="152"/>
        <v>0</v>
      </c>
      <c r="BQ76" s="578"/>
      <c r="BR76" s="579">
        <f aca="true" t="shared" si="153" ref="BR76:BV76">BL76-AX76</f>
        <v>0</v>
      </c>
      <c r="BS76" s="579">
        <f t="shared" si="153"/>
        <v>-0.16934099999999574</v>
      </c>
      <c r="BT76" s="579">
        <f t="shared" si="153"/>
        <v>0</v>
      </c>
      <c r="BU76" s="579">
        <f t="shared" si="153"/>
        <v>0</v>
      </c>
      <c r="BV76" s="579">
        <f t="shared" si="153"/>
        <v>0</v>
      </c>
      <c r="BW76" s="596"/>
      <c r="BX76" s="596"/>
      <c r="BY76" s="596"/>
      <c r="BZ76" s="596"/>
      <c r="CA76" s="596"/>
      <c r="CB76" s="596"/>
      <c r="CC76" s="596"/>
    </row>
    <row r="77" spans="5:123" ht="12.75">
      <c r="E77" s="74">
        <f>SUM(E13:E76)</f>
        <v>22436</v>
      </c>
      <c r="F77" s="75"/>
      <c r="G77" s="73" t="str">
        <f t="shared" si="143"/>
        <v/>
      </c>
      <c r="H77" s="46"/>
      <c r="I77" s="435" t="s">
        <v>717</v>
      </c>
      <c r="J77" s="649" t="s">
        <v>109</v>
      </c>
      <c r="K77" s="580" t="s">
        <v>615</v>
      </c>
      <c r="L77" s="582" t="s">
        <v>612</v>
      </c>
      <c r="M77" s="581">
        <f t="shared" si="147"/>
        <v>0</v>
      </c>
      <c r="N77" s="581">
        <f t="shared" si="147"/>
        <v>15</v>
      </c>
      <c r="O77" s="581">
        <f t="shared" si="147"/>
        <v>0</v>
      </c>
      <c r="P77" s="581">
        <f t="shared" si="147"/>
        <v>0</v>
      </c>
      <c r="Q77" s="581">
        <f t="shared" si="147"/>
        <v>0</v>
      </c>
      <c r="R77" s="581">
        <f t="shared" si="97"/>
        <v>0</v>
      </c>
      <c r="S77" s="620">
        <v>0</v>
      </c>
      <c r="T77" s="620">
        <v>59.28</v>
      </c>
      <c r="U77" s="620">
        <v>0</v>
      </c>
      <c r="V77" s="620">
        <v>0</v>
      </c>
      <c r="W77" s="620"/>
      <c r="X77" s="649"/>
      <c r="Y77" s="70">
        <f aca="true" t="shared" si="154" ref="Y77:AC79">IF(AND(M77&lt;&gt;0,S77=0),#VALUE!,M77*S77)</f>
        <v>0</v>
      </c>
      <c r="Z77" s="70">
        <f t="shared" si="154"/>
        <v>889.2</v>
      </c>
      <c r="AA77" s="70">
        <f t="shared" si="154"/>
        <v>0</v>
      </c>
      <c r="AB77" s="70">
        <f t="shared" si="154"/>
        <v>0</v>
      </c>
      <c r="AC77" s="70">
        <f t="shared" si="154"/>
        <v>0</v>
      </c>
      <c r="AD77" s="649"/>
      <c r="AE77" s="581">
        <f t="shared" si="151"/>
        <v>0</v>
      </c>
      <c r="AF77" s="581">
        <f t="shared" si="151"/>
        <v>15</v>
      </c>
      <c r="AG77" s="581">
        <f t="shared" si="151"/>
        <v>0</v>
      </c>
      <c r="AH77" s="581">
        <f t="shared" si="151"/>
        <v>0</v>
      </c>
      <c r="AI77" s="581">
        <f t="shared" si="151"/>
        <v>0</v>
      </c>
      <c r="AJ77" s="649"/>
      <c r="AK77" s="586">
        <f t="shared" si="114"/>
        <v>0</v>
      </c>
      <c r="AL77" s="586">
        <f t="shared" si="114"/>
        <v>59.28</v>
      </c>
      <c r="AM77" s="586">
        <f t="shared" si="110"/>
        <v>0</v>
      </c>
      <c r="AN77" s="586">
        <f t="shared" si="111"/>
        <v>0</v>
      </c>
      <c r="AO77" s="586">
        <f t="shared" si="112"/>
        <v>0</v>
      </c>
      <c r="AP77" s="649"/>
      <c r="AQ77" s="70">
        <f t="shared" si="115"/>
        <v>0</v>
      </c>
      <c r="AR77" s="70">
        <f aca="true" t="shared" si="155" ref="AR77:AR100">IF(AND(AF77&lt;&gt;0,AL77=0),#VALUE!,AF77*AL77)</f>
        <v>889.2</v>
      </c>
      <c r="AS77" s="70">
        <f t="shared" si="116"/>
        <v>0</v>
      </c>
      <c r="AT77" s="70">
        <f t="shared" si="117"/>
        <v>0</v>
      </c>
      <c r="AU77" s="70">
        <f t="shared" si="118"/>
        <v>0</v>
      </c>
      <c r="AV77" s="649"/>
      <c r="AW77" s="593">
        <v>78</v>
      </c>
      <c r="AX77" s="583"/>
      <c r="AY77" s="583">
        <v>60.35</v>
      </c>
      <c r="AZ77" s="583"/>
      <c r="BA77" s="583"/>
      <c r="BB77" s="583"/>
      <c r="BC77" s="583"/>
      <c r="BD77" s="589">
        <f t="shared" si="66"/>
        <v>0.18000000000000005</v>
      </c>
      <c r="BE77" s="579"/>
      <c r="BF77" s="579">
        <f t="shared" si="130"/>
        <v>0.01</v>
      </c>
      <c r="BG77" s="579"/>
      <c r="BH77" s="579"/>
      <c r="BI77" s="579"/>
      <c r="BJ77" s="649"/>
      <c r="BK77" s="649"/>
      <c r="BL77" s="587">
        <f t="shared" si="119"/>
        <v>0</v>
      </c>
      <c r="BM77" s="587">
        <f t="shared" si="120"/>
        <v>60.175127999999994</v>
      </c>
      <c r="BN77" s="587">
        <f t="shared" si="75"/>
        <v>0</v>
      </c>
      <c r="BO77" s="587">
        <f t="shared" si="76"/>
        <v>0</v>
      </c>
      <c r="BP77" s="587">
        <f t="shared" si="77"/>
        <v>0</v>
      </c>
      <c r="BQ77" s="649"/>
      <c r="BR77" s="579">
        <f t="shared" si="70"/>
        <v>0</v>
      </c>
      <c r="BS77" s="579">
        <f t="shared" si="71"/>
        <v>-0.1748720000000077</v>
      </c>
      <c r="BT77" s="579">
        <f t="shared" si="72"/>
        <v>0</v>
      </c>
      <c r="BU77" s="579">
        <f t="shared" si="73"/>
        <v>0</v>
      </c>
      <c r="BV77" s="579">
        <f t="shared" si="74"/>
        <v>0</v>
      </c>
      <c r="BW77" s="649"/>
      <c r="BX77" s="649"/>
      <c r="BY77" s="649"/>
      <c r="BZ77" s="649"/>
      <c r="CA77" s="649"/>
      <c r="CB77" s="649"/>
      <c r="CC77" s="649"/>
      <c r="CD77" s="649"/>
      <c r="CE77" s="649"/>
      <c r="CF77" s="649"/>
      <c r="CG77" s="649"/>
      <c r="CH77" s="649"/>
      <c r="CI77" s="649"/>
      <c r="CJ77" s="649"/>
      <c r="CK77" s="649"/>
      <c r="CL77" s="649"/>
      <c r="CM77" s="649"/>
      <c r="CN77" s="649"/>
      <c r="CO77" s="649"/>
      <c r="CP77" s="649"/>
      <c r="CQ77" s="649"/>
      <c r="CR77" s="649"/>
      <c r="CS77" s="649"/>
      <c r="CT77" s="649"/>
      <c r="CU77" s="649"/>
      <c r="CV77" s="649"/>
      <c r="CW77" s="649"/>
      <c r="CX77" s="649"/>
      <c r="CY77" s="649"/>
      <c r="CZ77" s="649"/>
      <c r="DA77" s="649"/>
      <c r="DS77" s="686"/>
    </row>
    <row r="78" spans="1:115" ht="12.75">
      <c r="A78" s="444"/>
      <c r="E78" s="73"/>
      <c r="F78" s="73"/>
      <c r="G78" s="73" t="str">
        <f t="shared" si="143"/>
        <v/>
      </c>
      <c r="H78" s="46"/>
      <c r="I78" s="648" t="s">
        <v>717</v>
      </c>
      <c r="J78" s="648" t="s">
        <v>109</v>
      </c>
      <c r="K78" s="580" t="s">
        <v>615</v>
      </c>
      <c r="L78" s="582" t="s">
        <v>718</v>
      </c>
      <c r="M78" s="581">
        <f t="shared" si="147"/>
        <v>0</v>
      </c>
      <c r="N78" s="581">
        <f t="shared" si="147"/>
        <v>9</v>
      </c>
      <c r="O78" s="581">
        <f t="shared" si="147"/>
        <v>0</v>
      </c>
      <c r="P78" s="581">
        <f t="shared" si="147"/>
        <v>0</v>
      </c>
      <c r="Q78" s="581">
        <f t="shared" si="147"/>
        <v>0</v>
      </c>
      <c r="R78" s="581">
        <f t="shared" si="97"/>
        <v>0</v>
      </c>
      <c r="S78" s="620">
        <v>0</v>
      </c>
      <c r="T78" s="650">
        <f>T77-T102-T102</f>
        <v>48.22</v>
      </c>
      <c r="U78" s="620"/>
      <c r="V78" s="620">
        <v>0</v>
      </c>
      <c r="W78" s="620">
        <v>0</v>
      </c>
      <c r="X78" s="648"/>
      <c r="Y78" s="70">
        <f t="shared" si="154"/>
        <v>0</v>
      </c>
      <c r="Z78" s="70">
        <f t="shared" si="154"/>
        <v>433.98</v>
      </c>
      <c r="AA78" s="70">
        <f t="shared" si="154"/>
        <v>0</v>
      </c>
      <c r="AB78" s="70">
        <f t="shared" si="154"/>
        <v>0</v>
      </c>
      <c r="AC78" s="70">
        <f t="shared" si="154"/>
        <v>0</v>
      </c>
      <c r="AD78" s="648"/>
      <c r="AE78" s="581">
        <f aca="true" t="shared" si="156" ref="AE78:AI79">M78</f>
        <v>0</v>
      </c>
      <c r="AF78" s="581">
        <f t="shared" si="156"/>
        <v>9</v>
      </c>
      <c r="AG78" s="581">
        <f t="shared" si="156"/>
        <v>0</v>
      </c>
      <c r="AH78" s="581">
        <f t="shared" si="156"/>
        <v>0</v>
      </c>
      <c r="AI78" s="581">
        <f t="shared" si="156"/>
        <v>0</v>
      </c>
      <c r="AJ78" s="648"/>
      <c r="AK78" s="586">
        <f>ROUND(S78*(1+AK$1),2)</f>
        <v>0</v>
      </c>
      <c r="AL78" s="586">
        <f>AL77-AL102-AL102</f>
        <v>48.22</v>
      </c>
      <c r="AM78" s="586">
        <f t="shared" si="110"/>
        <v>0</v>
      </c>
      <c r="AN78" s="586">
        <f t="shared" si="111"/>
        <v>0</v>
      </c>
      <c r="AO78" s="586">
        <f t="shared" si="112"/>
        <v>0</v>
      </c>
      <c r="AP78" s="648"/>
      <c r="AQ78" s="70">
        <f t="shared" si="115"/>
        <v>0</v>
      </c>
      <c r="AR78" s="70">
        <f t="shared" si="155"/>
        <v>433.98</v>
      </c>
      <c r="AS78" s="70">
        <f t="shared" si="116"/>
        <v>0</v>
      </c>
      <c r="AT78" s="70">
        <f t="shared" si="117"/>
        <v>0</v>
      </c>
      <c r="AU78" s="70">
        <f t="shared" si="118"/>
        <v>0</v>
      </c>
      <c r="AV78" s="70">
        <f aca="true" t="shared" si="157" ref="AV78:AV100">SUM(AQ78:AU78)-SUM(Y78:AC78)</f>
        <v>0</v>
      </c>
      <c r="AW78" s="593">
        <v>78</v>
      </c>
      <c r="AX78" s="583"/>
      <c r="AY78" s="583">
        <v>49.12</v>
      </c>
      <c r="AZ78" s="583"/>
      <c r="BA78" s="583"/>
      <c r="BB78" s="583"/>
      <c r="BC78" s="583"/>
      <c r="BD78" s="589">
        <f>ROUND(AW78*$BD$2,2)+ROUND(AW78*$BD$1,2)</f>
        <v>0.18000000000000005</v>
      </c>
      <c r="BE78" s="579"/>
      <c r="BF78" s="579">
        <f>ROUND((T78*$BE$2)+$BD78-AY78,2)</f>
        <v>0.01</v>
      </c>
      <c r="BG78" s="579"/>
      <c r="BH78" s="579"/>
      <c r="BI78" s="579"/>
      <c r="BJ78" s="648"/>
      <c r="BK78" s="648"/>
      <c r="BL78" s="587">
        <f t="shared" si="119"/>
        <v>0</v>
      </c>
      <c r="BM78" s="587">
        <f t="shared" si="120"/>
        <v>48.94812199999999</v>
      </c>
      <c r="BN78" s="587">
        <f aca="true" t="shared" si="158" ref="BN78:BP79">AM78*$BL$1</f>
        <v>0</v>
      </c>
      <c r="BO78" s="587">
        <f t="shared" si="158"/>
        <v>0</v>
      </c>
      <c r="BP78" s="587">
        <f t="shared" si="158"/>
        <v>0</v>
      </c>
      <c r="BQ78" s="648"/>
      <c r="BR78" s="579">
        <f aca="true" t="shared" si="159" ref="BR78:BV79">BL78-AX78</f>
        <v>0</v>
      </c>
      <c r="BS78" s="579">
        <f t="shared" si="159"/>
        <v>-0.17187800000000664</v>
      </c>
      <c r="BT78" s="579">
        <f t="shared" si="159"/>
        <v>0</v>
      </c>
      <c r="BU78" s="579">
        <f t="shared" si="159"/>
        <v>0</v>
      </c>
      <c r="BV78" s="579">
        <f t="shared" si="159"/>
        <v>0</v>
      </c>
      <c r="BW78" s="648"/>
      <c r="BX78" s="648"/>
      <c r="BY78" s="648"/>
      <c r="BZ78" s="648"/>
      <c r="CA78" s="648"/>
      <c r="CB78" s="648"/>
      <c r="CC78" s="648"/>
      <c r="CD78" s="648"/>
      <c r="CE78" s="648"/>
      <c r="CF78" s="648"/>
      <c r="DB78" s="649"/>
      <c r="DC78" s="649"/>
      <c r="DG78" s="649"/>
      <c r="DH78" s="649"/>
      <c r="DI78" s="649"/>
      <c r="DJ78" s="649"/>
      <c r="DK78" s="649"/>
    </row>
    <row r="79" spans="2:105" ht="12.75">
      <c r="B79" s="35">
        <v>2</v>
      </c>
      <c r="C79" s="72" t="s">
        <v>121</v>
      </c>
      <c r="D79" s="35">
        <v>431</v>
      </c>
      <c r="E79" s="561">
        <v>2</v>
      </c>
      <c r="F79" s="73"/>
      <c r="G79" s="73" t="str">
        <f>IF(OR(ISBLANK(C79),ISBLANK(D79)),"",TEXT(C79,"000")&amp;TEXT(D79,"000"))</f>
        <v>044431</v>
      </c>
      <c r="H79" s="46"/>
      <c r="I79" s="19" t="s">
        <v>717</v>
      </c>
      <c r="J79" s="19" t="s">
        <v>136</v>
      </c>
      <c r="K79" s="86" t="s">
        <v>615</v>
      </c>
      <c r="L79" s="321" t="s">
        <v>727</v>
      </c>
      <c r="M79" s="581">
        <f t="shared" si="147"/>
        <v>0</v>
      </c>
      <c r="N79" s="581">
        <f t="shared" si="147"/>
        <v>8</v>
      </c>
      <c r="O79" s="581">
        <f t="shared" si="147"/>
        <v>0</v>
      </c>
      <c r="P79" s="581">
        <f t="shared" si="147"/>
        <v>0</v>
      </c>
      <c r="Q79" s="581">
        <f t="shared" si="147"/>
        <v>0</v>
      </c>
      <c r="R79" s="581">
        <f t="shared" si="97"/>
        <v>0</v>
      </c>
      <c r="S79" s="620">
        <v>0</v>
      </c>
      <c r="T79" s="650">
        <f>T144-T102-T102</f>
        <v>36.199999999999996</v>
      </c>
      <c r="U79" s="620"/>
      <c r="V79" s="620">
        <v>0</v>
      </c>
      <c r="W79" s="620">
        <v>0</v>
      </c>
      <c r="X79" s="649"/>
      <c r="Y79" s="70">
        <f t="shared" si="154"/>
        <v>0</v>
      </c>
      <c r="Z79" s="70">
        <f t="shared" si="154"/>
        <v>289.59999999999997</v>
      </c>
      <c r="AA79" s="70">
        <f t="shared" si="154"/>
        <v>0</v>
      </c>
      <c r="AB79" s="70">
        <f t="shared" si="154"/>
        <v>0</v>
      </c>
      <c r="AC79" s="70">
        <f t="shared" si="154"/>
        <v>0</v>
      </c>
      <c r="AD79" s="649"/>
      <c r="AE79" s="581">
        <f t="shared" si="156"/>
        <v>0</v>
      </c>
      <c r="AF79" s="581">
        <f t="shared" si="156"/>
        <v>8</v>
      </c>
      <c r="AG79" s="581">
        <f t="shared" si="156"/>
        <v>0</v>
      </c>
      <c r="AH79" s="581">
        <f t="shared" si="156"/>
        <v>0</v>
      </c>
      <c r="AI79" s="581">
        <f t="shared" si="156"/>
        <v>0</v>
      </c>
      <c r="AJ79" s="649"/>
      <c r="AK79" s="586">
        <f>ROUND(S79*(1+AK$1),2)</f>
        <v>0</v>
      </c>
      <c r="AL79" s="586">
        <f>AL144-AL102-AL102</f>
        <v>36.199999999999996</v>
      </c>
      <c r="AM79" s="586">
        <f t="shared" si="110"/>
        <v>0</v>
      </c>
      <c r="AN79" s="586">
        <f t="shared" si="111"/>
        <v>0</v>
      </c>
      <c r="AO79" s="586">
        <f t="shared" si="112"/>
        <v>0</v>
      </c>
      <c r="AP79" s="649"/>
      <c r="AQ79" s="70">
        <f t="shared" si="115"/>
        <v>0</v>
      </c>
      <c r="AR79" s="70">
        <f t="shared" si="155"/>
        <v>289.59999999999997</v>
      </c>
      <c r="AS79" s="70">
        <f t="shared" si="116"/>
        <v>0</v>
      </c>
      <c r="AT79" s="70">
        <f t="shared" si="117"/>
        <v>0</v>
      </c>
      <c r="AU79" s="70">
        <f t="shared" si="118"/>
        <v>0</v>
      </c>
      <c r="AV79" s="70">
        <f t="shared" si="157"/>
        <v>0</v>
      </c>
      <c r="AW79" s="593">
        <v>78</v>
      </c>
      <c r="AX79" s="583"/>
      <c r="AY79" s="583">
        <v>36.92</v>
      </c>
      <c r="AZ79" s="583"/>
      <c r="BA79" s="583"/>
      <c r="BB79" s="583"/>
      <c r="BC79" s="583"/>
      <c r="BD79" s="589">
        <f>ROUND(AW79*$BD$2,2)+ROUND(AW79*$BD$1,2)</f>
        <v>0.18000000000000005</v>
      </c>
      <c r="BE79" s="579"/>
      <c r="BF79" s="579">
        <f t="shared" si="130"/>
        <v>0.01</v>
      </c>
      <c r="BG79" s="579"/>
      <c r="BH79" s="579"/>
      <c r="BI79" s="579"/>
      <c r="BJ79" s="649"/>
      <c r="BK79" s="649"/>
      <c r="BL79" s="587">
        <f t="shared" si="119"/>
        <v>0</v>
      </c>
      <c r="BM79" s="587">
        <f t="shared" si="120"/>
        <v>36.74661999999999</v>
      </c>
      <c r="BN79" s="587">
        <f t="shared" si="158"/>
        <v>0</v>
      </c>
      <c r="BO79" s="587">
        <f t="shared" si="158"/>
        <v>0</v>
      </c>
      <c r="BP79" s="587">
        <f t="shared" si="158"/>
        <v>0</v>
      </c>
      <c r="BQ79" s="649"/>
      <c r="BR79" s="579">
        <f t="shared" si="159"/>
        <v>0</v>
      </c>
      <c r="BS79" s="579">
        <f t="shared" si="159"/>
        <v>-0.17338000000000875</v>
      </c>
      <c r="BT79" s="579">
        <f t="shared" si="159"/>
        <v>0</v>
      </c>
      <c r="BU79" s="579">
        <f t="shared" si="159"/>
        <v>0</v>
      </c>
      <c r="BV79" s="579">
        <f t="shared" si="159"/>
        <v>0</v>
      </c>
      <c r="BW79" s="649"/>
      <c r="BX79" s="649"/>
      <c r="BY79" s="649"/>
      <c r="BZ79" s="649"/>
      <c r="CA79" s="649"/>
      <c r="CB79" s="649"/>
      <c r="CC79" s="649"/>
      <c r="CD79" s="649"/>
      <c r="CE79" s="649"/>
      <c r="CF79" s="649"/>
      <c r="CG79" s="649"/>
      <c r="CH79" s="649"/>
      <c r="CI79" s="649"/>
      <c r="CJ79" s="649"/>
      <c r="CK79" s="649"/>
      <c r="CL79" s="649"/>
      <c r="CM79" s="649"/>
      <c r="CN79" s="649"/>
      <c r="CO79" s="649"/>
      <c r="CP79" s="649"/>
      <c r="CQ79" s="649"/>
      <c r="CR79" s="649"/>
      <c r="CS79" s="649"/>
      <c r="CT79" s="649"/>
      <c r="CU79" s="649"/>
      <c r="CV79" s="649"/>
      <c r="CW79" s="649"/>
      <c r="CX79" s="649"/>
      <c r="CY79" s="649"/>
      <c r="CZ79" s="649"/>
      <c r="DA79" s="649"/>
    </row>
    <row r="80" spans="2:110" ht="12.75">
      <c r="B80" s="35">
        <v>2</v>
      </c>
      <c r="C80" s="72" t="s">
        <v>121</v>
      </c>
      <c r="D80" s="35">
        <v>432</v>
      </c>
      <c r="E80" s="561">
        <v>4</v>
      </c>
      <c r="F80" s="73"/>
      <c r="G80" s="73" t="str">
        <f t="shared" si="143"/>
        <v>044432</v>
      </c>
      <c r="H80" s="46"/>
      <c r="I80" t="s">
        <v>124</v>
      </c>
      <c r="J80" t="s">
        <v>108</v>
      </c>
      <c r="K80" s="59">
        <v>20000</v>
      </c>
      <c r="L80" s="97">
        <v>611</v>
      </c>
      <c r="M80" s="69">
        <f t="shared" si="147"/>
        <v>6</v>
      </c>
      <c r="N80" s="69">
        <f t="shared" si="147"/>
        <v>0</v>
      </c>
      <c r="O80" s="69">
        <f t="shared" si="147"/>
        <v>0</v>
      </c>
      <c r="P80" s="69">
        <f t="shared" si="147"/>
        <v>0</v>
      </c>
      <c r="Q80" s="69">
        <f t="shared" si="147"/>
        <v>0</v>
      </c>
      <c r="R80" s="581">
        <f t="shared" si="97"/>
        <v>0</v>
      </c>
      <c r="S80" s="620">
        <v>27.56</v>
      </c>
      <c r="T80" s="620">
        <v>0</v>
      </c>
      <c r="U80" s="620">
        <v>0</v>
      </c>
      <c r="V80" s="620">
        <v>0</v>
      </c>
      <c r="W80" s="620">
        <v>0</v>
      </c>
      <c r="Y80" s="70">
        <f>IF(AND(M80&lt;&gt;0,S80=0),#VALUE!,M80*S80)</f>
        <v>165.35999999999999</v>
      </c>
      <c r="Z80" s="70">
        <f t="shared" si="60"/>
        <v>0</v>
      </c>
      <c r="AA80" s="70">
        <f t="shared" si="61"/>
        <v>0</v>
      </c>
      <c r="AB80" s="70">
        <f t="shared" si="62"/>
        <v>0</v>
      </c>
      <c r="AC80" s="70">
        <f t="shared" si="63"/>
        <v>0</v>
      </c>
      <c r="AE80" s="69">
        <f t="shared" si="64"/>
        <v>6</v>
      </c>
      <c r="AF80" s="69">
        <f t="shared" si="126"/>
        <v>0</v>
      </c>
      <c r="AG80" s="69">
        <f t="shared" si="127"/>
        <v>0</v>
      </c>
      <c r="AH80" s="69">
        <f t="shared" si="128"/>
        <v>0</v>
      </c>
      <c r="AI80" s="69">
        <f t="shared" si="129"/>
        <v>0</v>
      </c>
      <c r="AK80" s="436">
        <f t="shared" si="114"/>
        <v>27.56</v>
      </c>
      <c r="AL80" s="436">
        <f t="shared" si="149"/>
        <v>0</v>
      </c>
      <c r="AM80" s="436">
        <f aca="true" t="shared" si="160" ref="AM80:AM100">ROUND(U80*(1+AM$1),2)</f>
        <v>0</v>
      </c>
      <c r="AN80" s="436">
        <f aca="true" t="shared" si="161" ref="AN80:AN100">ROUND(V80*(1+AN$1),2)</f>
        <v>0</v>
      </c>
      <c r="AO80" s="436">
        <f aca="true" t="shared" si="162" ref="AO80:AO100">ROUND(W80*(1+AO$1),2)</f>
        <v>0</v>
      </c>
      <c r="AQ80" s="70">
        <f t="shared" si="115"/>
        <v>165.35999999999999</v>
      </c>
      <c r="AR80" s="70">
        <f t="shared" si="155"/>
        <v>0</v>
      </c>
      <c r="AS80" s="70">
        <f t="shared" si="116"/>
        <v>0</v>
      </c>
      <c r="AT80" s="70">
        <f t="shared" si="117"/>
        <v>0</v>
      </c>
      <c r="AU80" s="70">
        <f t="shared" si="118"/>
        <v>0</v>
      </c>
      <c r="AV80" s="70">
        <f t="shared" si="157"/>
        <v>0</v>
      </c>
      <c r="AW80" s="448">
        <v>182</v>
      </c>
      <c r="AX80" s="583">
        <v>28.38</v>
      </c>
      <c r="AY80" s="583"/>
      <c r="AZ80" s="583"/>
      <c r="BA80" s="583"/>
      <c r="BB80" s="583"/>
      <c r="BC80" s="140"/>
      <c r="BD80" s="589">
        <f t="shared" si="66"/>
        <v>0.41000000000000014</v>
      </c>
      <c r="BE80" s="54">
        <f>ROUND((S80*$BE$2)+$BD80-AX80,2)</f>
        <v>0.01</v>
      </c>
      <c r="BF80" s="54"/>
      <c r="BG80" s="54"/>
      <c r="BH80" s="54"/>
      <c r="BI80" s="54"/>
      <c r="BL80" s="279">
        <f t="shared" si="119"/>
        <v>27.976155999999996</v>
      </c>
      <c r="BM80" s="279">
        <f t="shared" si="120"/>
        <v>0</v>
      </c>
      <c r="BN80" s="279">
        <f t="shared" si="75"/>
        <v>0</v>
      </c>
      <c r="BO80" s="279">
        <f t="shared" si="76"/>
        <v>0</v>
      </c>
      <c r="BP80" s="279">
        <f t="shared" si="77"/>
        <v>0</v>
      </c>
      <c r="BR80" s="54">
        <f t="shared" si="70"/>
        <v>-0.403844000000003</v>
      </c>
      <c r="BS80" s="54">
        <f t="shared" si="71"/>
        <v>0</v>
      </c>
      <c r="BT80" s="54">
        <f t="shared" si="72"/>
        <v>0</v>
      </c>
      <c r="BU80" s="54">
        <f t="shared" si="73"/>
        <v>0</v>
      </c>
      <c r="BV80" s="54">
        <f t="shared" si="74"/>
        <v>0</v>
      </c>
      <c r="DB80" s="649"/>
      <c r="DC80" s="649"/>
      <c r="DD80" s="649"/>
      <c r="DE80" s="649"/>
      <c r="DF80" s="649"/>
    </row>
    <row r="81" spans="2:74" ht="12.75">
      <c r="B81" s="35">
        <v>2</v>
      </c>
      <c r="C81" s="72" t="s">
        <v>121</v>
      </c>
      <c r="D81" s="35">
        <v>433</v>
      </c>
      <c r="E81" s="561">
        <v>6</v>
      </c>
      <c r="F81" s="73"/>
      <c r="G81" s="73" t="str">
        <f t="shared" si="143"/>
        <v>044433</v>
      </c>
      <c r="H81" s="46"/>
      <c r="I81" t="s">
        <v>133</v>
      </c>
      <c r="J81" t="s">
        <v>131</v>
      </c>
      <c r="K81" s="59">
        <v>20000</v>
      </c>
      <c r="L81" s="97">
        <v>615</v>
      </c>
      <c r="M81" s="69">
        <f t="shared" si="147"/>
        <v>0</v>
      </c>
      <c r="N81" s="69">
        <f t="shared" si="147"/>
        <v>0</v>
      </c>
      <c r="O81" s="69">
        <f t="shared" si="147"/>
        <v>0</v>
      </c>
      <c r="P81" s="69">
        <f t="shared" si="147"/>
        <v>87</v>
      </c>
      <c r="Q81" s="69">
        <f t="shared" si="147"/>
        <v>0</v>
      </c>
      <c r="R81" s="581">
        <f t="shared" si="97"/>
        <v>0</v>
      </c>
      <c r="S81" s="620">
        <v>0</v>
      </c>
      <c r="T81" s="620">
        <v>0</v>
      </c>
      <c r="U81" s="620">
        <v>0</v>
      </c>
      <c r="V81" s="620">
        <v>14.91</v>
      </c>
      <c r="W81" s="620">
        <v>0</v>
      </c>
      <c r="Y81" s="70">
        <f t="shared" si="59"/>
        <v>0</v>
      </c>
      <c r="Z81" s="70">
        <f t="shared" si="60"/>
        <v>0</v>
      </c>
      <c r="AA81" s="70">
        <f t="shared" si="61"/>
        <v>0</v>
      </c>
      <c r="AB81" s="70">
        <f t="shared" si="62"/>
        <v>1297.17</v>
      </c>
      <c r="AC81" s="70">
        <f t="shared" si="63"/>
        <v>0</v>
      </c>
      <c r="AE81" s="69">
        <f t="shared" si="64"/>
        <v>0</v>
      </c>
      <c r="AF81" s="69">
        <f t="shared" si="126"/>
        <v>0</v>
      </c>
      <c r="AG81" s="69">
        <f t="shared" si="127"/>
        <v>0</v>
      </c>
      <c r="AH81" s="69">
        <f t="shared" si="128"/>
        <v>87</v>
      </c>
      <c r="AI81" s="69">
        <f t="shared" si="129"/>
        <v>0</v>
      </c>
      <c r="AK81" s="436">
        <f t="shared" si="114"/>
        <v>0</v>
      </c>
      <c r="AL81" s="436">
        <f t="shared" si="149"/>
        <v>0</v>
      </c>
      <c r="AM81" s="436">
        <f t="shared" si="160"/>
        <v>0</v>
      </c>
      <c r="AN81" s="436">
        <f t="shared" si="161"/>
        <v>14.91</v>
      </c>
      <c r="AO81" s="436">
        <f t="shared" si="162"/>
        <v>0</v>
      </c>
      <c r="AQ81" s="70">
        <f aca="true" t="shared" si="163" ref="AQ81:AQ102">IF(AND(AE81&lt;&gt;0,AK81=0),#VALUE!,AE81*AK81)</f>
        <v>0</v>
      </c>
      <c r="AR81" s="70">
        <f t="shared" si="155"/>
        <v>0</v>
      </c>
      <c r="AS81" s="70">
        <f aca="true" t="shared" si="164" ref="AS81:AS100">IF(AND(AG81&lt;&gt;0,AM81=0),#VALUE!,AG81*AM81)</f>
        <v>0</v>
      </c>
      <c r="AT81" s="70">
        <f aca="true" t="shared" si="165" ref="AT81:AT100">IF(AND(AH81&lt;&gt;0,AN81=0),#VALUE!,AH81*AN81)</f>
        <v>1297.17</v>
      </c>
      <c r="AU81" s="70">
        <f aca="true" t="shared" si="166" ref="AU81:AU100">IF(AND(AI81&lt;&gt;0,AO81=0),#VALUE!,AI81*AO81)</f>
        <v>0</v>
      </c>
      <c r="AV81" s="70">
        <f t="shared" si="157"/>
        <v>0</v>
      </c>
      <c r="AW81" s="448">
        <v>182</v>
      </c>
      <c r="AX81" s="583"/>
      <c r="AY81" s="583"/>
      <c r="AZ81" s="583"/>
      <c r="BA81" s="583">
        <v>15.54</v>
      </c>
      <c r="BB81" s="583"/>
      <c r="BC81" s="140"/>
      <c r="BD81" s="589">
        <f aca="true" t="shared" si="167" ref="BD81:BD100">ROUND(AW81*$BD$2,2)+ROUND(AW81*$BD$1,2)</f>
        <v>0.41000000000000014</v>
      </c>
      <c r="BE81" s="54"/>
      <c r="BF81" s="54"/>
      <c r="BG81" s="54"/>
      <c r="BH81" s="54">
        <f>ROUND((V81*$BE$2)+$BD81-BA81,2)</f>
        <v>0.01</v>
      </c>
      <c r="BI81" s="54"/>
      <c r="BL81" s="279">
        <f aca="true" t="shared" si="168" ref="BL81:BL100">AK81*$BL$1</f>
        <v>0</v>
      </c>
      <c r="BM81" s="279">
        <f aca="true" t="shared" si="169" ref="BM81:BM100">AL81*$BL$1</f>
        <v>0</v>
      </c>
      <c r="BN81" s="279">
        <f t="shared" si="75"/>
        <v>0</v>
      </c>
      <c r="BO81" s="279">
        <f t="shared" si="76"/>
        <v>15.135140999999999</v>
      </c>
      <c r="BP81" s="279">
        <f t="shared" si="77"/>
        <v>0</v>
      </c>
      <c r="BR81" s="54">
        <f t="shared" si="70"/>
        <v>0</v>
      </c>
      <c r="BS81" s="54">
        <f t="shared" si="71"/>
        <v>0</v>
      </c>
      <c r="BT81" s="54">
        <f t="shared" si="72"/>
        <v>0</v>
      </c>
      <c r="BU81" s="54">
        <f t="shared" si="73"/>
        <v>-0.4048590000000001</v>
      </c>
      <c r="BV81" s="54">
        <f t="shared" si="74"/>
        <v>0</v>
      </c>
    </row>
    <row r="82" spans="2:98" ht="12.75">
      <c r="B82" s="35">
        <v>2</v>
      </c>
      <c r="C82" s="72" t="s">
        <v>121</v>
      </c>
      <c r="D82" s="35">
        <v>435</v>
      </c>
      <c r="E82" s="561">
        <f>11+1+5</f>
        <v>17</v>
      </c>
      <c r="F82" s="73"/>
      <c r="G82" s="73" t="str">
        <f t="shared" si="143"/>
        <v>044435</v>
      </c>
      <c r="H82" s="46"/>
      <c r="I82" s="769" t="s">
        <v>133</v>
      </c>
      <c r="J82" s="435" t="s">
        <v>979</v>
      </c>
      <c r="K82" s="580">
        <v>20000</v>
      </c>
      <c r="L82" s="582">
        <v>618</v>
      </c>
      <c r="M82" s="581">
        <f t="shared" si="147"/>
        <v>0</v>
      </c>
      <c r="N82" s="581">
        <f t="shared" si="147"/>
        <v>0</v>
      </c>
      <c r="O82" s="581">
        <f t="shared" si="147"/>
        <v>0</v>
      </c>
      <c r="P82" s="581">
        <f t="shared" si="147"/>
        <v>87</v>
      </c>
      <c r="Q82" s="581">
        <f t="shared" si="147"/>
        <v>0</v>
      </c>
      <c r="R82" s="581">
        <f aca="true" t="shared" si="170" ref="R82">IF(SUM(M82:Q82)&gt;0,0,1)</f>
        <v>0</v>
      </c>
      <c r="S82" s="620">
        <v>0</v>
      </c>
      <c r="T82" s="620">
        <v>0</v>
      </c>
      <c r="U82" s="620">
        <v>0</v>
      </c>
      <c r="V82" s="620">
        <v>8.82</v>
      </c>
      <c r="W82" s="620">
        <v>0</v>
      </c>
      <c r="X82" s="769"/>
      <c r="Y82" s="70">
        <f aca="true" t="shared" si="171" ref="Y82">IF(AND(M82&lt;&gt;0,S82=0),#VALUE!,M82*S82)</f>
        <v>0</v>
      </c>
      <c r="Z82" s="70">
        <f aca="true" t="shared" si="172" ref="Z82">IF(AND(N82&lt;&gt;0,T82=0),#VALUE!,N82*T82)</f>
        <v>0</v>
      </c>
      <c r="AA82" s="70">
        <f aca="true" t="shared" si="173" ref="AA82">IF(AND(O82&lt;&gt;0,U82=0),#VALUE!,O82*U82)</f>
        <v>0</v>
      </c>
      <c r="AB82" s="70">
        <f aca="true" t="shared" si="174" ref="AB82">IF(AND(P82&lt;&gt;0,V82=0),#VALUE!,P82*V82)</f>
        <v>767.34</v>
      </c>
      <c r="AC82" s="70">
        <f aca="true" t="shared" si="175" ref="AC82">IF(AND(Q82&lt;&gt;0,W82=0),#VALUE!,Q82*W82)</f>
        <v>0</v>
      </c>
      <c r="AD82" s="769"/>
      <c r="AE82" s="581">
        <f aca="true" t="shared" si="176" ref="AE82">M82</f>
        <v>0</v>
      </c>
      <c r="AF82" s="581">
        <f aca="true" t="shared" si="177" ref="AF82">N82</f>
        <v>0</v>
      </c>
      <c r="AG82" s="581">
        <f aca="true" t="shared" si="178" ref="AG82">O82</f>
        <v>0</v>
      </c>
      <c r="AH82" s="581">
        <f aca="true" t="shared" si="179" ref="AH82">P82</f>
        <v>87</v>
      </c>
      <c r="AI82" s="581">
        <f aca="true" t="shared" si="180" ref="AI82">Q82</f>
        <v>0</v>
      </c>
      <c r="AJ82" s="769"/>
      <c r="AK82" s="586">
        <f aca="true" t="shared" si="181" ref="AK82">ROUND(S82*(1+AK$1),2)</f>
        <v>0</v>
      </c>
      <c r="AL82" s="586">
        <f aca="true" t="shared" si="182" ref="AL82">ROUND(T82*(1+AL$1),2)</f>
        <v>0</v>
      </c>
      <c r="AM82" s="586">
        <f aca="true" t="shared" si="183" ref="AM82">ROUND(U82*(1+AM$1),2)</f>
        <v>0</v>
      </c>
      <c r="AN82" s="586">
        <f aca="true" t="shared" si="184" ref="AN82">ROUND(V82*(1+AN$1),2)</f>
        <v>8.82</v>
      </c>
      <c r="AO82" s="586">
        <f aca="true" t="shared" si="185" ref="AO82">ROUND(W82*(1+AO$1),2)</f>
        <v>0</v>
      </c>
      <c r="AP82" s="769"/>
      <c r="AQ82" s="70">
        <f aca="true" t="shared" si="186" ref="AQ82">IF(AND(AE82&lt;&gt;0,AK82=0),#VALUE!,AE82*AK82)</f>
        <v>0</v>
      </c>
      <c r="AR82" s="70">
        <f aca="true" t="shared" si="187" ref="AR82">IF(AND(AF82&lt;&gt;0,AL82=0),#VALUE!,AF82*AL82)</f>
        <v>0</v>
      </c>
      <c r="AS82" s="70">
        <f aca="true" t="shared" si="188" ref="AS82">IF(AND(AG82&lt;&gt;0,AM82=0),#VALUE!,AG82*AM82)</f>
        <v>0</v>
      </c>
      <c r="AT82" s="70">
        <f aca="true" t="shared" si="189" ref="AT82">IF(AND(AH82&lt;&gt;0,AN82=0),#VALUE!,AH82*AN82)</f>
        <v>767.34</v>
      </c>
      <c r="AU82" s="70">
        <f aca="true" t="shared" si="190" ref="AU82">IF(AND(AI82&lt;&gt;0,AO82=0),#VALUE!,AI82*AO82)</f>
        <v>0</v>
      </c>
      <c r="AV82" s="70">
        <f aca="true" t="shared" si="191" ref="AV82">SUM(AQ82:AU82)-SUM(Y82:AC82)</f>
        <v>0</v>
      </c>
      <c r="AW82" s="593">
        <v>124</v>
      </c>
      <c r="AX82" s="583"/>
      <c r="AY82" s="583"/>
      <c r="AZ82" s="583"/>
      <c r="BA82" s="583">
        <v>9.22</v>
      </c>
      <c r="BB82" s="583"/>
      <c r="BC82" s="583"/>
      <c r="BD82" s="589">
        <f aca="true" t="shared" si="192" ref="BD82">ROUND(AW82*$BD$2,2)+ROUND(AW82*$BD$1,2)</f>
        <v>0.28</v>
      </c>
      <c r="BE82" s="579"/>
      <c r="BF82" s="579"/>
      <c r="BG82" s="579"/>
      <c r="BH82" s="579">
        <f>ROUND((V82*$BE$2)+$BD82-BA82,2)</f>
        <v>0.01</v>
      </c>
      <c r="BI82" s="579"/>
      <c r="BJ82" s="769"/>
      <c r="BK82" s="769"/>
      <c r="BL82" s="587">
        <f aca="true" t="shared" si="193" ref="BL82">AK82*$BL$1</f>
        <v>0</v>
      </c>
      <c r="BM82" s="587">
        <f aca="true" t="shared" si="194" ref="BM82">AL82*$BL$1</f>
        <v>0</v>
      </c>
      <c r="BN82" s="587">
        <f aca="true" t="shared" si="195" ref="BN82">AM82*$BL$1</f>
        <v>0</v>
      </c>
      <c r="BO82" s="587">
        <f aca="true" t="shared" si="196" ref="BO82">AN82*$BL$1</f>
        <v>8.953182</v>
      </c>
      <c r="BP82" s="587">
        <f aca="true" t="shared" si="197" ref="BP82">AO82*$BL$1</f>
        <v>0</v>
      </c>
      <c r="BQ82" s="769"/>
      <c r="BR82" s="579">
        <f aca="true" t="shared" si="198" ref="BR82">BL82-AX82</f>
        <v>0</v>
      </c>
      <c r="BS82" s="579">
        <f aca="true" t="shared" si="199" ref="BS82">BM82-AY82</f>
        <v>0</v>
      </c>
      <c r="BT82" s="579">
        <f aca="true" t="shared" si="200" ref="BT82">BN82-AZ82</f>
        <v>0</v>
      </c>
      <c r="BU82" s="579">
        <f aca="true" t="shared" si="201" ref="BU82">BO82-BA82</f>
        <v>-0.26681800000000067</v>
      </c>
      <c r="BV82" s="579">
        <f aca="true" t="shared" si="202" ref="BV82">BP82-BB82</f>
        <v>0</v>
      </c>
      <c r="BW82" s="769"/>
      <c r="BX82" s="769"/>
      <c r="BY82" s="769"/>
      <c r="BZ82" s="769"/>
      <c r="CA82" s="769"/>
      <c r="CB82" s="769"/>
      <c r="CC82" s="769"/>
      <c r="CD82" s="769"/>
      <c r="CE82" s="769"/>
      <c r="CF82" s="769"/>
      <c r="CG82" s="769"/>
      <c r="CH82" s="769"/>
      <c r="CI82" s="769"/>
      <c r="CJ82" s="769"/>
      <c r="CK82" s="769"/>
      <c r="CL82" s="769"/>
      <c r="CM82" s="769"/>
      <c r="CN82" s="769"/>
      <c r="CO82" s="769"/>
      <c r="CP82" s="769"/>
      <c r="CQ82" s="769"/>
      <c r="CR82" s="769"/>
      <c r="CS82" s="769"/>
      <c r="CT82" s="769"/>
    </row>
    <row r="83" spans="2:74" ht="12.75">
      <c r="B83" s="35">
        <v>2</v>
      </c>
      <c r="C83" s="72" t="s">
        <v>121</v>
      </c>
      <c r="D83" s="35">
        <v>531</v>
      </c>
      <c r="E83" s="561">
        <v>1</v>
      </c>
      <c r="F83" s="73"/>
      <c r="G83" s="73" t="str">
        <f t="shared" si="143"/>
        <v>044531</v>
      </c>
      <c r="H83" s="46"/>
      <c r="I83" t="s">
        <v>128</v>
      </c>
      <c r="J83" t="s">
        <v>848</v>
      </c>
      <c r="K83" s="59" t="s">
        <v>143</v>
      </c>
      <c r="L83" s="97">
        <v>631</v>
      </c>
      <c r="M83" s="69">
        <f t="shared" si="147"/>
        <v>0</v>
      </c>
      <c r="N83" s="69">
        <f t="shared" si="147"/>
        <v>38</v>
      </c>
      <c r="O83" s="69">
        <f t="shared" si="147"/>
        <v>0</v>
      </c>
      <c r="P83" s="69">
        <f t="shared" si="147"/>
        <v>0</v>
      </c>
      <c r="Q83" s="69">
        <f t="shared" si="147"/>
        <v>0</v>
      </c>
      <c r="R83" s="581">
        <f t="shared" si="97"/>
        <v>0</v>
      </c>
      <c r="S83" s="620">
        <v>0</v>
      </c>
      <c r="T83" s="620">
        <v>23.69</v>
      </c>
      <c r="U83" s="620">
        <v>13.59</v>
      </c>
      <c r="V83" s="620">
        <v>0</v>
      </c>
      <c r="W83" s="620">
        <v>0</v>
      </c>
      <c r="Y83" s="70">
        <f t="shared" si="59"/>
        <v>0</v>
      </c>
      <c r="Z83" s="70">
        <f t="shared" si="60"/>
        <v>900.22</v>
      </c>
      <c r="AA83" s="70">
        <f t="shared" si="61"/>
        <v>0</v>
      </c>
      <c r="AB83" s="70">
        <f t="shared" si="62"/>
        <v>0</v>
      </c>
      <c r="AC83" s="70">
        <f t="shared" si="63"/>
        <v>0</v>
      </c>
      <c r="AE83" s="69">
        <f t="shared" si="64"/>
        <v>0</v>
      </c>
      <c r="AF83" s="69">
        <f t="shared" si="126"/>
        <v>38</v>
      </c>
      <c r="AG83" s="69">
        <f t="shared" si="127"/>
        <v>0</v>
      </c>
      <c r="AH83" s="69">
        <f t="shared" si="128"/>
        <v>0</v>
      </c>
      <c r="AI83" s="69">
        <f t="shared" si="129"/>
        <v>0</v>
      </c>
      <c r="AK83" s="436">
        <f t="shared" si="114"/>
        <v>0</v>
      </c>
      <c r="AL83" s="436">
        <f t="shared" si="149"/>
        <v>23.69</v>
      </c>
      <c r="AM83" s="436">
        <f t="shared" si="160"/>
        <v>13.59</v>
      </c>
      <c r="AN83" s="436">
        <f t="shared" si="161"/>
        <v>0</v>
      </c>
      <c r="AO83" s="436">
        <f t="shared" si="162"/>
        <v>0</v>
      </c>
      <c r="AQ83" s="70">
        <f t="shared" si="163"/>
        <v>0</v>
      </c>
      <c r="AR83" s="70">
        <f t="shared" si="155"/>
        <v>900.22</v>
      </c>
      <c r="AS83" s="70">
        <f t="shared" si="164"/>
        <v>0</v>
      </c>
      <c r="AT83" s="70">
        <f t="shared" si="165"/>
        <v>0</v>
      </c>
      <c r="AU83" s="70">
        <f t="shared" si="166"/>
        <v>0</v>
      </c>
      <c r="AV83" s="70">
        <f t="shared" si="157"/>
        <v>0</v>
      </c>
      <c r="AW83" s="448">
        <v>107</v>
      </c>
      <c r="AX83" s="583"/>
      <c r="AY83" s="583">
        <v>24.29</v>
      </c>
      <c r="AZ83" s="583">
        <v>14.04</v>
      </c>
      <c r="BA83" s="583"/>
      <c r="BB83" s="583"/>
      <c r="BC83" s="140"/>
      <c r="BD83" s="589">
        <f t="shared" si="167"/>
        <v>0.22999999999999998</v>
      </c>
      <c r="BE83" s="54"/>
      <c r="BF83" s="54">
        <f aca="true" t="shared" si="203" ref="BF83:BG85">ROUND((T83*$BE$2)+$BD83-AY83,2)</f>
        <v>-0.01</v>
      </c>
      <c r="BG83" s="54">
        <f t="shared" si="203"/>
        <v>-0.01</v>
      </c>
      <c r="BH83" s="54"/>
      <c r="BI83" s="54"/>
      <c r="BL83" s="279">
        <f t="shared" si="168"/>
        <v>0</v>
      </c>
      <c r="BM83" s="279">
        <f t="shared" si="169"/>
        <v>24.047718999999997</v>
      </c>
      <c r="BN83" s="279">
        <f t="shared" si="75"/>
        <v>13.795208999999998</v>
      </c>
      <c r="BO83" s="279">
        <f t="shared" si="76"/>
        <v>0</v>
      </c>
      <c r="BP83" s="279">
        <f t="shared" si="77"/>
        <v>0</v>
      </c>
      <c r="BR83" s="54">
        <f t="shared" si="70"/>
        <v>0</v>
      </c>
      <c r="BS83" s="54">
        <f t="shared" si="71"/>
        <v>-0.24228100000000197</v>
      </c>
      <c r="BT83" s="54">
        <f t="shared" si="72"/>
        <v>-0.2447910000000011</v>
      </c>
      <c r="BU83" s="54">
        <f t="shared" si="73"/>
        <v>0</v>
      </c>
      <c r="BV83" s="54">
        <f t="shared" si="74"/>
        <v>0</v>
      </c>
    </row>
    <row r="84" spans="2:74" ht="12.75">
      <c r="B84" s="35">
        <v>2</v>
      </c>
      <c r="C84" s="72" t="s">
        <v>121</v>
      </c>
      <c r="D84" s="35">
        <v>532</v>
      </c>
      <c r="E84" s="561">
        <v>89</v>
      </c>
      <c r="F84" s="73"/>
      <c r="G84" s="73" t="str">
        <f t="shared" si="143"/>
        <v>044532</v>
      </c>
      <c r="H84" s="46"/>
      <c r="I84" t="s">
        <v>128</v>
      </c>
      <c r="J84" t="s">
        <v>109</v>
      </c>
      <c r="K84" s="59" t="s">
        <v>143</v>
      </c>
      <c r="L84" s="97">
        <v>632</v>
      </c>
      <c r="M84" s="69">
        <f aca="true" t="shared" si="204" ref="M84:Q93">SUMIF($G:$G,TEXT(M$3,"000")&amp;TEXT($L84,"000"),$E:$E)</f>
        <v>0</v>
      </c>
      <c r="N84" s="69">
        <f t="shared" si="204"/>
        <v>0</v>
      </c>
      <c r="O84" s="69">
        <f t="shared" si="204"/>
        <v>0</v>
      </c>
      <c r="P84" s="69">
        <f t="shared" si="204"/>
        <v>0</v>
      </c>
      <c r="Q84" s="69">
        <f t="shared" si="204"/>
        <v>0</v>
      </c>
      <c r="R84" s="581">
        <f t="shared" si="97"/>
        <v>1</v>
      </c>
      <c r="S84" s="620">
        <v>0</v>
      </c>
      <c r="T84" s="620"/>
      <c r="U84" s="620">
        <v>13.59</v>
      </c>
      <c r="V84" s="620">
        <v>0</v>
      </c>
      <c r="W84" s="620">
        <v>0</v>
      </c>
      <c r="Y84" s="70">
        <f t="shared" si="59"/>
        <v>0</v>
      </c>
      <c r="Z84" s="70">
        <f t="shared" si="60"/>
        <v>0</v>
      </c>
      <c r="AA84" s="70">
        <f t="shared" si="61"/>
        <v>0</v>
      </c>
      <c r="AB84" s="70">
        <f t="shared" si="62"/>
        <v>0</v>
      </c>
      <c r="AC84" s="70">
        <f t="shared" si="63"/>
        <v>0</v>
      </c>
      <c r="AE84" s="69">
        <f t="shared" si="64"/>
        <v>0</v>
      </c>
      <c r="AF84" s="69">
        <f t="shared" si="126"/>
        <v>0</v>
      </c>
      <c r="AG84" s="69">
        <f t="shared" si="127"/>
        <v>0</v>
      </c>
      <c r="AH84" s="69">
        <f t="shared" si="128"/>
        <v>0</v>
      </c>
      <c r="AI84" s="69">
        <f t="shared" si="129"/>
        <v>0</v>
      </c>
      <c r="AK84" s="436">
        <f t="shared" si="114"/>
        <v>0</v>
      </c>
      <c r="AL84" s="640">
        <f t="shared" si="149"/>
        <v>0</v>
      </c>
      <c r="AM84" s="436">
        <f t="shared" si="160"/>
        <v>13.59</v>
      </c>
      <c r="AN84" s="436">
        <f t="shared" si="161"/>
        <v>0</v>
      </c>
      <c r="AO84" s="436">
        <f t="shared" si="162"/>
        <v>0</v>
      </c>
      <c r="AQ84" s="70">
        <f t="shared" si="163"/>
        <v>0</v>
      </c>
      <c r="AR84" s="70">
        <f t="shared" si="155"/>
        <v>0</v>
      </c>
      <c r="AS84" s="70">
        <f t="shared" si="164"/>
        <v>0</v>
      </c>
      <c r="AT84" s="70">
        <f t="shared" si="165"/>
        <v>0</v>
      </c>
      <c r="AU84" s="70">
        <f t="shared" si="166"/>
        <v>0</v>
      </c>
      <c r="AV84" s="70">
        <f t="shared" si="157"/>
        <v>0</v>
      </c>
      <c r="AW84" s="448">
        <v>107</v>
      </c>
      <c r="AX84" s="583"/>
      <c r="AY84" s="583"/>
      <c r="AZ84" s="583">
        <v>14.04</v>
      </c>
      <c r="BA84" s="583"/>
      <c r="BB84" s="583"/>
      <c r="BC84" s="140"/>
      <c r="BD84" s="589">
        <f t="shared" si="167"/>
        <v>0.22999999999999998</v>
      </c>
      <c r="BE84" s="54"/>
      <c r="BF84" s="54"/>
      <c r="BG84" s="54">
        <f t="shared" si="203"/>
        <v>-0.01</v>
      </c>
      <c r="BH84" s="54"/>
      <c r="BI84" s="54"/>
      <c r="BL84" s="279">
        <f t="shared" si="168"/>
        <v>0</v>
      </c>
      <c r="BM84" s="279">
        <f t="shared" si="169"/>
        <v>0</v>
      </c>
      <c r="BN84" s="279">
        <f t="shared" si="75"/>
        <v>13.795208999999998</v>
      </c>
      <c r="BO84" s="279">
        <f t="shared" si="76"/>
        <v>0</v>
      </c>
      <c r="BP84" s="279">
        <f t="shared" si="77"/>
        <v>0</v>
      </c>
      <c r="BR84" s="54">
        <f t="shared" si="70"/>
        <v>0</v>
      </c>
      <c r="BS84" s="54">
        <f t="shared" si="71"/>
        <v>0</v>
      </c>
      <c r="BT84" s="54">
        <f t="shared" si="72"/>
        <v>-0.2447910000000011</v>
      </c>
      <c r="BU84" s="54">
        <f t="shared" si="73"/>
        <v>0</v>
      </c>
      <c r="BV84" s="54">
        <f t="shared" si="74"/>
        <v>0</v>
      </c>
    </row>
    <row r="85" spans="2:124" ht="12.75">
      <c r="B85" s="35">
        <v>2</v>
      </c>
      <c r="C85" s="72" t="s">
        <v>121</v>
      </c>
      <c r="D85" s="35">
        <v>533</v>
      </c>
      <c r="E85" s="561">
        <f>2+1</f>
        <v>3</v>
      </c>
      <c r="F85" s="73"/>
      <c r="G85" s="73" t="str">
        <f t="shared" si="143"/>
        <v>044533</v>
      </c>
      <c r="H85" s="46"/>
      <c r="I85" t="s">
        <v>128</v>
      </c>
      <c r="J85" t="s">
        <v>110</v>
      </c>
      <c r="K85" s="59" t="s">
        <v>143</v>
      </c>
      <c r="L85" s="97">
        <v>633</v>
      </c>
      <c r="M85" s="69">
        <f t="shared" si="204"/>
        <v>0</v>
      </c>
      <c r="N85" s="69">
        <f t="shared" si="204"/>
        <v>34</v>
      </c>
      <c r="O85" s="69">
        <f t="shared" si="204"/>
        <v>0</v>
      </c>
      <c r="P85" s="69">
        <f t="shared" si="204"/>
        <v>0</v>
      </c>
      <c r="Q85" s="69">
        <f t="shared" si="204"/>
        <v>0</v>
      </c>
      <c r="R85" s="581">
        <f t="shared" si="97"/>
        <v>0</v>
      </c>
      <c r="S85" s="620">
        <v>0</v>
      </c>
      <c r="T85" s="620">
        <v>39.22</v>
      </c>
      <c r="U85" s="620">
        <v>13.59</v>
      </c>
      <c r="V85" s="620">
        <v>0</v>
      </c>
      <c r="W85" s="620">
        <v>0</v>
      </c>
      <c r="Y85" s="70">
        <f t="shared" si="59"/>
        <v>0</v>
      </c>
      <c r="Z85" s="70">
        <f t="shared" si="60"/>
        <v>1333.48</v>
      </c>
      <c r="AA85" s="70">
        <f t="shared" si="61"/>
        <v>0</v>
      </c>
      <c r="AB85" s="70">
        <f t="shared" si="62"/>
        <v>0</v>
      </c>
      <c r="AC85" s="70">
        <f t="shared" si="63"/>
        <v>0</v>
      </c>
      <c r="AE85" s="69">
        <f t="shared" si="64"/>
        <v>0</v>
      </c>
      <c r="AF85" s="69">
        <f t="shared" si="126"/>
        <v>34</v>
      </c>
      <c r="AG85" s="69">
        <f t="shared" si="127"/>
        <v>0</v>
      </c>
      <c r="AH85" s="69">
        <f t="shared" si="128"/>
        <v>0</v>
      </c>
      <c r="AI85" s="69">
        <f t="shared" si="129"/>
        <v>0</v>
      </c>
      <c r="AK85" s="436">
        <f t="shared" si="114"/>
        <v>0</v>
      </c>
      <c r="AL85" s="436">
        <f t="shared" si="149"/>
        <v>39.22</v>
      </c>
      <c r="AM85" s="436">
        <f t="shared" si="160"/>
        <v>13.59</v>
      </c>
      <c r="AN85" s="436">
        <f t="shared" si="161"/>
        <v>0</v>
      </c>
      <c r="AO85" s="436">
        <f t="shared" si="162"/>
        <v>0</v>
      </c>
      <c r="AQ85" s="70">
        <f t="shared" si="163"/>
        <v>0</v>
      </c>
      <c r="AR85" s="70">
        <f t="shared" si="155"/>
        <v>1333.48</v>
      </c>
      <c r="AS85" s="70">
        <f t="shared" si="164"/>
        <v>0</v>
      </c>
      <c r="AT85" s="70">
        <f t="shared" si="165"/>
        <v>0</v>
      </c>
      <c r="AU85" s="70">
        <f t="shared" si="166"/>
        <v>0</v>
      </c>
      <c r="AV85" s="70">
        <f t="shared" si="157"/>
        <v>0</v>
      </c>
      <c r="AW85" s="448">
        <v>107</v>
      </c>
      <c r="AX85" s="583"/>
      <c r="AY85" s="583">
        <v>40.05</v>
      </c>
      <c r="AZ85" s="583">
        <v>14.04</v>
      </c>
      <c r="BA85" s="583"/>
      <c r="BB85" s="583"/>
      <c r="BC85" s="140"/>
      <c r="BD85" s="589">
        <f t="shared" si="167"/>
        <v>0.22999999999999998</v>
      </c>
      <c r="BE85" s="54"/>
      <c r="BF85" s="54">
        <f t="shared" si="203"/>
        <v>-0.01</v>
      </c>
      <c r="BG85" s="54">
        <f t="shared" si="203"/>
        <v>-0.01</v>
      </c>
      <c r="BH85" s="54"/>
      <c r="BI85" s="54"/>
      <c r="BL85" s="279">
        <f t="shared" si="168"/>
        <v>0</v>
      </c>
      <c r="BM85" s="279">
        <f t="shared" si="169"/>
        <v>39.81222199999999</v>
      </c>
      <c r="BN85" s="279">
        <f t="shared" si="75"/>
        <v>13.795208999999998</v>
      </c>
      <c r="BO85" s="279">
        <f t="shared" si="76"/>
        <v>0</v>
      </c>
      <c r="BP85" s="279">
        <f t="shared" si="77"/>
        <v>0</v>
      </c>
      <c r="BR85" s="54">
        <f t="shared" si="70"/>
        <v>0</v>
      </c>
      <c r="BS85" s="54">
        <f t="shared" si="71"/>
        <v>-0.23777800000000582</v>
      </c>
      <c r="BT85" s="54">
        <f t="shared" si="72"/>
        <v>-0.2447910000000011</v>
      </c>
      <c r="BU85" s="54">
        <f t="shared" si="73"/>
        <v>0</v>
      </c>
      <c r="BV85" s="54">
        <f t="shared" si="74"/>
        <v>0</v>
      </c>
      <c r="DS85" s="596"/>
      <c r="DT85" s="596"/>
    </row>
    <row r="86" spans="2:145" ht="12.75">
      <c r="B86" s="35">
        <v>2</v>
      </c>
      <c r="C86" s="72" t="s">
        <v>121</v>
      </c>
      <c r="D86" s="35">
        <v>535</v>
      </c>
      <c r="E86" s="561">
        <f>8+1</f>
        <v>9</v>
      </c>
      <c r="F86" s="73"/>
      <c r="G86" s="73" t="str">
        <f t="shared" si="143"/>
        <v>044535</v>
      </c>
      <c r="H86" s="46"/>
      <c r="I86" t="s">
        <v>128</v>
      </c>
      <c r="J86" t="s">
        <v>144</v>
      </c>
      <c r="K86" s="59" t="s">
        <v>143</v>
      </c>
      <c r="L86" s="97">
        <v>635</v>
      </c>
      <c r="M86" s="69">
        <f t="shared" si="204"/>
        <v>0</v>
      </c>
      <c r="N86" s="69">
        <f t="shared" si="204"/>
        <v>0</v>
      </c>
      <c r="O86" s="69">
        <f t="shared" si="204"/>
        <v>1</v>
      </c>
      <c r="P86" s="69">
        <f t="shared" si="204"/>
        <v>0</v>
      </c>
      <c r="Q86" s="69">
        <f t="shared" si="204"/>
        <v>236</v>
      </c>
      <c r="R86" s="581">
        <f t="shared" si="97"/>
        <v>0</v>
      </c>
      <c r="S86" s="620">
        <v>0</v>
      </c>
      <c r="T86" s="620">
        <v>0</v>
      </c>
      <c r="U86" s="620">
        <v>13.59</v>
      </c>
      <c r="V86" s="620">
        <v>0</v>
      </c>
      <c r="W86" s="620">
        <v>11.12</v>
      </c>
      <c r="Y86" s="70">
        <f t="shared" si="59"/>
        <v>0</v>
      </c>
      <c r="Z86" s="70">
        <f t="shared" si="60"/>
        <v>0</v>
      </c>
      <c r="AA86" s="70">
        <f t="shared" si="61"/>
        <v>13.59</v>
      </c>
      <c r="AB86" s="70">
        <f t="shared" si="62"/>
        <v>0</v>
      </c>
      <c r="AC86" s="70">
        <f t="shared" si="63"/>
        <v>2624.3199999999997</v>
      </c>
      <c r="AE86" s="69">
        <f t="shared" si="64"/>
        <v>0</v>
      </c>
      <c r="AF86" s="69">
        <f t="shared" si="126"/>
        <v>0</v>
      </c>
      <c r="AG86" s="69">
        <f t="shared" si="127"/>
        <v>1</v>
      </c>
      <c r="AH86" s="69">
        <f t="shared" si="128"/>
        <v>0</v>
      </c>
      <c r="AI86" s="69">
        <f t="shared" si="129"/>
        <v>236</v>
      </c>
      <c r="AK86" s="436">
        <f t="shared" si="114"/>
        <v>0</v>
      </c>
      <c r="AL86" s="436">
        <f t="shared" si="149"/>
        <v>0</v>
      </c>
      <c r="AM86" s="436">
        <f t="shared" si="160"/>
        <v>13.59</v>
      </c>
      <c r="AN86" s="436">
        <f t="shared" si="161"/>
        <v>0</v>
      </c>
      <c r="AO86" s="436">
        <f t="shared" si="162"/>
        <v>11.12</v>
      </c>
      <c r="AQ86" s="70">
        <f t="shared" si="163"/>
        <v>0</v>
      </c>
      <c r="AR86" s="70">
        <f t="shared" si="155"/>
        <v>0</v>
      </c>
      <c r="AS86" s="70">
        <f t="shared" si="164"/>
        <v>13.59</v>
      </c>
      <c r="AT86" s="70">
        <f t="shared" si="165"/>
        <v>0</v>
      </c>
      <c r="AU86" s="70">
        <f t="shared" si="166"/>
        <v>2624.3199999999997</v>
      </c>
      <c r="AV86" s="70">
        <f t="shared" si="157"/>
        <v>0</v>
      </c>
      <c r="AW86" s="448">
        <v>107</v>
      </c>
      <c r="AX86" s="583"/>
      <c r="AY86" s="583"/>
      <c r="AZ86" s="583">
        <v>14.04</v>
      </c>
      <c r="BA86" s="583"/>
      <c r="BB86" s="583">
        <v>11.53</v>
      </c>
      <c r="BC86" s="140"/>
      <c r="BD86" s="589">
        <f t="shared" si="167"/>
        <v>0.22999999999999998</v>
      </c>
      <c r="BE86" s="54"/>
      <c r="BF86" s="54"/>
      <c r="BG86" s="54">
        <f>ROUND((U86*$BE$2)+$BD86-AZ86,2)</f>
        <v>-0.01</v>
      </c>
      <c r="BH86" s="54"/>
      <c r="BI86" s="54">
        <f>ROUND((W86*$BE$2)+$BD86-BB86,2)</f>
        <v>-0.01</v>
      </c>
      <c r="BL86" s="279">
        <f t="shared" si="168"/>
        <v>0</v>
      </c>
      <c r="BM86" s="279">
        <f t="shared" si="169"/>
        <v>0</v>
      </c>
      <c r="BN86" s="279">
        <f t="shared" si="75"/>
        <v>13.795208999999998</v>
      </c>
      <c r="BO86" s="279">
        <f t="shared" si="76"/>
        <v>0</v>
      </c>
      <c r="BP86" s="279">
        <f t="shared" si="77"/>
        <v>11.287911999999999</v>
      </c>
      <c r="BR86" s="54">
        <f t="shared" si="70"/>
        <v>0</v>
      </c>
      <c r="BS86" s="54">
        <f t="shared" si="71"/>
        <v>0</v>
      </c>
      <c r="BT86" s="54">
        <f t="shared" si="72"/>
        <v>-0.2447910000000011</v>
      </c>
      <c r="BU86" s="54">
        <f t="shared" si="73"/>
        <v>0</v>
      </c>
      <c r="BV86" s="54">
        <f t="shared" si="74"/>
        <v>-0.24208800000000075</v>
      </c>
      <c r="DS86" s="596"/>
      <c r="DT86" s="596"/>
      <c r="DU86" s="596"/>
      <c r="DV86" s="596"/>
      <c r="DW86" s="596"/>
      <c r="DX86" s="596"/>
      <c r="DY86" s="596"/>
      <c r="DZ86" s="596"/>
      <c r="EA86" s="596"/>
      <c r="EB86" s="596"/>
      <c r="EC86" s="596"/>
      <c r="ED86" s="596"/>
      <c r="EE86" s="596"/>
      <c r="EF86" s="596"/>
      <c r="EG86" s="596"/>
      <c r="EH86" s="596"/>
      <c r="EI86" s="596"/>
      <c r="EJ86" s="596"/>
      <c r="EK86" s="596"/>
      <c r="EL86" s="596"/>
      <c r="EM86" s="596"/>
      <c r="EN86" s="596"/>
      <c r="EO86" s="596"/>
    </row>
    <row r="87" spans="2:155" ht="12.75">
      <c r="B87" s="35">
        <v>2</v>
      </c>
      <c r="C87" s="72" t="s">
        <v>121</v>
      </c>
      <c r="D87" s="35">
        <v>632</v>
      </c>
      <c r="E87" s="561">
        <v>0</v>
      </c>
      <c r="F87" s="73"/>
      <c r="G87" s="73" t="str">
        <f t="shared" si="143"/>
        <v>044632</v>
      </c>
      <c r="H87" s="46"/>
      <c r="I87" t="s">
        <v>128</v>
      </c>
      <c r="J87" t="s">
        <v>136</v>
      </c>
      <c r="K87" s="59" t="s">
        <v>143</v>
      </c>
      <c r="L87" s="97">
        <v>636</v>
      </c>
      <c r="M87" s="69">
        <f t="shared" si="204"/>
        <v>0</v>
      </c>
      <c r="N87" s="69">
        <f t="shared" si="204"/>
        <v>2</v>
      </c>
      <c r="O87" s="69">
        <f t="shared" si="204"/>
        <v>0</v>
      </c>
      <c r="P87" s="69">
        <f t="shared" si="204"/>
        <v>0</v>
      </c>
      <c r="Q87" s="69">
        <f t="shared" si="204"/>
        <v>0</v>
      </c>
      <c r="R87" s="581">
        <f t="shared" si="97"/>
        <v>0</v>
      </c>
      <c r="S87" s="620">
        <v>0</v>
      </c>
      <c r="T87" s="620">
        <v>27.86</v>
      </c>
      <c r="U87" s="620">
        <v>0</v>
      </c>
      <c r="V87" s="620">
        <v>0</v>
      </c>
      <c r="W87" s="620">
        <v>0</v>
      </c>
      <c r="Y87" s="70">
        <f t="shared" si="59"/>
        <v>0</v>
      </c>
      <c r="Z87" s="70">
        <f t="shared" si="60"/>
        <v>55.72</v>
      </c>
      <c r="AA87" s="70">
        <f t="shared" si="61"/>
        <v>0</v>
      </c>
      <c r="AB87" s="70">
        <f t="shared" si="62"/>
        <v>0</v>
      </c>
      <c r="AC87" s="70">
        <f t="shared" si="63"/>
        <v>0</v>
      </c>
      <c r="AE87" s="69">
        <f t="shared" si="64"/>
        <v>0</v>
      </c>
      <c r="AF87" s="69">
        <f t="shared" si="126"/>
        <v>2</v>
      </c>
      <c r="AG87" s="69">
        <f t="shared" si="127"/>
        <v>0</v>
      </c>
      <c r="AH87" s="69">
        <f t="shared" si="128"/>
        <v>0</v>
      </c>
      <c r="AI87" s="69">
        <f t="shared" si="129"/>
        <v>0</v>
      </c>
      <c r="AK87" s="436">
        <f t="shared" si="114"/>
        <v>0</v>
      </c>
      <c r="AL87" s="586">
        <f t="shared" si="149"/>
        <v>27.86</v>
      </c>
      <c r="AM87" s="436">
        <f t="shared" si="160"/>
        <v>0</v>
      </c>
      <c r="AN87" s="436">
        <f t="shared" si="161"/>
        <v>0</v>
      </c>
      <c r="AO87" s="436">
        <f t="shared" si="162"/>
        <v>0</v>
      </c>
      <c r="AQ87" s="70">
        <f t="shared" si="163"/>
        <v>0</v>
      </c>
      <c r="AR87" s="70">
        <f t="shared" si="155"/>
        <v>55.72</v>
      </c>
      <c r="AS87" s="70">
        <f t="shared" si="164"/>
        <v>0</v>
      </c>
      <c r="AT87" s="70">
        <f t="shared" si="165"/>
        <v>0</v>
      </c>
      <c r="AU87" s="70">
        <f t="shared" si="166"/>
        <v>0</v>
      </c>
      <c r="AV87" s="70">
        <f t="shared" si="157"/>
        <v>0</v>
      </c>
      <c r="AW87" s="448">
        <v>107</v>
      </c>
      <c r="AX87" s="583"/>
      <c r="AY87" s="583">
        <v>28.52</v>
      </c>
      <c r="AZ87" s="583"/>
      <c r="BA87" s="583"/>
      <c r="BB87" s="583"/>
      <c r="BC87" s="140"/>
      <c r="BD87" s="589">
        <f t="shared" si="167"/>
        <v>0.22999999999999998</v>
      </c>
      <c r="BE87" s="54"/>
      <c r="BF87" s="54">
        <f>ROUND((T87*$BE$2)+$BD87-AY87,2)</f>
        <v>-0.01</v>
      </c>
      <c r="BG87" s="54"/>
      <c r="BH87" s="54"/>
      <c r="BI87" s="54"/>
      <c r="BL87" s="279">
        <f t="shared" si="168"/>
        <v>0</v>
      </c>
      <c r="BM87" s="279">
        <f t="shared" si="169"/>
        <v>28.280685999999996</v>
      </c>
      <c r="BN87" s="279">
        <f t="shared" si="75"/>
        <v>0</v>
      </c>
      <c r="BO87" s="279">
        <f t="shared" si="76"/>
        <v>0</v>
      </c>
      <c r="BP87" s="279">
        <f t="shared" si="77"/>
        <v>0</v>
      </c>
      <c r="BR87" s="54">
        <f t="shared" si="70"/>
        <v>0</v>
      </c>
      <c r="BS87" s="54">
        <f t="shared" si="71"/>
        <v>-0.2393140000000038</v>
      </c>
      <c r="BT87" s="54">
        <f t="shared" si="72"/>
        <v>0</v>
      </c>
      <c r="BU87" s="54">
        <f t="shared" si="73"/>
        <v>0</v>
      </c>
      <c r="BV87" s="54">
        <f t="shared" si="74"/>
        <v>0</v>
      </c>
      <c r="DU87" s="596"/>
      <c r="DV87" s="596"/>
      <c r="DW87" s="596"/>
      <c r="DX87" s="596"/>
      <c r="DY87" s="596"/>
      <c r="DZ87" s="596"/>
      <c r="EA87" s="596"/>
      <c r="EB87" s="596"/>
      <c r="EC87" s="596"/>
      <c r="ED87" s="596"/>
      <c r="EE87" s="596"/>
      <c r="EF87" s="596"/>
      <c r="EG87" s="596"/>
      <c r="EH87" s="596"/>
      <c r="EI87" s="596"/>
      <c r="EJ87" s="596"/>
      <c r="EK87" s="596"/>
      <c r="EL87" s="596"/>
      <c r="EM87" s="596"/>
      <c r="EN87" s="596"/>
      <c r="EO87" s="596"/>
      <c r="EP87" s="596"/>
      <c r="EQ87" s="596"/>
      <c r="ER87" s="596"/>
      <c r="ES87" s="596"/>
      <c r="ET87" s="596"/>
      <c r="EU87" s="596"/>
      <c r="EV87" s="596"/>
      <c r="EW87" s="596"/>
      <c r="EX87" s="596"/>
      <c r="EY87" s="596"/>
    </row>
    <row r="88" spans="2:155" ht="12.75">
      <c r="B88" s="35">
        <v>2</v>
      </c>
      <c r="C88" s="72" t="s">
        <v>121</v>
      </c>
      <c r="D88" s="35">
        <v>635</v>
      </c>
      <c r="E88" s="561">
        <v>1</v>
      </c>
      <c r="F88" s="73"/>
      <c r="G88" s="73" t="str">
        <f>IF(OR(ISBLANK(C88),ISBLANK(D88)),"",TEXT(C88,"000")&amp;TEXT(D88,"000"))</f>
        <v>044635</v>
      </c>
      <c r="H88" s="46"/>
      <c r="I88" t="s">
        <v>133</v>
      </c>
      <c r="J88" t="s">
        <v>131</v>
      </c>
      <c r="K88" s="59">
        <v>35000</v>
      </c>
      <c r="L88" s="97">
        <v>715</v>
      </c>
      <c r="M88" s="69">
        <f t="shared" si="204"/>
        <v>0</v>
      </c>
      <c r="N88" s="69">
        <f t="shared" si="204"/>
        <v>0</v>
      </c>
      <c r="O88" s="69">
        <f t="shared" si="204"/>
        <v>0</v>
      </c>
      <c r="P88" s="69">
        <f t="shared" si="204"/>
        <v>6</v>
      </c>
      <c r="Q88" s="69">
        <f t="shared" si="204"/>
        <v>0</v>
      </c>
      <c r="R88" s="581">
        <f t="shared" si="97"/>
        <v>0</v>
      </c>
      <c r="S88" s="620">
        <v>0</v>
      </c>
      <c r="T88" s="620">
        <v>0</v>
      </c>
      <c r="U88" s="620">
        <v>0</v>
      </c>
      <c r="V88" s="620">
        <v>24.2</v>
      </c>
      <c r="W88" s="620">
        <v>0</v>
      </c>
      <c r="Y88" s="70">
        <f t="shared" si="59"/>
        <v>0</v>
      </c>
      <c r="Z88" s="70">
        <f t="shared" si="60"/>
        <v>0</v>
      </c>
      <c r="AA88" s="70">
        <f t="shared" si="61"/>
        <v>0</v>
      </c>
      <c r="AB88" s="70">
        <f t="shared" si="62"/>
        <v>145.2</v>
      </c>
      <c r="AC88" s="70">
        <f t="shared" si="63"/>
        <v>0</v>
      </c>
      <c r="AE88" s="69">
        <f t="shared" si="64"/>
        <v>0</v>
      </c>
      <c r="AF88" s="69">
        <f t="shared" si="126"/>
        <v>0</v>
      </c>
      <c r="AG88" s="69">
        <f t="shared" si="127"/>
        <v>0</v>
      </c>
      <c r="AH88" s="69">
        <f t="shared" si="128"/>
        <v>6</v>
      </c>
      <c r="AI88" s="69">
        <f t="shared" si="129"/>
        <v>0</v>
      </c>
      <c r="AK88" s="436">
        <f t="shared" si="114"/>
        <v>0</v>
      </c>
      <c r="AL88" s="436">
        <f aca="true" t="shared" si="205" ref="AL88:AL94">ROUND(T88*(1+AL$1),2)</f>
        <v>0</v>
      </c>
      <c r="AM88" s="436">
        <f t="shared" si="160"/>
        <v>0</v>
      </c>
      <c r="AN88" s="436">
        <f t="shared" si="161"/>
        <v>24.2</v>
      </c>
      <c r="AO88" s="436">
        <f t="shared" si="162"/>
        <v>0</v>
      </c>
      <c r="AQ88" s="70">
        <f t="shared" si="163"/>
        <v>0</v>
      </c>
      <c r="AR88" s="70">
        <f t="shared" si="155"/>
        <v>0</v>
      </c>
      <c r="AS88" s="70">
        <f t="shared" si="164"/>
        <v>0</v>
      </c>
      <c r="AT88" s="70">
        <f t="shared" si="165"/>
        <v>145.2</v>
      </c>
      <c r="AU88" s="70">
        <f t="shared" si="166"/>
        <v>0</v>
      </c>
      <c r="AV88" s="70">
        <f t="shared" si="157"/>
        <v>0</v>
      </c>
      <c r="AW88" s="448">
        <v>285</v>
      </c>
      <c r="AX88" s="583"/>
      <c r="AY88" s="583"/>
      <c r="AZ88" s="583"/>
      <c r="BA88" s="583">
        <v>25.19</v>
      </c>
      <c r="BB88" s="583"/>
      <c r="BC88" s="140"/>
      <c r="BD88" s="589">
        <f t="shared" si="167"/>
        <v>0.6300000000000003</v>
      </c>
      <c r="BE88" s="54"/>
      <c r="BF88" s="54"/>
      <c r="BG88" s="54"/>
      <c r="BH88" s="54">
        <f>ROUND((V88*$BE$2)+$BD88-BA88,2)</f>
        <v>0.01</v>
      </c>
      <c r="BI88" s="54"/>
      <c r="BL88" s="279">
        <f t="shared" si="168"/>
        <v>0</v>
      </c>
      <c r="BM88" s="279">
        <f t="shared" si="169"/>
        <v>0</v>
      </c>
      <c r="BN88" s="279">
        <f t="shared" si="75"/>
        <v>0</v>
      </c>
      <c r="BO88" s="279">
        <f t="shared" si="76"/>
        <v>24.565419999999996</v>
      </c>
      <c r="BP88" s="279">
        <f t="shared" si="77"/>
        <v>0</v>
      </c>
      <c r="BR88" s="54">
        <f t="shared" si="70"/>
        <v>0</v>
      </c>
      <c r="BS88" s="54">
        <f t="shared" si="71"/>
        <v>0</v>
      </c>
      <c r="BT88" s="54">
        <f t="shared" si="72"/>
        <v>0</v>
      </c>
      <c r="BU88" s="54">
        <f t="shared" si="73"/>
        <v>-0.6245800000000052</v>
      </c>
      <c r="BV88" s="54">
        <f t="shared" si="74"/>
        <v>0</v>
      </c>
      <c r="EP88" s="596"/>
      <c r="EQ88" s="596"/>
      <c r="ER88" s="596"/>
      <c r="ES88" s="596"/>
      <c r="ET88" s="596"/>
      <c r="EU88" s="596"/>
      <c r="EV88" s="596"/>
      <c r="EW88" s="596"/>
      <c r="EX88" s="596"/>
      <c r="EY88" s="596"/>
    </row>
    <row r="89" spans="2:74" ht="12.75">
      <c r="B89" s="35">
        <v>2</v>
      </c>
      <c r="C89" s="72" t="s">
        <v>121</v>
      </c>
      <c r="D89" s="35">
        <v>732</v>
      </c>
      <c r="E89" s="561">
        <v>21</v>
      </c>
      <c r="F89" s="73"/>
      <c r="G89" s="73" t="str">
        <f>IF(OR(ISBLANK(C89),ISBLANK(D89)),"",TEXT(C89,"000")&amp;TEXT(D89,"000"))</f>
        <v>044732</v>
      </c>
      <c r="H89" s="46"/>
      <c r="I89" t="s">
        <v>128</v>
      </c>
      <c r="J89" t="s">
        <v>109</v>
      </c>
      <c r="K89" s="59" t="s">
        <v>145</v>
      </c>
      <c r="L89" s="97">
        <v>732</v>
      </c>
      <c r="M89" s="69">
        <f t="shared" si="204"/>
        <v>0</v>
      </c>
      <c r="N89" s="69">
        <f t="shared" si="204"/>
        <v>0</v>
      </c>
      <c r="O89" s="69">
        <f t="shared" si="204"/>
        <v>21</v>
      </c>
      <c r="P89" s="69">
        <f t="shared" si="204"/>
        <v>0</v>
      </c>
      <c r="Q89" s="69">
        <f t="shared" si="204"/>
        <v>0</v>
      </c>
      <c r="R89" s="581">
        <f t="shared" si="97"/>
        <v>0</v>
      </c>
      <c r="S89" s="620">
        <v>0</v>
      </c>
      <c r="T89" s="620">
        <v>0</v>
      </c>
      <c r="U89" s="620">
        <v>15.94</v>
      </c>
      <c r="V89" s="620">
        <v>0</v>
      </c>
      <c r="W89" s="620">
        <v>0</v>
      </c>
      <c r="Y89" s="70">
        <f t="shared" si="59"/>
        <v>0</v>
      </c>
      <c r="Z89" s="70">
        <f t="shared" si="60"/>
        <v>0</v>
      </c>
      <c r="AA89" s="70">
        <f t="shared" si="61"/>
        <v>334.74</v>
      </c>
      <c r="AB89" s="70">
        <f t="shared" si="62"/>
        <v>0</v>
      </c>
      <c r="AC89" s="70">
        <f t="shared" si="63"/>
        <v>0</v>
      </c>
      <c r="AE89" s="69">
        <f t="shared" si="64"/>
        <v>0</v>
      </c>
      <c r="AF89" s="69">
        <f t="shared" si="126"/>
        <v>0</v>
      </c>
      <c r="AG89" s="69">
        <f t="shared" si="127"/>
        <v>21</v>
      </c>
      <c r="AH89" s="69">
        <f t="shared" si="128"/>
        <v>0</v>
      </c>
      <c r="AI89" s="69">
        <f t="shared" si="129"/>
        <v>0</v>
      </c>
      <c r="AK89" s="436">
        <f t="shared" si="114"/>
        <v>0</v>
      </c>
      <c r="AL89" s="436">
        <f t="shared" si="205"/>
        <v>0</v>
      </c>
      <c r="AM89" s="436">
        <f t="shared" si="160"/>
        <v>15.94</v>
      </c>
      <c r="AN89" s="436">
        <f t="shared" si="161"/>
        <v>0</v>
      </c>
      <c r="AO89" s="436">
        <f t="shared" si="162"/>
        <v>0</v>
      </c>
      <c r="AQ89" s="70">
        <f t="shared" si="163"/>
        <v>0</v>
      </c>
      <c r="AR89" s="70">
        <f t="shared" si="155"/>
        <v>0</v>
      </c>
      <c r="AS89" s="70">
        <f t="shared" si="164"/>
        <v>334.74</v>
      </c>
      <c r="AT89" s="70">
        <f t="shared" si="165"/>
        <v>0</v>
      </c>
      <c r="AU89" s="70">
        <f t="shared" si="166"/>
        <v>0</v>
      </c>
      <c r="AV89" s="70">
        <f t="shared" si="157"/>
        <v>0</v>
      </c>
      <c r="AW89" s="448">
        <v>133</v>
      </c>
      <c r="AX89" s="583"/>
      <c r="AY89" s="583"/>
      <c r="AZ89" s="583">
        <v>16.47</v>
      </c>
      <c r="BA89" s="583"/>
      <c r="BB89" s="583"/>
      <c r="BC89" s="140"/>
      <c r="BD89" s="589">
        <f t="shared" si="167"/>
        <v>0.29000000000000004</v>
      </c>
      <c r="BE89" s="54"/>
      <c r="BF89" s="54"/>
      <c r="BG89" s="54">
        <f>ROUND((U89*$BE$2)+$BD89-AZ89,2)</f>
        <v>0</v>
      </c>
      <c r="BH89" s="54"/>
      <c r="BI89" s="54"/>
      <c r="BL89" s="279">
        <f t="shared" si="168"/>
        <v>0</v>
      </c>
      <c r="BM89" s="279">
        <f t="shared" si="169"/>
        <v>0</v>
      </c>
      <c r="BN89" s="279">
        <f t="shared" si="75"/>
        <v>16.180694</v>
      </c>
      <c r="BO89" s="279">
        <f t="shared" si="76"/>
        <v>0</v>
      </c>
      <c r="BP89" s="279">
        <f t="shared" si="77"/>
        <v>0</v>
      </c>
      <c r="BR89" s="54">
        <f t="shared" si="70"/>
        <v>0</v>
      </c>
      <c r="BS89" s="54">
        <f t="shared" si="71"/>
        <v>0</v>
      </c>
      <c r="BT89" s="54">
        <f t="shared" si="72"/>
        <v>-0.28930599999999984</v>
      </c>
      <c r="BU89" s="54">
        <f t="shared" si="73"/>
        <v>0</v>
      </c>
      <c r="BV89" s="54">
        <f t="shared" si="74"/>
        <v>0</v>
      </c>
    </row>
    <row r="90" spans="1:170" ht="12.75">
      <c r="A90" s="320"/>
      <c r="B90" s="35">
        <v>2</v>
      </c>
      <c r="C90" s="72" t="s">
        <v>121</v>
      </c>
      <c r="D90" s="35">
        <v>735</v>
      </c>
      <c r="E90" s="561">
        <v>1</v>
      </c>
      <c r="F90" s="73"/>
      <c r="G90" s="73" t="str">
        <f t="shared" si="143"/>
        <v>044735</v>
      </c>
      <c r="H90" s="46"/>
      <c r="I90" t="s">
        <v>128</v>
      </c>
      <c r="J90" t="s">
        <v>135</v>
      </c>
      <c r="K90" s="59" t="s">
        <v>145</v>
      </c>
      <c r="L90" s="97">
        <v>735</v>
      </c>
      <c r="M90" s="69">
        <f t="shared" si="204"/>
        <v>0</v>
      </c>
      <c r="N90" s="69">
        <f t="shared" si="204"/>
        <v>0</v>
      </c>
      <c r="O90" s="69">
        <f t="shared" si="204"/>
        <v>1</v>
      </c>
      <c r="P90" s="69">
        <f t="shared" si="204"/>
        <v>0</v>
      </c>
      <c r="Q90" s="69">
        <f t="shared" si="204"/>
        <v>262</v>
      </c>
      <c r="R90" s="581">
        <f t="shared" si="97"/>
        <v>0</v>
      </c>
      <c r="S90" s="620">
        <v>0</v>
      </c>
      <c r="T90" s="620">
        <v>0</v>
      </c>
      <c r="U90" s="620">
        <v>15.94</v>
      </c>
      <c r="V90" s="620">
        <v>0</v>
      </c>
      <c r="W90" s="620">
        <v>13.41</v>
      </c>
      <c r="Y90" s="70">
        <f t="shared" si="59"/>
        <v>0</v>
      </c>
      <c r="Z90" s="70">
        <f t="shared" si="60"/>
        <v>0</v>
      </c>
      <c r="AA90" s="70">
        <f t="shared" si="61"/>
        <v>15.94</v>
      </c>
      <c r="AB90" s="70">
        <f t="shared" si="62"/>
        <v>0</v>
      </c>
      <c r="AC90" s="70">
        <f t="shared" si="63"/>
        <v>3513.42</v>
      </c>
      <c r="AE90" s="69">
        <f t="shared" si="64"/>
        <v>0</v>
      </c>
      <c r="AF90" s="69">
        <f t="shared" si="126"/>
        <v>0</v>
      </c>
      <c r="AG90" s="69">
        <f t="shared" si="127"/>
        <v>1</v>
      </c>
      <c r="AH90" s="69">
        <f t="shared" si="128"/>
        <v>0</v>
      </c>
      <c r="AI90" s="69">
        <f t="shared" si="129"/>
        <v>262</v>
      </c>
      <c r="AK90" s="436">
        <f t="shared" si="114"/>
        <v>0</v>
      </c>
      <c r="AL90" s="436">
        <f t="shared" si="205"/>
        <v>0</v>
      </c>
      <c r="AM90" s="436">
        <f t="shared" si="160"/>
        <v>15.94</v>
      </c>
      <c r="AN90" s="436">
        <f t="shared" si="161"/>
        <v>0</v>
      </c>
      <c r="AO90" s="436">
        <f t="shared" si="162"/>
        <v>13.41</v>
      </c>
      <c r="AQ90" s="70">
        <f t="shared" si="163"/>
        <v>0</v>
      </c>
      <c r="AR90" s="70">
        <f t="shared" si="155"/>
        <v>0</v>
      </c>
      <c r="AS90" s="70">
        <f t="shared" si="164"/>
        <v>15.94</v>
      </c>
      <c r="AT90" s="70">
        <f t="shared" si="165"/>
        <v>0</v>
      </c>
      <c r="AU90" s="70">
        <f t="shared" si="166"/>
        <v>3513.42</v>
      </c>
      <c r="AV90" s="70">
        <f t="shared" si="157"/>
        <v>0</v>
      </c>
      <c r="AW90" s="448">
        <v>133</v>
      </c>
      <c r="AX90" s="583"/>
      <c r="AY90" s="583"/>
      <c r="AZ90" s="583">
        <v>16.47</v>
      </c>
      <c r="BA90" s="583"/>
      <c r="BB90" s="583">
        <v>13.9</v>
      </c>
      <c r="BC90" s="140"/>
      <c r="BD90" s="589">
        <f t="shared" si="167"/>
        <v>0.29000000000000004</v>
      </c>
      <c r="BE90" s="54"/>
      <c r="BF90" s="54"/>
      <c r="BG90" s="54">
        <f>ROUND((U90*$BE$2)+$BD90-AZ90,2)</f>
        <v>0</v>
      </c>
      <c r="BH90" s="54"/>
      <c r="BI90" s="54">
        <f>ROUND((W90*$BE$2)+$BD90-BB90,2)</f>
        <v>0</v>
      </c>
      <c r="BL90" s="279">
        <f t="shared" si="168"/>
        <v>0</v>
      </c>
      <c r="BM90" s="279">
        <f t="shared" si="169"/>
        <v>0</v>
      </c>
      <c r="BN90" s="279">
        <f t="shared" si="75"/>
        <v>16.180694</v>
      </c>
      <c r="BO90" s="279">
        <f t="shared" si="76"/>
        <v>0</v>
      </c>
      <c r="BP90" s="279">
        <f t="shared" si="77"/>
        <v>13.612490999999999</v>
      </c>
      <c r="BR90" s="54">
        <f t="shared" si="70"/>
        <v>0</v>
      </c>
      <c r="BS90" s="54">
        <f t="shared" si="71"/>
        <v>0</v>
      </c>
      <c r="BT90" s="54">
        <f t="shared" si="72"/>
        <v>-0.28930599999999984</v>
      </c>
      <c r="BU90" s="54">
        <f t="shared" si="73"/>
        <v>0</v>
      </c>
      <c r="BV90" s="54">
        <f t="shared" si="74"/>
        <v>-0.2875090000000018</v>
      </c>
      <c r="EZ90" s="596"/>
      <c r="FA90" s="596"/>
      <c r="FB90" s="596"/>
      <c r="FC90" s="596"/>
      <c r="FD90" s="596"/>
      <c r="FE90" s="596"/>
      <c r="FF90" s="596"/>
      <c r="FG90" s="596"/>
      <c r="FH90" s="596"/>
      <c r="FI90" s="596"/>
      <c r="FJ90" s="596"/>
      <c r="FK90" s="596"/>
      <c r="FL90" s="596"/>
      <c r="FM90" s="596"/>
      <c r="FN90" s="596"/>
    </row>
    <row r="91" spans="2:171" ht="12.75">
      <c r="B91" s="35">
        <v>2</v>
      </c>
      <c r="C91" s="72" t="s">
        <v>121</v>
      </c>
      <c r="D91" s="35">
        <v>835</v>
      </c>
      <c r="E91" s="561">
        <v>9</v>
      </c>
      <c r="F91" s="73"/>
      <c r="G91" s="73" t="str">
        <f t="shared" si="143"/>
        <v>044835</v>
      </c>
      <c r="H91" s="46"/>
      <c r="I91" t="s">
        <v>128</v>
      </c>
      <c r="J91" t="s">
        <v>109</v>
      </c>
      <c r="K91" s="59" t="s">
        <v>147</v>
      </c>
      <c r="L91" s="97">
        <v>832</v>
      </c>
      <c r="M91" s="69">
        <f t="shared" si="204"/>
        <v>0</v>
      </c>
      <c r="N91" s="69">
        <f t="shared" si="204"/>
        <v>0</v>
      </c>
      <c r="O91" s="69">
        <f t="shared" si="204"/>
        <v>0</v>
      </c>
      <c r="P91" s="69">
        <f t="shared" si="204"/>
        <v>0</v>
      </c>
      <c r="Q91" s="69">
        <f t="shared" si="204"/>
        <v>0</v>
      </c>
      <c r="R91" s="581">
        <f t="shared" si="97"/>
        <v>1</v>
      </c>
      <c r="S91" s="620">
        <v>0</v>
      </c>
      <c r="T91" s="620">
        <v>52.32</v>
      </c>
      <c r="U91" s="620"/>
      <c r="V91" s="620">
        <v>0</v>
      </c>
      <c r="W91" s="620">
        <v>0</v>
      </c>
      <c r="Y91" s="70">
        <f t="shared" si="59"/>
        <v>0</v>
      </c>
      <c r="Z91" s="70">
        <f>IF(AND(N91&lt;&gt;0,T91=0),#VALUE!,N91*T91)</f>
        <v>0</v>
      </c>
      <c r="AA91" s="70">
        <f t="shared" si="61"/>
        <v>0</v>
      </c>
      <c r="AB91" s="70">
        <f t="shared" si="62"/>
        <v>0</v>
      </c>
      <c r="AC91" s="70">
        <f t="shared" si="63"/>
        <v>0</v>
      </c>
      <c r="AE91" s="69">
        <f t="shared" si="64"/>
        <v>0</v>
      </c>
      <c r="AF91" s="69">
        <f t="shared" si="126"/>
        <v>0</v>
      </c>
      <c r="AG91" s="69">
        <f t="shared" si="127"/>
        <v>0</v>
      </c>
      <c r="AH91" s="69">
        <f t="shared" si="128"/>
        <v>0</v>
      </c>
      <c r="AI91" s="69">
        <f t="shared" si="129"/>
        <v>0</v>
      </c>
      <c r="AK91" s="436">
        <f t="shared" si="114"/>
        <v>0</v>
      </c>
      <c r="AL91" s="436">
        <f>ROUND(T91*(1+AL$1),2)</f>
        <v>52.32</v>
      </c>
      <c r="AM91" s="640">
        <f t="shared" si="160"/>
        <v>0</v>
      </c>
      <c r="AN91" s="436">
        <f t="shared" si="161"/>
        <v>0</v>
      </c>
      <c r="AO91" s="436">
        <f t="shared" si="162"/>
        <v>0</v>
      </c>
      <c r="AQ91" s="70">
        <f t="shared" si="163"/>
        <v>0</v>
      </c>
      <c r="AR91" s="70">
        <f t="shared" si="155"/>
        <v>0</v>
      </c>
      <c r="AS91" s="70">
        <f t="shared" si="164"/>
        <v>0</v>
      </c>
      <c r="AT91" s="70">
        <f t="shared" si="165"/>
        <v>0</v>
      </c>
      <c r="AU91" s="70">
        <f t="shared" si="166"/>
        <v>0</v>
      </c>
      <c r="AV91" s="70">
        <f t="shared" si="157"/>
        <v>0</v>
      </c>
      <c r="AW91" s="448">
        <v>169</v>
      </c>
      <c r="AX91" s="583"/>
      <c r="AY91" s="583">
        <v>53.49</v>
      </c>
      <c r="AZ91" s="583"/>
      <c r="BA91" s="583"/>
      <c r="BB91" s="583"/>
      <c r="BC91" s="140"/>
      <c r="BD91" s="589">
        <f t="shared" si="167"/>
        <v>0.3799999999999999</v>
      </c>
      <c r="BE91" s="54"/>
      <c r="BF91" s="54">
        <f aca="true" t="shared" si="206" ref="BF91:BF98">ROUND((T91*$BE$2)+$BD91-AY91,2)</f>
        <v>0</v>
      </c>
      <c r="BG91" s="54">
        <f>ROUND((U91*$BE$2)+$BD91-AZ91,2)</f>
        <v>0.38</v>
      </c>
      <c r="BH91" s="54"/>
      <c r="BI91" s="54"/>
      <c r="BL91" s="279">
        <f t="shared" si="168"/>
        <v>0</v>
      </c>
      <c r="BM91" s="279">
        <f t="shared" si="169"/>
        <v>53.110032</v>
      </c>
      <c r="BN91" s="279">
        <f t="shared" si="75"/>
        <v>0</v>
      </c>
      <c r="BO91" s="279">
        <f t="shared" si="76"/>
        <v>0</v>
      </c>
      <c r="BP91" s="279">
        <f t="shared" si="77"/>
        <v>0</v>
      </c>
      <c r="BR91" s="54">
        <f t="shared" si="70"/>
        <v>0</v>
      </c>
      <c r="BS91" s="54">
        <f t="shared" si="71"/>
        <v>-0.3799680000000052</v>
      </c>
      <c r="BT91" s="54">
        <f t="shared" si="72"/>
        <v>0</v>
      </c>
      <c r="BU91" s="54">
        <f t="shared" si="73"/>
        <v>0</v>
      </c>
      <c r="BV91" s="54">
        <f t="shared" si="74"/>
        <v>0</v>
      </c>
      <c r="CU91" s="686"/>
      <c r="CV91" s="686"/>
      <c r="CW91" s="686"/>
      <c r="CX91" s="686"/>
      <c r="CY91" s="686"/>
      <c r="CZ91" s="686"/>
      <c r="DA91" s="686"/>
      <c r="EZ91" s="596"/>
      <c r="FA91" s="596"/>
      <c r="FB91" s="596"/>
      <c r="FC91" s="596"/>
      <c r="FD91" s="596"/>
      <c r="FE91" s="596"/>
      <c r="FF91" s="596"/>
      <c r="FG91" s="596"/>
      <c r="FH91" s="596"/>
      <c r="FI91" s="596"/>
      <c r="FJ91" s="596"/>
      <c r="FK91" s="596"/>
      <c r="FL91" s="596"/>
      <c r="FM91" s="596"/>
      <c r="FN91" s="596"/>
      <c r="FO91" s="596"/>
    </row>
    <row r="92" spans="2:173" ht="12.75">
      <c r="B92" s="35">
        <v>2</v>
      </c>
      <c r="C92" s="72" t="s">
        <v>121</v>
      </c>
      <c r="D92" s="35">
        <v>845</v>
      </c>
      <c r="E92" s="561">
        <v>1</v>
      </c>
      <c r="F92" s="73"/>
      <c r="G92" s="73" t="str">
        <f t="shared" si="143"/>
        <v>044845</v>
      </c>
      <c r="I92" s="435" t="s">
        <v>713</v>
      </c>
      <c r="J92" s="686" t="s">
        <v>109</v>
      </c>
      <c r="K92" s="580" t="s">
        <v>640</v>
      </c>
      <c r="L92" s="582" t="s">
        <v>821</v>
      </c>
      <c r="M92" s="581">
        <f t="shared" si="204"/>
        <v>0</v>
      </c>
      <c r="N92" s="581">
        <f t="shared" si="204"/>
        <v>19</v>
      </c>
      <c r="O92" s="581">
        <f t="shared" si="204"/>
        <v>0</v>
      </c>
      <c r="P92" s="581">
        <f t="shared" si="204"/>
        <v>0</v>
      </c>
      <c r="Q92" s="581">
        <f t="shared" si="204"/>
        <v>0</v>
      </c>
      <c r="R92" s="581">
        <f t="shared" si="97"/>
        <v>0</v>
      </c>
      <c r="S92" s="620">
        <v>0</v>
      </c>
      <c r="T92" s="650">
        <f>T91-T103</f>
        <v>44.4</v>
      </c>
      <c r="U92" s="620">
        <v>0</v>
      </c>
      <c r="V92" s="620">
        <v>0</v>
      </c>
      <c r="W92" s="620"/>
      <c r="X92" s="686"/>
      <c r="Y92" s="686"/>
      <c r="Z92" s="70">
        <f>IF(AND(N92&lt;&gt;0,T92=0),#VALUE!,N92*T92)</f>
        <v>843.6</v>
      </c>
      <c r="AA92" s="70">
        <f t="shared" si="61"/>
        <v>0</v>
      </c>
      <c r="AB92" s="70">
        <f t="shared" si="62"/>
        <v>0</v>
      </c>
      <c r="AC92" s="70">
        <f t="shared" si="63"/>
        <v>0</v>
      </c>
      <c r="AD92" s="686"/>
      <c r="AE92" s="581">
        <f aca="true" t="shared" si="207" ref="AE92:AI93">SUMIF($G:$G,TEXT(AE$3,"000")&amp;TEXT($L92,"000"),$E:$E)</f>
        <v>0</v>
      </c>
      <c r="AF92" s="581">
        <f t="shared" si="207"/>
        <v>19</v>
      </c>
      <c r="AG92" s="581">
        <f t="shared" si="207"/>
        <v>0</v>
      </c>
      <c r="AH92" s="581">
        <f t="shared" si="207"/>
        <v>0</v>
      </c>
      <c r="AI92" s="581">
        <f t="shared" si="207"/>
        <v>0</v>
      </c>
      <c r="AJ92" s="686"/>
      <c r="AK92" s="586">
        <f>ROUND(S92*(1+AK$1),2)</f>
        <v>0</v>
      </c>
      <c r="AL92" s="586">
        <f t="shared" si="205"/>
        <v>44.4</v>
      </c>
      <c r="AM92" s="586">
        <f aca="true" t="shared" si="208" ref="AM92:AO93">ROUND(U92*(1+AM$1),2)</f>
        <v>0</v>
      </c>
      <c r="AN92" s="586">
        <f t="shared" si="208"/>
        <v>0</v>
      </c>
      <c r="AO92" s="586">
        <f t="shared" si="208"/>
        <v>0</v>
      </c>
      <c r="AP92" s="686"/>
      <c r="AQ92" s="70">
        <f t="shared" si="163"/>
        <v>0</v>
      </c>
      <c r="AR92" s="70">
        <f>IF(AND(AF92&lt;&gt;0,AL92=0),#VALUE!,AF92*AL92)</f>
        <v>843.6</v>
      </c>
      <c r="AS92" s="70">
        <f t="shared" si="164"/>
        <v>0</v>
      </c>
      <c r="AT92" s="70">
        <f t="shared" si="165"/>
        <v>0</v>
      </c>
      <c r="AU92" s="70">
        <f t="shared" si="166"/>
        <v>0</v>
      </c>
      <c r="AV92" s="686"/>
      <c r="AW92" s="686"/>
      <c r="AX92" s="686"/>
      <c r="AY92" s="686"/>
      <c r="AZ92" s="686"/>
      <c r="BA92" s="686"/>
      <c r="BB92" s="686"/>
      <c r="BC92" s="686"/>
      <c r="BD92" s="686"/>
      <c r="BE92" s="686"/>
      <c r="BF92" s="686"/>
      <c r="BG92" s="686"/>
      <c r="BH92" s="686"/>
      <c r="BI92" s="686"/>
      <c r="BJ92" s="686"/>
      <c r="BK92" s="686"/>
      <c r="BL92" s="686"/>
      <c r="BM92" s="686"/>
      <c r="BN92" s="686"/>
      <c r="BO92" s="686"/>
      <c r="BP92" s="686"/>
      <c r="BQ92" s="686"/>
      <c r="BR92" s="686"/>
      <c r="BS92" s="686"/>
      <c r="BT92" s="686"/>
      <c r="BU92" s="686"/>
      <c r="BV92" s="686"/>
      <c r="BW92" s="686"/>
      <c r="BX92" s="686"/>
      <c r="BY92" s="686"/>
      <c r="BZ92" s="686"/>
      <c r="CA92" s="686"/>
      <c r="CB92" s="686"/>
      <c r="CC92" s="686"/>
      <c r="CD92" s="686"/>
      <c r="CE92" s="686"/>
      <c r="CF92" s="686"/>
      <c r="CG92" s="686"/>
      <c r="CH92" s="686"/>
      <c r="CI92" s="686"/>
      <c r="CJ92" s="686"/>
      <c r="CK92" s="686"/>
      <c r="CL92" s="686"/>
      <c r="CM92" s="686"/>
      <c r="CN92" s="686"/>
      <c r="CO92" s="686"/>
      <c r="CP92" s="686"/>
      <c r="CQ92" s="686"/>
      <c r="CR92" s="686"/>
      <c r="CS92" s="686"/>
      <c r="CT92" s="686"/>
      <c r="DB92" s="686"/>
      <c r="DC92" s="686"/>
      <c r="DD92" s="686"/>
      <c r="DE92" s="686"/>
      <c r="DF92" s="686"/>
      <c r="FO92" s="596"/>
      <c r="FP92" s="596"/>
      <c r="FQ92" s="596"/>
    </row>
    <row r="93" spans="5:178" ht="12.75">
      <c r="E93" s="74">
        <f>SUM(E79:E92)</f>
        <v>164</v>
      </c>
      <c r="F93" s="75"/>
      <c r="G93" s="73" t="str">
        <f t="shared" si="143"/>
        <v/>
      </c>
      <c r="H93" s="46"/>
      <c r="I93" s="435" t="s">
        <v>713</v>
      </c>
      <c r="J93" s="637" t="s">
        <v>109</v>
      </c>
      <c r="K93" s="580" t="s">
        <v>640</v>
      </c>
      <c r="L93" s="582" t="s">
        <v>642</v>
      </c>
      <c r="M93" s="581">
        <f t="shared" si="204"/>
        <v>0</v>
      </c>
      <c r="N93" s="581">
        <f t="shared" si="204"/>
        <v>1</v>
      </c>
      <c r="O93" s="581">
        <f t="shared" si="204"/>
        <v>0</v>
      </c>
      <c r="P93" s="581">
        <f t="shared" si="204"/>
        <v>0</v>
      </c>
      <c r="Q93" s="581">
        <f t="shared" si="204"/>
        <v>0</v>
      </c>
      <c r="R93" s="581">
        <f t="shared" si="97"/>
        <v>0</v>
      </c>
      <c r="S93" s="620">
        <v>0</v>
      </c>
      <c r="T93" s="650">
        <f>T91</f>
        <v>52.32</v>
      </c>
      <c r="U93" s="620">
        <v>0</v>
      </c>
      <c r="V93" s="620">
        <v>0</v>
      </c>
      <c r="W93" s="620"/>
      <c r="X93" s="637"/>
      <c r="Y93" s="637"/>
      <c r="Z93" s="70">
        <f aca="true" t="shared" si="209" ref="Z93">IF(AND(N93&lt;&gt;0,T93=0),#VALUE!,N93*T93)</f>
        <v>52.32</v>
      </c>
      <c r="AA93" s="70">
        <f t="shared" si="61"/>
        <v>0</v>
      </c>
      <c r="AB93" s="70">
        <f t="shared" si="62"/>
        <v>0</v>
      </c>
      <c r="AC93" s="70">
        <f t="shared" si="63"/>
        <v>0</v>
      </c>
      <c r="AD93" s="637"/>
      <c r="AE93" s="581">
        <f t="shared" si="207"/>
        <v>0</v>
      </c>
      <c r="AF93" s="581">
        <f t="shared" si="207"/>
        <v>1</v>
      </c>
      <c r="AG93" s="581">
        <f t="shared" si="207"/>
        <v>0</v>
      </c>
      <c r="AH93" s="581">
        <f t="shared" si="207"/>
        <v>0</v>
      </c>
      <c r="AI93" s="581">
        <f t="shared" si="207"/>
        <v>0</v>
      </c>
      <c r="AJ93" s="637"/>
      <c r="AK93" s="586">
        <f>ROUND(S93*(1+AK$1),2)</f>
        <v>0</v>
      </c>
      <c r="AL93" s="586">
        <f>AL91</f>
        <v>52.32</v>
      </c>
      <c r="AM93" s="586">
        <f t="shared" si="208"/>
        <v>0</v>
      </c>
      <c r="AN93" s="586">
        <f t="shared" si="208"/>
        <v>0</v>
      </c>
      <c r="AO93" s="586">
        <f t="shared" si="208"/>
        <v>0</v>
      </c>
      <c r="AP93" s="637"/>
      <c r="AQ93" s="70">
        <f t="shared" si="163"/>
        <v>0</v>
      </c>
      <c r="AR93" s="70">
        <f t="shared" si="155"/>
        <v>52.32</v>
      </c>
      <c r="AS93" s="70">
        <f t="shared" si="164"/>
        <v>0</v>
      </c>
      <c r="AT93" s="70">
        <f t="shared" si="165"/>
        <v>0</v>
      </c>
      <c r="AU93" s="70">
        <f t="shared" si="166"/>
        <v>0</v>
      </c>
      <c r="FP93" s="596"/>
      <c r="FQ93" s="596"/>
      <c r="FR93" s="596"/>
      <c r="FS93" s="596"/>
      <c r="FT93" s="596"/>
      <c r="FU93" s="596"/>
      <c r="FV93" s="596"/>
    </row>
    <row r="94" spans="7:179" ht="12.75">
      <c r="G94" s="73" t="str">
        <f t="shared" si="143"/>
        <v/>
      </c>
      <c r="H94" s="46"/>
      <c r="I94" t="s">
        <v>128</v>
      </c>
      <c r="J94" t="s">
        <v>846</v>
      </c>
      <c r="K94" s="59" t="s">
        <v>147</v>
      </c>
      <c r="L94" s="97">
        <v>835</v>
      </c>
      <c r="M94" s="69">
        <f aca="true" t="shared" si="210" ref="M94:Q100">SUMIF($G:$G,TEXT(M$3,"000")&amp;TEXT($L94,"000"),$E:$E)</f>
        <v>0</v>
      </c>
      <c r="N94" s="69">
        <f t="shared" si="210"/>
        <v>44</v>
      </c>
      <c r="O94" s="69">
        <f t="shared" si="210"/>
        <v>9</v>
      </c>
      <c r="P94" s="69">
        <f t="shared" si="210"/>
        <v>0</v>
      </c>
      <c r="Q94" s="69">
        <f t="shared" si="210"/>
        <v>57</v>
      </c>
      <c r="R94" s="581">
        <f t="shared" si="97"/>
        <v>0</v>
      </c>
      <c r="S94" s="620">
        <v>0</v>
      </c>
      <c r="T94" s="620">
        <v>27.61</v>
      </c>
      <c r="U94" s="620">
        <v>20.46</v>
      </c>
      <c r="V94" s="620">
        <v>0</v>
      </c>
      <c r="W94" s="620">
        <v>17.01</v>
      </c>
      <c r="Y94" s="70">
        <f t="shared" si="59"/>
        <v>0</v>
      </c>
      <c r="Z94" s="70">
        <f t="shared" si="60"/>
        <v>1214.84</v>
      </c>
      <c r="AA94" s="70">
        <f t="shared" si="61"/>
        <v>184.14000000000001</v>
      </c>
      <c r="AB94" s="70">
        <f t="shared" si="62"/>
        <v>0</v>
      </c>
      <c r="AC94" s="70">
        <f t="shared" si="63"/>
        <v>969.57</v>
      </c>
      <c r="AE94" s="69">
        <f t="shared" si="64"/>
        <v>0</v>
      </c>
      <c r="AF94" s="69">
        <f t="shared" si="126"/>
        <v>44</v>
      </c>
      <c r="AG94" s="69">
        <f t="shared" si="127"/>
        <v>9</v>
      </c>
      <c r="AH94" s="69">
        <f t="shared" si="128"/>
        <v>0</v>
      </c>
      <c r="AI94" s="69">
        <f t="shared" si="129"/>
        <v>57</v>
      </c>
      <c r="AK94" s="436">
        <f t="shared" si="114"/>
        <v>0</v>
      </c>
      <c r="AL94" s="436">
        <f t="shared" si="205"/>
        <v>27.61</v>
      </c>
      <c r="AM94" s="436">
        <f t="shared" si="160"/>
        <v>20.46</v>
      </c>
      <c r="AN94" s="436">
        <f t="shared" si="161"/>
        <v>0</v>
      </c>
      <c r="AO94" s="436">
        <f t="shared" si="162"/>
        <v>17.01</v>
      </c>
      <c r="AQ94" s="70">
        <f t="shared" si="163"/>
        <v>0</v>
      </c>
      <c r="AR94" s="70">
        <f t="shared" si="155"/>
        <v>1214.84</v>
      </c>
      <c r="AS94" s="70">
        <f t="shared" si="164"/>
        <v>184.14000000000001</v>
      </c>
      <c r="AT94" s="70">
        <f t="shared" si="165"/>
        <v>0</v>
      </c>
      <c r="AU94" s="70">
        <f t="shared" si="166"/>
        <v>969.57</v>
      </c>
      <c r="AV94" s="70">
        <f t="shared" si="157"/>
        <v>0</v>
      </c>
      <c r="AW94" s="448">
        <v>169</v>
      </c>
      <c r="AX94" s="583"/>
      <c r="AY94" s="583">
        <v>28.41</v>
      </c>
      <c r="AZ94" s="583">
        <v>21.15</v>
      </c>
      <c r="BA94" s="583"/>
      <c r="BB94" s="583">
        <v>17.65</v>
      </c>
      <c r="BC94" s="140"/>
      <c r="BD94" s="589">
        <f t="shared" si="167"/>
        <v>0.3799999999999999</v>
      </c>
      <c r="BE94" s="54"/>
      <c r="BF94" s="54">
        <f t="shared" si="206"/>
        <v>0</v>
      </c>
      <c r="BG94" s="54">
        <f>ROUND((U94*$BE$2)+$BD94-AZ94,2)</f>
        <v>0</v>
      </c>
      <c r="BH94" s="54"/>
      <c r="BI94" s="54">
        <f>ROUND((W94*$BE$2)+$BD94-BB94,2)</f>
        <v>0</v>
      </c>
      <c r="BL94" s="279">
        <f t="shared" si="168"/>
        <v>0</v>
      </c>
      <c r="BM94" s="279">
        <f t="shared" si="169"/>
        <v>28.026910999999995</v>
      </c>
      <c r="BN94" s="279">
        <f t="shared" si="75"/>
        <v>20.768946</v>
      </c>
      <c r="BO94" s="279">
        <f t="shared" si="76"/>
        <v>0</v>
      </c>
      <c r="BP94" s="279">
        <f t="shared" si="77"/>
        <v>17.266851</v>
      </c>
      <c r="BR94" s="54">
        <f t="shared" si="70"/>
        <v>0</v>
      </c>
      <c r="BS94" s="54">
        <f t="shared" si="71"/>
        <v>-0.38308900000000534</v>
      </c>
      <c r="BT94" s="54">
        <f t="shared" si="72"/>
        <v>-0.3810539999999989</v>
      </c>
      <c r="BU94" s="54">
        <f t="shared" si="73"/>
        <v>0</v>
      </c>
      <c r="BV94" s="54">
        <f t="shared" si="74"/>
        <v>-0.3831489999999995</v>
      </c>
      <c r="FR94" s="596"/>
      <c r="FS94" s="596"/>
      <c r="FT94" s="596"/>
      <c r="FU94" s="596"/>
      <c r="FV94" s="596"/>
      <c r="FW94" s="596"/>
    </row>
    <row r="95" spans="2:179" ht="12.75">
      <c r="B95" s="35">
        <v>2</v>
      </c>
      <c r="C95" s="72" t="s">
        <v>122</v>
      </c>
      <c r="D95" s="35">
        <v>415</v>
      </c>
      <c r="E95" s="559">
        <v>61</v>
      </c>
      <c r="F95" s="73"/>
      <c r="G95" s="73" t="str">
        <f t="shared" si="143"/>
        <v>045415</v>
      </c>
      <c r="H95" s="46"/>
      <c r="I95" s="656" t="s">
        <v>713</v>
      </c>
      <c r="J95" s="694" t="s">
        <v>846</v>
      </c>
      <c r="K95" s="580" t="s">
        <v>640</v>
      </c>
      <c r="L95" s="582" t="s">
        <v>728</v>
      </c>
      <c r="M95" s="581">
        <f t="shared" si="210"/>
        <v>0</v>
      </c>
      <c r="N95" s="581">
        <f t="shared" si="210"/>
        <v>45</v>
      </c>
      <c r="O95" s="581">
        <f t="shared" si="210"/>
        <v>0</v>
      </c>
      <c r="P95" s="581">
        <f t="shared" si="210"/>
        <v>0</v>
      </c>
      <c r="Q95" s="581">
        <f t="shared" si="210"/>
        <v>0</v>
      </c>
      <c r="R95" s="581">
        <f t="shared" si="97"/>
        <v>0</v>
      </c>
      <c r="S95" s="620">
        <v>0</v>
      </c>
      <c r="T95" s="650">
        <f>T94-T103</f>
        <v>19.689999999999998</v>
      </c>
      <c r="U95" s="620"/>
      <c r="V95" s="620">
        <v>0</v>
      </c>
      <c r="W95" s="620"/>
      <c r="X95" s="656"/>
      <c r="Y95" s="70">
        <f>IF(AND(M95&lt;&gt;0,S95=0),#VALUE!,M95*S95)</f>
        <v>0</v>
      </c>
      <c r="Z95" s="70">
        <f>IF(AND(N95&lt;&gt;0,T95=0),#VALUE!,N95*T95)</f>
        <v>886.05</v>
      </c>
      <c r="AA95" s="70">
        <f t="shared" si="61"/>
        <v>0</v>
      </c>
      <c r="AB95" s="70">
        <f t="shared" si="62"/>
        <v>0</v>
      </c>
      <c r="AC95" s="70">
        <f t="shared" si="63"/>
        <v>0</v>
      </c>
      <c r="AD95" s="656"/>
      <c r="AE95" s="581">
        <f>M95</f>
        <v>0</v>
      </c>
      <c r="AF95" s="581">
        <f>N95</f>
        <v>45</v>
      </c>
      <c r="AG95" s="581">
        <f>O95</f>
        <v>0</v>
      </c>
      <c r="AH95" s="581">
        <f>P95</f>
        <v>0</v>
      </c>
      <c r="AI95" s="581">
        <f>Q95</f>
        <v>0</v>
      </c>
      <c r="AJ95" s="656"/>
      <c r="AK95" s="586">
        <f>ROUND(S95*(1+AK$1),2)</f>
        <v>0</v>
      </c>
      <c r="AL95" s="586">
        <f>AL94-AL103</f>
        <v>19.689999999999998</v>
      </c>
      <c r="AM95" s="586">
        <f t="shared" si="160"/>
        <v>0</v>
      </c>
      <c r="AN95" s="586">
        <f t="shared" si="161"/>
        <v>0</v>
      </c>
      <c r="AO95" s="586">
        <f t="shared" si="162"/>
        <v>0</v>
      </c>
      <c r="AP95" s="656"/>
      <c r="AQ95" s="70">
        <f t="shared" si="163"/>
        <v>0</v>
      </c>
      <c r="AR95" s="70">
        <f t="shared" si="155"/>
        <v>886.05</v>
      </c>
      <c r="AS95" s="70">
        <f t="shared" si="164"/>
        <v>0</v>
      </c>
      <c r="AT95" s="70">
        <f t="shared" si="165"/>
        <v>0</v>
      </c>
      <c r="AU95" s="70">
        <f t="shared" si="166"/>
        <v>0</v>
      </c>
      <c r="AV95" s="70">
        <f t="shared" si="157"/>
        <v>0</v>
      </c>
      <c r="AW95" s="593">
        <v>83</v>
      </c>
      <c r="AX95" s="583"/>
      <c r="AY95" s="583">
        <v>20.18</v>
      </c>
      <c r="AZ95" s="583"/>
      <c r="BA95" s="583"/>
      <c r="BB95" s="583"/>
      <c r="BC95" s="583"/>
      <c r="BD95" s="589">
        <f>ROUND(AW95*$BD$2,2)+ROUND(AW95*$BD$1,2)</f>
        <v>0.18999999999999995</v>
      </c>
      <c r="BE95" s="579"/>
      <c r="BF95" s="579">
        <f t="shared" si="206"/>
        <v>0</v>
      </c>
      <c r="BG95" s="579"/>
      <c r="BH95" s="579"/>
      <c r="BI95" s="579"/>
      <c r="BJ95" s="656"/>
      <c r="BK95" s="656"/>
      <c r="BL95" s="587">
        <f t="shared" si="168"/>
        <v>0</v>
      </c>
      <c r="BM95" s="587">
        <f t="shared" si="169"/>
        <v>19.987318999999996</v>
      </c>
      <c r="BN95" s="587">
        <f>AM95*$BL$1</f>
        <v>0</v>
      </c>
      <c r="BO95" s="587">
        <f>AN95*$BL$1</f>
        <v>0</v>
      </c>
      <c r="BP95" s="587">
        <f>AO95*$BL$1</f>
        <v>0</v>
      </c>
      <c r="BQ95" s="656"/>
      <c r="BR95" s="579">
        <f>BL95-AX95</f>
        <v>0</v>
      </c>
      <c r="BS95" s="579">
        <f>BM95-AY95</f>
        <v>-0.19268100000000388</v>
      </c>
      <c r="BT95" s="579">
        <f>BN95-AZ95</f>
        <v>0</v>
      </c>
      <c r="BU95" s="579">
        <f>BO95-BA95</f>
        <v>0</v>
      </c>
      <c r="BV95" s="579">
        <f>BP95-BB95</f>
        <v>0</v>
      </c>
      <c r="BW95" s="656"/>
      <c r="BX95" s="656"/>
      <c r="BY95" s="656"/>
      <c r="BZ95" s="656"/>
      <c r="CA95" s="656"/>
      <c r="CB95" s="656"/>
      <c r="CC95" s="656"/>
      <c r="CD95" s="656"/>
      <c r="CE95" s="656"/>
      <c r="CF95" s="656"/>
      <c r="CG95" s="656"/>
      <c r="CH95" s="656"/>
      <c r="CI95" s="656"/>
      <c r="CJ95" s="656"/>
      <c r="CK95" s="656"/>
      <c r="CL95" s="656"/>
      <c r="CM95" s="656"/>
      <c r="CN95" s="656"/>
      <c r="CO95" s="656"/>
      <c r="CP95" s="656"/>
      <c r="CQ95" s="656"/>
      <c r="CR95" s="656"/>
      <c r="CS95" s="656"/>
      <c r="FW95" s="596"/>
    </row>
    <row r="96" spans="1:179" s="596" customFormat="1" ht="12.75">
      <c r="A96"/>
      <c r="B96" s="35">
        <v>2</v>
      </c>
      <c r="C96" s="72" t="s">
        <v>122</v>
      </c>
      <c r="D96" s="35">
        <v>419</v>
      </c>
      <c r="E96" s="559">
        <v>16</v>
      </c>
      <c r="F96" s="73"/>
      <c r="G96" s="73" t="str">
        <f>IF(OR(ISBLANK(C96),ISBLANK(D96)),"",TEXT(C96,"000")&amp;TEXT(D96,"000"))</f>
        <v>045419</v>
      </c>
      <c r="H96" s="46"/>
      <c r="I96" s="435" t="s">
        <v>713</v>
      </c>
      <c r="J96" s="694" t="s">
        <v>846</v>
      </c>
      <c r="K96" s="580" t="s">
        <v>640</v>
      </c>
      <c r="L96" s="582" t="s">
        <v>643</v>
      </c>
      <c r="M96" s="581">
        <f t="shared" si="210"/>
        <v>0</v>
      </c>
      <c r="N96" s="581">
        <f t="shared" si="210"/>
        <v>22</v>
      </c>
      <c r="O96" s="581">
        <f t="shared" si="210"/>
        <v>0</v>
      </c>
      <c r="P96" s="581">
        <f t="shared" si="210"/>
        <v>0</v>
      </c>
      <c r="Q96" s="581">
        <f t="shared" si="210"/>
        <v>0</v>
      </c>
      <c r="R96" s="581">
        <f t="shared" si="97"/>
        <v>0</v>
      </c>
      <c r="S96" s="620">
        <v>0</v>
      </c>
      <c r="T96" s="650">
        <f>T94</f>
        <v>27.61</v>
      </c>
      <c r="U96" s="620">
        <v>0</v>
      </c>
      <c r="V96" s="620">
        <v>0</v>
      </c>
      <c r="W96" s="620"/>
      <c r="X96" s="637"/>
      <c r="Y96" s="637"/>
      <c r="Z96" s="70">
        <f aca="true" t="shared" si="211" ref="Z96">IF(AND(N96&lt;&gt;0,T96=0),#VALUE!,N96*T96)</f>
        <v>607.42</v>
      </c>
      <c r="AA96" s="70">
        <f t="shared" si="61"/>
        <v>0</v>
      </c>
      <c r="AB96" s="70">
        <f t="shared" si="62"/>
        <v>0</v>
      </c>
      <c r="AC96" s="70">
        <f t="shared" si="63"/>
        <v>0</v>
      </c>
      <c r="AD96" s="637"/>
      <c r="AE96" s="581">
        <f>SUMIF($G:$G,TEXT(AE$3,"000")&amp;TEXT($L96,"000"),$E:$E)</f>
        <v>0</v>
      </c>
      <c r="AF96" s="581">
        <f>SUMIF($G:$G,TEXT(AF$3,"000")&amp;TEXT($L96,"000"),$E:$E)</f>
        <v>22</v>
      </c>
      <c r="AG96" s="581">
        <f>SUMIF($G:$G,TEXT(AG$3,"000")&amp;TEXT($L96,"000"),$E:$E)</f>
        <v>0</v>
      </c>
      <c r="AH96" s="581">
        <f>SUMIF($G:$G,TEXT(AH$3,"000")&amp;TEXT($L96,"000"),$E:$E)</f>
        <v>0</v>
      </c>
      <c r="AI96" s="581">
        <f>SUMIF($G:$G,TEXT(AI$3,"000")&amp;TEXT($L96,"000"),$E:$E)</f>
        <v>0</v>
      </c>
      <c r="AJ96" s="637"/>
      <c r="AK96" s="586">
        <f>ROUND(S96*(1+AK$1),2)</f>
        <v>0</v>
      </c>
      <c r="AL96" s="586">
        <f>AL94</f>
        <v>27.61</v>
      </c>
      <c r="AM96" s="586">
        <f>ROUND(U96*(1+AM$1),2)</f>
        <v>0</v>
      </c>
      <c r="AN96" s="586">
        <f>ROUND(V96*(1+AN$1),2)</f>
        <v>0</v>
      </c>
      <c r="AO96" s="586">
        <f>ROUND(W96*(1+AO$1),2)</f>
        <v>0</v>
      </c>
      <c r="AP96" s="637"/>
      <c r="AQ96" s="70">
        <f t="shared" si="163"/>
        <v>0</v>
      </c>
      <c r="AR96" s="70">
        <f t="shared" si="155"/>
        <v>607.42</v>
      </c>
      <c r="AS96" s="70">
        <f t="shared" si="164"/>
        <v>0</v>
      </c>
      <c r="AT96" s="70">
        <f t="shared" si="165"/>
        <v>0</v>
      </c>
      <c r="AU96" s="70">
        <f t="shared" si="166"/>
        <v>0</v>
      </c>
      <c r="AV96"/>
      <c r="AW96" s="446"/>
      <c r="AX96"/>
      <c r="AY96"/>
      <c r="AZ96"/>
      <c r="BA96"/>
      <c r="BB96"/>
      <c r="BC96" s="44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s="686"/>
      <c r="CV96" s="686"/>
      <c r="CW96" s="686"/>
      <c r="CX96" s="686"/>
      <c r="CY96" s="686"/>
      <c r="CZ96" s="686"/>
      <c r="DA96" s="686"/>
      <c r="DB96"/>
      <c r="DC96"/>
      <c r="DD96"/>
      <c r="DE96"/>
      <c r="DF96"/>
      <c r="DG96" s="686"/>
      <c r="DH96" s="686"/>
      <c r="DI96" s="686"/>
      <c r="DJ96" s="686"/>
      <c r="DK96" s="686"/>
      <c r="DL96" s="68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row>
    <row r="97" spans="1:179" s="596" customFormat="1" ht="12.75">
      <c r="A97"/>
      <c r="B97" s="35">
        <v>2</v>
      </c>
      <c r="C97" s="72" t="s">
        <v>122</v>
      </c>
      <c r="D97" s="35">
        <v>515</v>
      </c>
      <c r="E97" s="559">
        <v>1</v>
      </c>
      <c r="F97" s="73"/>
      <c r="G97" s="73" t="str">
        <f>IF(OR(ISBLANK(C97),ISBLANK(D97)),"",TEXT(C97,"000")&amp;TEXT(D97,"000"))</f>
        <v>045515</v>
      </c>
      <c r="H97" s="46"/>
      <c r="I97" s="686" t="s">
        <v>713</v>
      </c>
      <c r="J97" s="686" t="s">
        <v>136</v>
      </c>
      <c r="K97" s="580" t="s">
        <v>640</v>
      </c>
      <c r="L97" s="582" t="s">
        <v>822</v>
      </c>
      <c r="M97" s="581">
        <f t="shared" si="210"/>
        <v>0</v>
      </c>
      <c r="N97" s="581">
        <f t="shared" si="210"/>
        <v>3</v>
      </c>
      <c r="O97" s="581">
        <f t="shared" si="210"/>
        <v>0</v>
      </c>
      <c r="P97" s="581">
        <f t="shared" si="210"/>
        <v>0</v>
      </c>
      <c r="Q97" s="581">
        <f t="shared" si="210"/>
        <v>0</v>
      </c>
      <c r="R97" s="581">
        <f t="shared" si="97"/>
        <v>0</v>
      </c>
      <c r="S97" s="620">
        <v>0</v>
      </c>
      <c r="T97" s="650">
        <f>T151-T103</f>
        <v>27.369999999999997</v>
      </c>
      <c r="U97" s="620">
        <v>0</v>
      </c>
      <c r="V97" s="620">
        <v>0</v>
      </c>
      <c r="W97" s="620">
        <v>0</v>
      </c>
      <c r="X97" s="686"/>
      <c r="Y97" s="70">
        <f aca="true" t="shared" si="212" ref="Y97">IF(AND(M97&lt;&gt;0,S97=0),#VALUE!,M97*S97)</f>
        <v>0</v>
      </c>
      <c r="Z97" s="70">
        <f>IF(AND(N97&lt;&gt;0,T97=0),#VALUE!,N97*T97)</f>
        <v>82.10999999999999</v>
      </c>
      <c r="AA97" s="70">
        <f t="shared" si="61"/>
        <v>0</v>
      </c>
      <c r="AB97" s="70">
        <f t="shared" si="62"/>
        <v>0</v>
      </c>
      <c r="AC97" s="70">
        <f t="shared" si="63"/>
        <v>0</v>
      </c>
      <c r="AD97" s="686"/>
      <c r="AE97" s="581">
        <f aca="true" t="shared" si="213" ref="AE97">M97</f>
        <v>0</v>
      </c>
      <c r="AF97" s="581">
        <f aca="true" t="shared" si="214" ref="AF97">N97</f>
        <v>3</v>
      </c>
      <c r="AG97" s="581">
        <f aca="true" t="shared" si="215" ref="AG97">O97</f>
        <v>0</v>
      </c>
      <c r="AH97" s="581">
        <f aca="true" t="shared" si="216" ref="AH97">P97</f>
        <v>0</v>
      </c>
      <c r="AI97" s="581">
        <f aca="true" t="shared" si="217" ref="AI97">Q97</f>
        <v>0</v>
      </c>
      <c r="AJ97" s="686"/>
      <c r="AK97" s="586">
        <f aca="true" t="shared" si="218" ref="AK97">ROUND(S97*(1+AK$1),2)</f>
        <v>0</v>
      </c>
      <c r="AL97" s="586">
        <f aca="true" t="shared" si="219" ref="AL97:AL142">ROUND(T97*(1+AL$1),2)</f>
        <v>27.37</v>
      </c>
      <c r="AM97" s="586">
        <f aca="true" t="shared" si="220" ref="AM97">ROUND(U97*(1+AM$1),2)</f>
        <v>0</v>
      </c>
      <c r="AN97" s="586">
        <f aca="true" t="shared" si="221" ref="AN97">ROUND(V97*(1+AN$1),2)</f>
        <v>0</v>
      </c>
      <c r="AO97" s="586">
        <f aca="true" t="shared" si="222" ref="AO97">ROUND(W97*(1+AO$1),2)</f>
        <v>0</v>
      </c>
      <c r="AP97" s="686"/>
      <c r="AQ97" s="70">
        <f t="shared" si="163"/>
        <v>0</v>
      </c>
      <c r="AR97" s="70">
        <f aca="true" t="shared" si="223" ref="AR97">IF(AND(AF97&lt;&gt;0,AL97=0),#VALUE!,AF97*AL97)</f>
        <v>82.11</v>
      </c>
      <c r="AS97" s="70">
        <f t="shared" si="164"/>
        <v>0</v>
      </c>
      <c r="AT97" s="70">
        <f t="shared" si="165"/>
        <v>0</v>
      </c>
      <c r="AU97" s="70">
        <f t="shared" si="166"/>
        <v>0</v>
      </c>
      <c r="AV97" s="70">
        <f aca="true" t="shared" si="224" ref="AV97">SUM(AQ97:AU97)-SUM(Y97:AC97)</f>
        <v>0</v>
      </c>
      <c r="AW97" s="593">
        <v>83</v>
      </c>
      <c r="AX97" s="583"/>
      <c r="AY97" s="583">
        <v>27.97</v>
      </c>
      <c r="AZ97" s="583"/>
      <c r="BA97" s="583"/>
      <c r="BB97" s="583"/>
      <c r="BC97" s="583"/>
      <c r="BD97" s="589">
        <f aca="true" t="shared" si="225" ref="BD97">ROUND(AW97*$BD$2,2)+ROUND(AW97*$BD$1,2)</f>
        <v>0.18999999999999995</v>
      </c>
      <c r="BE97" s="579"/>
      <c r="BF97" s="579">
        <f aca="true" t="shared" si="226" ref="BF97">ROUND((T97*$BE$2)+$BD97-AY97,2)</f>
        <v>0</v>
      </c>
      <c r="BG97" s="579"/>
      <c r="BH97" s="579"/>
      <c r="BI97" s="579"/>
      <c r="BJ97" s="686"/>
      <c r="BK97" s="686"/>
      <c r="BL97" s="587">
        <f aca="true" t="shared" si="227" ref="BL97">AK97*$BL$1</f>
        <v>0</v>
      </c>
      <c r="BM97" s="587">
        <f aca="true" t="shared" si="228" ref="BM97">AL97*$BL$1</f>
        <v>27.783286999999998</v>
      </c>
      <c r="BN97" s="587">
        <f aca="true" t="shared" si="229" ref="BN97">AM97*$BL$1</f>
        <v>0</v>
      </c>
      <c r="BO97" s="587">
        <f aca="true" t="shared" si="230" ref="BO97">AN97*$BL$1</f>
        <v>0</v>
      </c>
      <c r="BP97" s="587">
        <f aca="true" t="shared" si="231" ref="BP97">AO97*$BL$1</f>
        <v>0</v>
      </c>
      <c r="BQ97" s="686"/>
      <c r="BR97" s="579">
        <f aca="true" t="shared" si="232" ref="BR97">BL97-AX97</f>
        <v>0</v>
      </c>
      <c r="BS97" s="579">
        <f aca="true" t="shared" si="233" ref="BS97">BM97-AY97</f>
        <v>-0.18671300000000102</v>
      </c>
      <c r="BT97" s="579">
        <f aca="true" t="shared" si="234" ref="BT97">BN97-AZ97</f>
        <v>0</v>
      </c>
      <c r="BU97" s="579">
        <f aca="true" t="shared" si="235" ref="BU97">BO97-BA97</f>
        <v>0</v>
      </c>
      <c r="BV97" s="579">
        <f aca="true" t="shared" si="236" ref="BV97">BP97-BB97</f>
        <v>0</v>
      </c>
      <c r="BW97" s="686"/>
      <c r="BX97" s="686"/>
      <c r="BY97" s="686"/>
      <c r="BZ97" s="686"/>
      <c r="CA97" s="686"/>
      <c r="CB97" s="686"/>
      <c r="CC97" s="686"/>
      <c r="CD97" s="686"/>
      <c r="CE97" s="686"/>
      <c r="CF97" s="686"/>
      <c r="CG97" s="686"/>
      <c r="CH97" s="686"/>
      <c r="CI97" s="686"/>
      <c r="CJ97" s="686"/>
      <c r="CK97" s="686"/>
      <c r="CL97" s="686"/>
      <c r="CM97" s="686"/>
      <c r="CN97" s="686"/>
      <c r="CO97" s="686"/>
      <c r="CP97" s="686"/>
      <c r="CQ97" s="686"/>
      <c r="CR97" s="686"/>
      <c r="CS97" s="686"/>
      <c r="CT97" s="686"/>
      <c r="CU97"/>
      <c r="CV97"/>
      <c r="CW97"/>
      <c r="CX97"/>
      <c r="CY97"/>
      <c r="CZ97"/>
      <c r="DA97"/>
      <c r="DB97" s="686"/>
      <c r="DC97" s="686"/>
      <c r="DD97" s="686"/>
      <c r="DE97" s="686"/>
      <c r="DF97" s="686"/>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row>
    <row r="98" spans="2:131" ht="12.75">
      <c r="B98" s="35">
        <v>2</v>
      </c>
      <c r="C98" s="72" t="s">
        <v>122</v>
      </c>
      <c r="D98" s="35">
        <v>615</v>
      </c>
      <c r="E98" s="559">
        <v>87</v>
      </c>
      <c r="F98" s="73"/>
      <c r="G98" s="73" t="str">
        <f t="shared" si="143"/>
        <v>045615</v>
      </c>
      <c r="H98" s="46"/>
      <c r="I98" t="s">
        <v>139</v>
      </c>
      <c r="J98" t="s">
        <v>109</v>
      </c>
      <c r="K98" s="59" t="s">
        <v>147</v>
      </c>
      <c r="L98" s="97">
        <v>842</v>
      </c>
      <c r="M98" s="69">
        <f t="shared" si="210"/>
        <v>0</v>
      </c>
      <c r="N98" s="69">
        <f t="shared" si="210"/>
        <v>2</v>
      </c>
      <c r="O98" s="69">
        <f t="shared" si="210"/>
        <v>0</v>
      </c>
      <c r="P98" s="69">
        <f t="shared" si="210"/>
        <v>0</v>
      </c>
      <c r="Q98" s="69">
        <f t="shared" si="210"/>
        <v>0</v>
      </c>
      <c r="R98" s="581">
        <f t="shared" si="97"/>
        <v>0</v>
      </c>
      <c r="S98" s="620">
        <v>0</v>
      </c>
      <c r="T98" s="620">
        <v>92.5</v>
      </c>
      <c r="U98" s="620">
        <v>0</v>
      </c>
      <c r="V98" s="620">
        <v>0</v>
      </c>
      <c r="W98" s="620">
        <v>0</v>
      </c>
      <c r="Y98" s="70">
        <f t="shared" si="59"/>
        <v>0</v>
      </c>
      <c r="Z98" s="70">
        <f t="shared" si="60"/>
        <v>185</v>
      </c>
      <c r="AA98" s="70">
        <f t="shared" si="61"/>
        <v>0</v>
      </c>
      <c r="AB98" s="70">
        <f t="shared" si="62"/>
        <v>0</v>
      </c>
      <c r="AC98" s="70">
        <f t="shared" si="63"/>
        <v>0</v>
      </c>
      <c r="AE98" s="69">
        <f t="shared" si="64"/>
        <v>0</v>
      </c>
      <c r="AF98" s="69">
        <f t="shared" si="126"/>
        <v>2</v>
      </c>
      <c r="AG98" s="69">
        <f t="shared" si="127"/>
        <v>0</v>
      </c>
      <c r="AH98" s="69">
        <f t="shared" si="128"/>
        <v>0</v>
      </c>
      <c r="AI98" s="69">
        <f t="shared" si="129"/>
        <v>0</v>
      </c>
      <c r="AK98" s="436">
        <f t="shared" si="114"/>
        <v>0</v>
      </c>
      <c r="AL98" s="436">
        <f t="shared" si="219"/>
        <v>92.5</v>
      </c>
      <c r="AM98" s="436">
        <f t="shared" si="160"/>
        <v>0</v>
      </c>
      <c r="AN98" s="436">
        <f t="shared" si="161"/>
        <v>0</v>
      </c>
      <c r="AO98" s="436">
        <f t="shared" si="162"/>
        <v>0</v>
      </c>
      <c r="AQ98" s="70">
        <f t="shared" si="163"/>
        <v>0</v>
      </c>
      <c r="AR98" s="70">
        <f t="shared" si="155"/>
        <v>185</v>
      </c>
      <c r="AS98" s="70">
        <f t="shared" si="164"/>
        <v>0</v>
      </c>
      <c r="AT98" s="70">
        <f t="shared" si="165"/>
        <v>0</v>
      </c>
      <c r="AU98" s="70">
        <f t="shared" si="166"/>
        <v>0</v>
      </c>
      <c r="AV98" s="70">
        <f t="shared" si="157"/>
        <v>0</v>
      </c>
      <c r="AW98" s="448">
        <v>338</v>
      </c>
      <c r="AX98" s="583"/>
      <c r="AY98" s="583">
        <v>94.64</v>
      </c>
      <c r="AZ98" s="583"/>
      <c r="BA98" s="583"/>
      <c r="BB98" s="583"/>
      <c r="BC98" s="140"/>
      <c r="BD98" s="589">
        <f t="shared" si="167"/>
        <v>0.75</v>
      </c>
      <c r="BE98" s="54"/>
      <c r="BF98" s="54">
        <f t="shared" si="206"/>
        <v>0.01</v>
      </c>
      <c r="BG98" s="54"/>
      <c r="BH98" s="54"/>
      <c r="BI98" s="54"/>
      <c r="BL98" s="279">
        <f t="shared" si="168"/>
        <v>0</v>
      </c>
      <c r="BM98" s="279">
        <f t="shared" si="169"/>
        <v>93.89674999999998</v>
      </c>
      <c r="BN98" s="279">
        <f t="shared" si="75"/>
        <v>0</v>
      </c>
      <c r="BO98" s="279">
        <f t="shared" si="76"/>
        <v>0</v>
      </c>
      <c r="BP98" s="279">
        <f t="shared" si="77"/>
        <v>0</v>
      </c>
      <c r="BR98" s="54">
        <f t="shared" si="70"/>
        <v>0</v>
      </c>
      <c r="BS98" s="54">
        <f t="shared" si="71"/>
        <v>-0.7432500000000175</v>
      </c>
      <c r="BT98" s="54">
        <f t="shared" si="72"/>
        <v>0</v>
      </c>
      <c r="BU98" s="54">
        <f t="shared" si="73"/>
        <v>0</v>
      </c>
      <c r="BV98" s="54">
        <f t="shared" si="74"/>
        <v>0</v>
      </c>
      <c r="DM98" s="686"/>
      <c r="DN98" s="686"/>
      <c r="DO98" s="686"/>
      <c r="DP98" s="686"/>
      <c r="DS98" s="694"/>
      <c r="DT98" s="694"/>
      <c r="DU98" s="694"/>
      <c r="DV98" s="694"/>
      <c r="DW98" s="694"/>
      <c r="DX98" s="694"/>
      <c r="DY98" s="694"/>
      <c r="DZ98" s="694"/>
      <c r="EA98" s="694"/>
    </row>
    <row r="99" spans="1:131" ht="12.75">
      <c r="A99" s="769"/>
      <c r="B99" s="541">
        <v>2</v>
      </c>
      <c r="C99" s="72" t="s">
        <v>122</v>
      </c>
      <c r="D99" s="541">
        <v>618</v>
      </c>
      <c r="E99" s="564">
        <v>87</v>
      </c>
      <c r="F99" s="73"/>
      <c r="G99" s="73" t="str">
        <f aca="true" t="shared" si="237" ref="G99">IF(OR(ISBLANK(C99),ISBLANK(D99)),"",TEXT(C99,"000")&amp;TEXT(D99,"000"))</f>
        <v>045618</v>
      </c>
      <c r="H99" s="46"/>
      <c r="I99" t="s">
        <v>139</v>
      </c>
      <c r="J99" t="s">
        <v>107</v>
      </c>
      <c r="K99" s="59" t="s">
        <v>147</v>
      </c>
      <c r="L99" s="97">
        <v>845</v>
      </c>
      <c r="M99" s="69">
        <f t="shared" si="210"/>
        <v>0</v>
      </c>
      <c r="N99" s="69">
        <f t="shared" si="210"/>
        <v>0</v>
      </c>
      <c r="O99" s="69">
        <f t="shared" si="210"/>
        <v>1</v>
      </c>
      <c r="P99" s="69">
        <f t="shared" si="210"/>
        <v>0</v>
      </c>
      <c r="Q99" s="69">
        <f t="shared" si="210"/>
        <v>0</v>
      </c>
      <c r="R99" s="581">
        <f aca="true" t="shared" si="238" ref="R99:R100">IF(SUM(M99:Q99)&gt;0,0,1)</f>
        <v>0</v>
      </c>
      <c r="S99" s="620">
        <v>0</v>
      </c>
      <c r="T99" s="620">
        <v>0</v>
      </c>
      <c r="U99" s="620">
        <v>38.33</v>
      </c>
      <c r="V99" s="620">
        <v>0</v>
      </c>
      <c r="W99" s="620">
        <v>0</v>
      </c>
      <c r="Y99" s="70">
        <f>IF(AND(M99&lt;&gt;0,S99=0),#VALUE!,M99*S99)</f>
        <v>0</v>
      </c>
      <c r="Z99" s="70">
        <f t="shared" si="60"/>
        <v>0</v>
      </c>
      <c r="AA99" s="70">
        <f t="shared" si="61"/>
        <v>38.33</v>
      </c>
      <c r="AB99" s="70">
        <f t="shared" si="62"/>
        <v>0</v>
      </c>
      <c r="AC99" s="70">
        <f t="shared" si="63"/>
        <v>0</v>
      </c>
      <c r="AE99" s="69">
        <f t="shared" si="64"/>
        <v>0</v>
      </c>
      <c r="AF99" s="69">
        <f t="shared" si="126"/>
        <v>0</v>
      </c>
      <c r="AG99" s="69">
        <f t="shared" si="127"/>
        <v>1</v>
      </c>
      <c r="AH99" s="69">
        <f t="shared" si="128"/>
        <v>0</v>
      </c>
      <c r="AI99" s="69">
        <f t="shared" si="129"/>
        <v>0</v>
      </c>
      <c r="AK99" s="436">
        <f t="shared" si="114"/>
        <v>0</v>
      </c>
      <c r="AL99" s="436">
        <f t="shared" si="219"/>
        <v>0</v>
      </c>
      <c r="AM99" s="436">
        <f t="shared" si="160"/>
        <v>38.33</v>
      </c>
      <c r="AN99" s="436">
        <f t="shared" si="161"/>
        <v>0</v>
      </c>
      <c r="AO99" s="436">
        <f t="shared" si="162"/>
        <v>0</v>
      </c>
      <c r="AQ99" s="70">
        <f t="shared" si="163"/>
        <v>0</v>
      </c>
      <c r="AR99" s="70">
        <f t="shared" si="155"/>
        <v>0</v>
      </c>
      <c r="AS99" s="70">
        <f t="shared" si="164"/>
        <v>38.33</v>
      </c>
      <c r="AT99" s="70">
        <f t="shared" si="165"/>
        <v>0</v>
      </c>
      <c r="AU99" s="70">
        <f t="shared" si="166"/>
        <v>0</v>
      </c>
      <c r="AV99" s="70">
        <f t="shared" si="157"/>
        <v>0</v>
      </c>
      <c r="AW99" s="448">
        <v>338</v>
      </c>
      <c r="AX99" s="583"/>
      <c r="AY99" s="583"/>
      <c r="AZ99" s="583">
        <v>39.65</v>
      </c>
      <c r="BA99" s="583"/>
      <c r="BB99" s="583"/>
      <c r="BC99" s="140"/>
      <c r="BD99" s="589">
        <f t="shared" si="167"/>
        <v>0.75</v>
      </c>
      <c r="BE99" s="54"/>
      <c r="BF99" s="54"/>
      <c r="BG99" s="54">
        <f>ROUND((U99*$BE$2)+$BD99-AZ99,2)</f>
        <v>0.01</v>
      </c>
      <c r="BH99" s="54"/>
      <c r="BI99" s="54"/>
      <c r="BL99" s="279">
        <f t="shared" si="168"/>
        <v>0</v>
      </c>
      <c r="BM99" s="279">
        <f t="shared" si="169"/>
        <v>0</v>
      </c>
      <c r="BN99" s="279">
        <f t="shared" si="75"/>
        <v>38.90878299999999</v>
      </c>
      <c r="BO99" s="279">
        <f t="shared" si="76"/>
        <v>0</v>
      </c>
      <c r="BP99" s="279">
        <f t="shared" si="77"/>
        <v>0</v>
      </c>
      <c r="BR99" s="54">
        <f t="shared" si="70"/>
        <v>0</v>
      </c>
      <c r="BS99" s="54">
        <f t="shared" si="71"/>
        <v>0</v>
      </c>
      <c r="BT99" s="54">
        <f t="shared" si="72"/>
        <v>-0.741217000000006</v>
      </c>
      <c r="BU99" s="54">
        <f t="shared" si="73"/>
        <v>0</v>
      </c>
      <c r="BV99" s="54">
        <f t="shared" si="74"/>
        <v>0</v>
      </c>
      <c r="DQ99" s="686"/>
      <c r="DR99" s="686"/>
      <c r="DS99" s="694"/>
      <c r="DT99" s="694"/>
      <c r="DU99" s="694"/>
      <c r="DV99" s="694"/>
      <c r="DW99" s="694"/>
      <c r="DX99" s="694"/>
      <c r="DY99" s="694"/>
      <c r="DZ99" s="694"/>
      <c r="EA99" s="694"/>
    </row>
    <row r="100" spans="2:124" ht="12.75">
      <c r="B100" s="35">
        <v>2</v>
      </c>
      <c r="C100" s="72" t="s">
        <v>122</v>
      </c>
      <c r="D100" s="35">
        <v>715</v>
      </c>
      <c r="E100" s="559">
        <v>6</v>
      </c>
      <c r="F100" s="73"/>
      <c r="G100" s="73" t="str">
        <f t="shared" si="143"/>
        <v>045715</v>
      </c>
      <c r="H100" s="46"/>
      <c r="I100" t="s">
        <v>128</v>
      </c>
      <c r="J100" t="s">
        <v>148</v>
      </c>
      <c r="K100" s="76" t="s">
        <v>149</v>
      </c>
      <c r="L100" s="97">
        <v>935</v>
      </c>
      <c r="M100" s="69">
        <f t="shared" si="210"/>
        <v>0</v>
      </c>
      <c r="N100" s="69">
        <f t="shared" si="210"/>
        <v>0</v>
      </c>
      <c r="O100" s="69">
        <f t="shared" si="210"/>
        <v>0</v>
      </c>
      <c r="P100" s="69">
        <f t="shared" si="210"/>
        <v>0</v>
      </c>
      <c r="Q100" s="69">
        <f t="shared" si="210"/>
        <v>103</v>
      </c>
      <c r="R100" s="581">
        <f t="shared" si="238"/>
        <v>0</v>
      </c>
      <c r="S100" s="620">
        <v>0</v>
      </c>
      <c r="T100" s="620">
        <v>0</v>
      </c>
      <c r="U100" s="620">
        <v>0</v>
      </c>
      <c r="V100" s="620">
        <v>0</v>
      </c>
      <c r="W100" s="620">
        <v>6.89</v>
      </c>
      <c r="Y100" s="70">
        <f>IF(AND(M100&lt;&gt;0,S100=0),#VALUE!,M100*S100)</f>
        <v>0</v>
      </c>
      <c r="Z100" s="70">
        <f t="shared" si="60"/>
        <v>0</v>
      </c>
      <c r="AA100" s="70">
        <f t="shared" si="61"/>
        <v>0</v>
      </c>
      <c r="AB100" s="70">
        <f t="shared" si="62"/>
        <v>0</v>
      </c>
      <c r="AC100" s="70">
        <f t="shared" si="63"/>
        <v>709.67</v>
      </c>
      <c r="AE100" s="69">
        <f t="shared" si="64"/>
        <v>0</v>
      </c>
      <c r="AF100" s="69">
        <f t="shared" si="126"/>
        <v>0</v>
      </c>
      <c r="AG100" s="69">
        <f t="shared" si="127"/>
        <v>0</v>
      </c>
      <c r="AH100" s="69">
        <f t="shared" si="128"/>
        <v>0</v>
      </c>
      <c r="AI100" s="69">
        <f t="shared" si="129"/>
        <v>103</v>
      </c>
      <c r="AK100" s="436">
        <f aca="true" t="shared" si="239" ref="AK100:AK142">ROUND(S100*(1+AK$1),2)</f>
        <v>0</v>
      </c>
      <c r="AL100" s="436">
        <f t="shared" si="219"/>
        <v>0</v>
      </c>
      <c r="AM100" s="436">
        <f t="shared" si="160"/>
        <v>0</v>
      </c>
      <c r="AN100" s="436">
        <f t="shared" si="161"/>
        <v>0</v>
      </c>
      <c r="AO100" s="436">
        <f t="shared" si="162"/>
        <v>6.89</v>
      </c>
      <c r="AQ100" s="70">
        <f t="shared" si="163"/>
        <v>0</v>
      </c>
      <c r="AR100" s="70">
        <f t="shared" si="155"/>
        <v>0</v>
      </c>
      <c r="AS100" s="70">
        <f t="shared" si="164"/>
        <v>0</v>
      </c>
      <c r="AT100" s="70">
        <f t="shared" si="165"/>
        <v>0</v>
      </c>
      <c r="AU100" s="70">
        <f t="shared" si="166"/>
        <v>709.67</v>
      </c>
      <c r="AV100" s="70">
        <f t="shared" si="157"/>
        <v>0</v>
      </c>
      <c r="AW100" s="448">
        <v>62</v>
      </c>
      <c r="AX100" s="583"/>
      <c r="AY100" s="583"/>
      <c r="AZ100" s="583"/>
      <c r="BA100" s="583"/>
      <c r="BB100" s="583">
        <v>7.12</v>
      </c>
      <c r="BC100" s="140"/>
      <c r="BD100" s="589">
        <f t="shared" si="167"/>
        <v>0.13</v>
      </c>
      <c r="BE100" s="54"/>
      <c r="BF100" s="54"/>
      <c r="BG100" s="54"/>
      <c r="BH100" s="54"/>
      <c r="BI100" s="54">
        <f>ROUND((W100*$BE$2)+$BD100-BB100,2)</f>
        <v>0</v>
      </c>
      <c r="BL100" s="279">
        <f t="shared" si="168"/>
        <v>0</v>
      </c>
      <c r="BM100" s="279">
        <f t="shared" si="169"/>
        <v>0</v>
      </c>
      <c r="BN100" s="279">
        <f t="shared" si="75"/>
        <v>0</v>
      </c>
      <c r="BO100" s="279">
        <f t="shared" si="76"/>
        <v>0</v>
      </c>
      <c r="BP100" s="279">
        <f t="shared" si="77"/>
        <v>6.994038999999999</v>
      </c>
      <c r="BR100" s="54">
        <f t="shared" si="70"/>
        <v>0</v>
      </c>
      <c r="BS100" s="54">
        <f t="shared" si="71"/>
        <v>0</v>
      </c>
      <c r="BT100" s="54">
        <f t="shared" si="72"/>
        <v>0</v>
      </c>
      <c r="BU100" s="54">
        <f t="shared" si="73"/>
        <v>0</v>
      </c>
      <c r="BV100" s="54">
        <f t="shared" si="74"/>
        <v>-0.1259610000000011</v>
      </c>
      <c r="DS100" s="694"/>
      <c r="DT100" s="694"/>
    </row>
    <row r="101" spans="5:124" ht="12.75">
      <c r="E101" s="74">
        <f>SUM(E95:E100)</f>
        <v>258</v>
      </c>
      <c r="F101" s="75"/>
      <c r="G101" s="73" t="str">
        <f t="shared" si="143"/>
        <v/>
      </c>
      <c r="H101" s="46"/>
      <c r="I101" s="648" t="s">
        <v>705</v>
      </c>
      <c r="J101" s="648"/>
      <c r="K101" s="76" t="s">
        <v>132</v>
      </c>
      <c r="L101" s="582"/>
      <c r="M101" s="581"/>
      <c r="N101" s="581"/>
      <c r="O101" s="581"/>
      <c r="P101" s="581"/>
      <c r="Q101" s="581"/>
      <c r="R101" s="82"/>
      <c r="S101" s="620"/>
      <c r="T101" s="620">
        <v>5.23</v>
      </c>
      <c r="V101" s="620"/>
      <c r="W101" s="620"/>
      <c r="X101" s="648"/>
      <c r="Y101" s="70"/>
      <c r="Z101" s="70"/>
      <c r="AA101" s="70"/>
      <c r="AB101" s="70"/>
      <c r="AC101" s="70"/>
      <c r="AD101" s="648"/>
      <c r="AE101" s="581"/>
      <c r="AF101" s="581"/>
      <c r="AG101" s="581"/>
      <c r="AH101" s="581"/>
      <c r="AI101" s="581"/>
      <c r="AJ101" s="648"/>
      <c r="AK101" s="586"/>
      <c r="AL101" s="586">
        <f>ROUND(T101,2)</f>
        <v>5.23</v>
      </c>
      <c r="AN101" s="586"/>
      <c r="AO101" s="586"/>
      <c r="AP101" s="648"/>
      <c r="AQ101" s="70">
        <f t="shared" si="163"/>
        <v>0</v>
      </c>
      <c r="AR101" s="70"/>
      <c r="AS101" s="70"/>
      <c r="AT101" s="70"/>
      <c r="AU101" s="70"/>
      <c r="AV101" s="70"/>
      <c r="AW101" s="593"/>
      <c r="AX101" s="583"/>
      <c r="AY101" s="583"/>
      <c r="AZ101" s="583"/>
      <c r="BA101" s="583"/>
      <c r="BB101" s="583"/>
      <c r="BC101" s="583"/>
      <c r="BD101" s="589"/>
      <c r="BE101" s="579"/>
      <c r="BF101" s="579"/>
      <c r="BG101" s="579"/>
      <c r="BH101" s="579"/>
      <c r="BI101" s="579"/>
      <c r="BJ101" s="648"/>
      <c r="BK101" s="648"/>
      <c r="BL101" s="587"/>
      <c r="BM101" s="587"/>
      <c r="BN101" s="587">
        <f>AL101*$BL$1</f>
        <v>5.308973</v>
      </c>
      <c r="BO101" s="587"/>
      <c r="BP101" s="587"/>
      <c r="BQ101" s="648"/>
      <c r="BR101" s="579"/>
      <c r="BS101" s="579"/>
      <c r="BT101" s="579">
        <f t="shared" si="72"/>
        <v>5.308973</v>
      </c>
      <c r="BU101" s="579"/>
      <c r="BV101" s="579"/>
      <c r="DS101" s="694"/>
      <c r="DT101" s="694"/>
    </row>
    <row r="102" spans="7:155" ht="12.75">
      <c r="G102" s="73" t="str">
        <f t="shared" si="143"/>
        <v/>
      </c>
      <c r="H102" s="46"/>
      <c r="I102" s="648" t="s">
        <v>705</v>
      </c>
      <c r="J102" s="648"/>
      <c r="K102" s="76" t="s">
        <v>615</v>
      </c>
      <c r="L102" s="582"/>
      <c r="M102" s="581"/>
      <c r="N102" s="581"/>
      <c r="O102" s="581"/>
      <c r="P102" s="581"/>
      <c r="Q102" s="581"/>
      <c r="R102" s="82"/>
      <c r="S102" s="620"/>
      <c r="T102" s="620">
        <v>5.53</v>
      </c>
      <c r="V102" s="620"/>
      <c r="W102" s="620"/>
      <c r="X102" s="648"/>
      <c r="Y102" s="70"/>
      <c r="Z102" s="70"/>
      <c r="AA102" s="70"/>
      <c r="AB102" s="70"/>
      <c r="AC102" s="70"/>
      <c r="AD102" s="648"/>
      <c r="AE102" s="581"/>
      <c r="AF102" s="581"/>
      <c r="AG102" s="581"/>
      <c r="AH102" s="581"/>
      <c r="AI102" s="581"/>
      <c r="AJ102" s="648"/>
      <c r="AK102" s="586"/>
      <c r="AL102" s="586">
        <f>ROUND(T102,2)</f>
        <v>5.53</v>
      </c>
      <c r="AN102" s="586"/>
      <c r="AO102" s="586"/>
      <c r="AP102" s="648"/>
      <c r="AQ102" s="70">
        <f t="shared" si="163"/>
        <v>0</v>
      </c>
      <c r="AR102" s="70"/>
      <c r="AS102" s="70"/>
      <c r="AT102" s="70"/>
      <c r="AU102" s="70"/>
      <c r="AV102" s="70"/>
      <c r="AW102" s="593"/>
      <c r="AX102" s="583"/>
      <c r="AY102" s="583"/>
      <c r="AZ102" s="583"/>
      <c r="BA102" s="583"/>
      <c r="BB102" s="583"/>
      <c r="BC102" s="583"/>
      <c r="BD102" s="589"/>
      <c r="BE102" s="579"/>
      <c r="BF102" s="579"/>
      <c r="BG102" s="579"/>
      <c r="BH102" s="579"/>
      <c r="BI102" s="579"/>
      <c r="BJ102" s="648"/>
      <c r="BK102" s="648"/>
      <c r="BL102" s="587"/>
      <c r="BM102" s="587"/>
      <c r="BN102" s="587">
        <f>AL102*$BL$1</f>
        <v>5.613503</v>
      </c>
      <c r="BO102" s="587"/>
      <c r="BP102" s="587"/>
      <c r="BQ102" s="648"/>
      <c r="BR102" s="579"/>
      <c r="BS102" s="579"/>
      <c r="BT102" s="579">
        <f t="shared" si="72"/>
        <v>5.613503</v>
      </c>
      <c r="BU102" s="579"/>
      <c r="BV102" s="579"/>
      <c r="DV102" s="694"/>
      <c r="DW102" s="694"/>
      <c r="DX102" s="694"/>
      <c r="DY102" s="694"/>
      <c r="DZ102" s="694"/>
      <c r="EA102" s="694"/>
      <c r="EB102" s="694"/>
      <c r="EC102" s="694"/>
      <c r="ED102" s="694"/>
      <c r="EE102" s="694"/>
      <c r="EF102" s="694"/>
      <c r="EG102" s="694"/>
      <c r="EH102" s="694"/>
      <c r="EI102" s="694"/>
      <c r="EJ102" s="694"/>
      <c r="EK102" s="694"/>
      <c r="EL102" s="694"/>
      <c r="EM102" s="694"/>
      <c r="EN102" s="694"/>
      <c r="EO102" s="694"/>
      <c r="EP102" s="694"/>
      <c r="EQ102" s="694"/>
      <c r="ER102" s="694"/>
      <c r="ES102" s="694"/>
      <c r="ET102" s="694"/>
      <c r="EU102" s="694"/>
      <c r="EV102" s="694"/>
      <c r="EW102" s="694"/>
      <c r="EX102" s="694"/>
      <c r="EY102" s="694"/>
    </row>
    <row r="103" spans="2:155" ht="12.75">
      <c r="B103" s="35">
        <v>2</v>
      </c>
      <c r="C103" s="72" t="s">
        <v>123</v>
      </c>
      <c r="D103" s="585" t="s">
        <v>859</v>
      </c>
      <c r="E103" s="560">
        <v>0</v>
      </c>
      <c r="F103" s="73"/>
      <c r="G103" s="73" t="str">
        <f t="shared" si="143"/>
        <v>046005L</v>
      </c>
      <c r="I103" s="648" t="s">
        <v>705</v>
      </c>
      <c r="K103" s="59" t="s">
        <v>640</v>
      </c>
      <c r="R103" s="69"/>
      <c r="S103" s="620">
        <v>0</v>
      </c>
      <c r="T103" s="620">
        <v>7.92</v>
      </c>
      <c r="V103" s="620">
        <v>0</v>
      </c>
      <c r="W103" s="620">
        <v>0</v>
      </c>
      <c r="Y103" s="70"/>
      <c r="Z103" s="70"/>
      <c r="AA103" s="70"/>
      <c r="AB103" s="70"/>
      <c r="AC103" s="70"/>
      <c r="AK103" s="436">
        <f t="shared" si="239"/>
        <v>0</v>
      </c>
      <c r="AL103" s="586">
        <f>ROUND(T103,2)</f>
        <v>7.92</v>
      </c>
      <c r="AN103" s="436">
        <f aca="true" t="shared" si="240" ref="AN103:AO109">ROUND(V103*(1+AN$1),2)</f>
        <v>0</v>
      </c>
      <c r="AO103" s="436">
        <f t="shared" si="240"/>
        <v>0</v>
      </c>
      <c r="AQ103" s="70"/>
      <c r="AR103" s="70"/>
      <c r="AS103" s="70"/>
      <c r="AT103" s="70"/>
      <c r="AU103" s="70"/>
      <c r="AV103" s="70">
        <f>SUM(AQ103:AU103)-SUM(Y103:AC103)</f>
        <v>0</v>
      </c>
      <c r="AW103" s="448"/>
      <c r="AX103" s="583"/>
      <c r="AY103" s="583"/>
      <c r="AZ103" s="583"/>
      <c r="BA103" s="583"/>
      <c r="BB103" s="583"/>
      <c r="BC103" s="140"/>
      <c r="BD103" s="589"/>
      <c r="BE103" s="54"/>
      <c r="BF103" s="54"/>
      <c r="BG103" s="54"/>
      <c r="BH103" s="54"/>
      <c r="BI103" s="54"/>
      <c r="BL103" s="279">
        <f aca="true" t="shared" si="241" ref="BL103:BL109">AK103*$BL$1</f>
        <v>0</v>
      </c>
      <c r="BM103" s="279" t="e">
        <f>#REF!*$BL$1</f>
        <v>#REF!</v>
      </c>
      <c r="BN103" s="279">
        <f>AL103*$BL$1</f>
        <v>8.039591999999999</v>
      </c>
      <c r="BO103" s="279">
        <f t="shared" si="76"/>
        <v>0</v>
      </c>
      <c r="BP103" s="279">
        <f t="shared" si="77"/>
        <v>0</v>
      </c>
      <c r="BR103" s="54"/>
      <c r="BS103" s="54"/>
      <c r="BT103" s="54"/>
      <c r="BU103" s="54"/>
      <c r="BV103" s="54"/>
      <c r="DL103" s="596"/>
      <c r="DV103" s="694"/>
      <c r="DW103" s="694"/>
      <c r="DX103" s="694"/>
      <c r="DY103" s="694"/>
      <c r="DZ103" s="694"/>
      <c r="EA103" s="694"/>
      <c r="EB103" s="694"/>
      <c r="EC103" s="694"/>
      <c r="ED103" s="694"/>
      <c r="EE103" s="694"/>
      <c r="EF103" s="694"/>
      <c r="EG103" s="694"/>
      <c r="EH103" s="694"/>
      <c r="EI103" s="694"/>
      <c r="EJ103" s="694"/>
      <c r="EK103" s="694"/>
      <c r="EL103" s="694"/>
      <c r="EM103" s="694"/>
      <c r="EN103" s="694"/>
      <c r="EO103" s="694"/>
      <c r="EP103" s="694"/>
      <c r="EQ103" s="694"/>
      <c r="ER103" s="694"/>
      <c r="ES103" s="694"/>
      <c r="ET103" s="694"/>
      <c r="EU103" s="694"/>
      <c r="EV103" s="694"/>
      <c r="EW103" s="694"/>
      <c r="EX103" s="694"/>
      <c r="EY103" s="694"/>
    </row>
    <row r="104" spans="1:155" ht="12.75">
      <c r="A104" s="769"/>
      <c r="B104" s="541">
        <v>2</v>
      </c>
      <c r="C104" s="72" t="s">
        <v>123</v>
      </c>
      <c r="D104" s="585" t="s">
        <v>860</v>
      </c>
      <c r="E104" s="564">
        <v>42</v>
      </c>
      <c r="F104" s="73"/>
      <c r="G104" s="73" t="str">
        <f t="shared" si="143"/>
        <v>046015L</v>
      </c>
      <c r="K104" s="580" t="s">
        <v>66</v>
      </c>
      <c r="M104" s="77">
        <f>SUM(M4:M103)</f>
        <v>7</v>
      </c>
      <c r="N104" s="77">
        <f>SUM(N4:N103)</f>
        <v>22436</v>
      </c>
      <c r="O104" s="77">
        <f>SUM(O4:O103)</f>
        <v>164</v>
      </c>
      <c r="P104" s="77">
        <f>SUM(P4:P103)</f>
        <v>258</v>
      </c>
      <c r="Q104" s="77">
        <f>SUM(Q4:Q103)</f>
        <v>932</v>
      </c>
      <c r="S104" s="620">
        <v>0</v>
      </c>
      <c r="T104" s="620">
        <v>0</v>
      </c>
      <c r="U104" s="620">
        <v>0</v>
      </c>
      <c r="V104" s="620">
        <v>0</v>
      </c>
      <c r="W104" s="620">
        <v>0</v>
      </c>
      <c r="Y104" s="78">
        <f>ROUND(SUM(Y4:Y103),2)</f>
        <v>181.27</v>
      </c>
      <c r="Z104" s="78">
        <f>ROUND(SUM(Z4:Z103),2)</f>
        <v>350635.22</v>
      </c>
      <c r="AA104" s="78">
        <f>ROUND(SUM(AA4:AA103),2)</f>
        <v>1995.6</v>
      </c>
      <c r="AB104" s="142">
        <f>ROUND(SUM(AB4:AB103),2)</f>
        <v>2720.82</v>
      </c>
      <c r="AC104" s="78">
        <f>ROUND(SUM(AC4:AC103),2)</f>
        <v>9042.34</v>
      </c>
      <c r="AE104" s="77">
        <f>SUM(AE4:AE103)</f>
        <v>7</v>
      </c>
      <c r="AF104" s="77">
        <f>SUM(AF4:AF103)</f>
        <v>22436</v>
      </c>
      <c r="AG104" s="77">
        <f>SUM(AG4:AG103)</f>
        <v>164</v>
      </c>
      <c r="AH104" s="77">
        <f>SUM(AH4:AH103)</f>
        <v>258</v>
      </c>
      <c r="AI104" s="77">
        <f>SUM(AI4:AI103)</f>
        <v>932</v>
      </c>
      <c r="AK104" s="436">
        <f t="shared" si="239"/>
        <v>0</v>
      </c>
      <c r="AL104" s="436">
        <f t="shared" si="219"/>
        <v>0</v>
      </c>
      <c r="AM104" s="436">
        <f aca="true" t="shared" si="242" ref="AM104:AM109">ROUND(U104*(1+AM$1),2)</f>
        <v>0</v>
      </c>
      <c r="AN104" s="436">
        <f t="shared" si="240"/>
        <v>0</v>
      </c>
      <c r="AO104" s="436">
        <f t="shared" si="240"/>
        <v>0</v>
      </c>
      <c r="AQ104" s="142">
        <f>ROUND(SUM(AQ4:AQ103),2)</f>
        <v>181.27</v>
      </c>
      <c r="AR104" s="142">
        <f>ROUND(SUM(AR4:AR103),2)</f>
        <v>350635.22</v>
      </c>
      <c r="AS104" s="142">
        <f>ROUND(SUM(AS4:AS103),2)</f>
        <v>1995.6</v>
      </c>
      <c r="AT104" s="142">
        <f>ROUND(SUM(AT4:AT103),2)</f>
        <v>2720.82</v>
      </c>
      <c r="AU104" s="142">
        <f>ROUND(SUM(AU4:AU103),2)</f>
        <v>9042.63</v>
      </c>
      <c r="AW104" s="448"/>
      <c r="AX104" s="583"/>
      <c r="AY104" s="583"/>
      <c r="AZ104" s="583"/>
      <c r="BA104" s="583"/>
      <c r="BB104" s="583"/>
      <c r="BC104" s="140"/>
      <c r="BD104" s="589"/>
      <c r="BE104" s="54"/>
      <c r="BF104" s="54"/>
      <c r="BG104" s="54"/>
      <c r="BH104" s="54"/>
      <c r="BI104" s="54"/>
      <c r="BL104" s="279">
        <f t="shared" si="241"/>
        <v>0</v>
      </c>
      <c r="BM104" s="279">
        <f aca="true" t="shared" si="243" ref="BM104:BM109">AL104*$BL$1</f>
        <v>0</v>
      </c>
      <c r="BN104" s="279">
        <f t="shared" si="75"/>
        <v>0</v>
      </c>
      <c r="BO104" s="279">
        <f t="shared" si="76"/>
        <v>0</v>
      </c>
      <c r="BP104" s="279">
        <f t="shared" si="77"/>
        <v>0</v>
      </c>
      <c r="BR104" s="54"/>
      <c r="BS104" s="54"/>
      <c r="BT104" s="54"/>
      <c r="BU104" s="54"/>
      <c r="BV104" s="54"/>
      <c r="DG104" s="596"/>
      <c r="DH104" s="596"/>
      <c r="DI104" s="596"/>
      <c r="DJ104" s="596"/>
      <c r="DK104" s="596"/>
      <c r="DL104" s="596"/>
      <c r="DV104" s="694"/>
      <c r="DW104" s="694"/>
      <c r="DX104" s="694"/>
      <c r="DY104" s="694"/>
      <c r="DZ104" s="694"/>
      <c r="EA104" s="694"/>
      <c r="EB104" s="694"/>
      <c r="EC104" s="694"/>
      <c r="ED104" s="694"/>
      <c r="EE104" s="694"/>
      <c r="EF104" s="694"/>
      <c r="EG104" s="694"/>
      <c r="EH104" s="694"/>
      <c r="EI104" s="694"/>
      <c r="EJ104" s="694"/>
      <c r="EK104" s="694"/>
      <c r="EL104" s="694"/>
      <c r="EM104" s="694"/>
      <c r="EN104" s="694"/>
      <c r="EO104" s="694"/>
      <c r="EP104" s="694"/>
      <c r="EQ104" s="694"/>
      <c r="ER104" s="694"/>
      <c r="ES104" s="694"/>
      <c r="ET104" s="694"/>
      <c r="EU104" s="694"/>
      <c r="EV104" s="694"/>
      <c r="EW104" s="694"/>
      <c r="EX104" s="694"/>
      <c r="EY104" s="694"/>
    </row>
    <row r="105" spans="1:173" ht="18">
      <c r="A105" s="769"/>
      <c r="B105" s="541">
        <v>2</v>
      </c>
      <c r="C105" s="72" t="s">
        <v>123</v>
      </c>
      <c r="D105" s="585" t="s">
        <v>861</v>
      </c>
      <c r="E105" s="564">
        <v>45</v>
      </c>
      <c r="F105" s="73"/>
      <c r="G105" s="73" t="str">
        <f t="shared" si="143"/>
        <v>046025L</v>
      </c>
      <c r="I105" s="747" t="s">
        <v>944</v>
      </c>
      <c r="Q105" s="69">
        <f>SUM(M104:Q104)</f>
        <v>23797</v>
      </c>
      <c r="S105" s="620">
        <v>0</v>
      </c>
      <c r="T105" s="620">
        <v>0</v>
      </c>
      <c r="U105" s="620">
        <v>0</v>
      </c>
      <c r="V105" s="620">
        <v>0</v>
      </c>
      <c r="W105" s="620">
        <v>0</v>
      </c>
      <c r="Y105" s="79">
        <v>177</v>
      </c>
      <c r="Z105" s="79">
        <v>340062</v>
      </c>
      <c r="AA105" s="79">
        <v>2057</v>
      </c>
      <c r="AB105" s="79">
        <v>2791</v>
      </c>
      <c r="AC105" s="79">
        <v>8910</v>
      </c>
      <c r="AD105" s="690"/>
      <c r="AI105" s="69">
        <f>SUM(AE104:AI104)</f>
        <v>23797</v>
      </c>
      <c r="AK105" s="436">
        <f t="shared" si="239"/>
        <v>0</v>
      </c>
      <c r="AL105" s="436">
        <f t="shared" si="219"/>
        <v>0</v>
      </c>
      <c r="AM105" s="436">
        <f t="shared" si="242"/>
        <v>0</v>
      </c>
      <c r="AN105" s="436">
        <f t="shared" si="240"/>
        <v>0</v>
      </c>
      <c r="AO105" s="436">
        <f t="shared" si="240"/>
        <v>0</v>
      </c>
      <c r="AQ105" s="70"/>
      <c r="AR105" s="70"/>
      <c r="AS105" s="70"/>
      <c r="AT105" s="70"/>
      <c r="AU105" s="79">
        <f>SUM(AQ104:AU104)</f>
        <v>364575.54</v>
      </c>
      <c r="AW105" s="448"/>
      <c r="AX105" s="583"/>
      <c r="AY105" s="583"/>
      <c r="AZ105" s="583"/>
      <c r="BA105" s="583"/>
      <c r="BB105" s="583"/>
      <c r="BC105" s="140"/>
      <c r="BD105" s="589"/>
      <c r="BE105" s="54"/>
      <c r="BF105" s="54"/>
      <c r="BG105" s="54"/>
      <c r="BH105" s="54"/>
      <c r="BI105" s="54"/>
      <c r="BL105" s="279">
        <f t="shared" si="241"/>
        <v>0</v>
      </c>
      <c r="BM105" s="279">
        <f t="shared" si="243"/>
        <v>0</v>
      </c>
      <c r="BN105" s="279">
        <f t="shared" si="75"/>
        <v>0</v>
      </c>
      <c r="BO105" s="279">
        <f t="shared" si="76"/>
        <v>0</v>
      </c>
      <c r="BP105" s="279">
        <f t="shared" si="77"/>
        <v>0</v>
      </c>
      <c r="BR105" s="54"/>
      <c r="BS105" s="54"/>
      <c r="BT105" s="54"/>
      <c r="BU105" s="54"/>
      <c r="BV105" s="54"/>
      <c r="DG105" s="596"/>
      <c r="DH105" s="596"/>
      <c r="DI105" s="596"/>
      <c r="DJ105" s="596"/>
      <c r="DK105" s="596"/>
      <c r="DM105" s="596"/>
      <c r="DN105" s="596"/>
      <c r="DO105" s="596"/>
      <c r="DP105" s="596"/>
      <c r="DV105" s="694"/>
      <c r="DW105" s="694"/>
      <c r="DX105" s="694"/>
      <c r="DY105" s="694"/>
      <c r="DZ105" s="694"/>
      <c r="EA105" s="694"/>
      <c r="EB105" s="694"/>
      <c r="EC105" s="694"/>
      <c r="ED105" s="694"/>
      <c r="EE105" s="694"/>
      <c r="EF105" s="694"/>
      <c r="EG105" s="694"/>
      <c r="EH105" s="694"/>
      <c r="EI105" s="694"/>
      <c r="EJ105" s="694"/>
      <c r="EK105" s="694"/>
      <c r="EL105" s="694"/>
      <c r="EM105" s="694"/>
      <c r="EN105" s="694"/>
      <c r="EO105" s="694"/>
      <c r="EP105" s="694"/>
      <c r="EQ105" s="694"/>
      <c r="ER105" s="694"/>
      <c r="ES105" s="694"/>
      <c r="ET105" s="694"/>
      <c r="EU105" s="694"/>
      <c r="EV105" s="694"/>
      <c r="EW105" s="694"/>
      <c r="EX105" s="694"/>
      <c r="EY105" s="694"/>
      <c r="EZ105" s="694"/>
      <c r="FA105" s="694"/>
      <c r="FB105" s="694"/>
      <c r="FC105" s="694"/>
      <c r="FD105" s="694"/>
      <c r="FE105" s="694"/>
      <c r="FF105" s="694"/>
      <c r="FG105" s="694"/>
      <c r="FH105" s="694"/>
      <c r="FI105" s="694"/>
      <c r="FJ105" s="694"/>
      <c r="FK105" s="694"/>
      <c r="FL105" s="694"/>
      <c r="FM105" s="694"/>
      <c r="FN105" s="694"/>
      <c r="FO105" s="694"/>
      <c r="FP105" s="694"/>
      <c r="FQ105" s="694"/>
    </row>
    <row r="106" spans="1:178" ht="12.75">
      <c r="A106" s="769"/>
      <c r="B106" s="541">
        <v>2</v>
      </c>
      <c r="C106" s="72" t="s">
        <v>123</v>
      </c>
      <c r="D106" s="585" t="s">
        <v>862</v>
      </c>
      <c r="E106" s="564">
        <v>0</v>
      </c>
      <c r="F106" s="73"/>
      <c r="G106" s="73" t="str">
        <f t="shared" si="143"/>
        <v>046035L</v>
      </c>
      <c r="I106" s="606"/>
      <c r="J106" s="19"/>
      <c r="K106" s="86"/>
      <c r="L106" s="19"/>
      <c r="Q106" s="73">
        <f>ROUND(Q105-E138,0)</f>
        <v>0</v>
      </c>
      <c r="S106" s="620">
        <v>0</v>
      </c>
      <c r="T106" s="620">
        <v>0</v>
      </c>
      <c r="U106" s="620">
        <v>0</v>
      </c>
      <c r="V106" s="620">
        <v>0</v>
      </c>
      <c r="W106" s="620">
        <v>0</v>
      </c>
      <c r="X106" s="117"/>
      <c r="Y106" s="70"/>
      <c r="Z106" s="70"/>
      <c r="AA106" s="70"/>
      <c r="AB106" s="70"/>
      <c r="AC106" s="79">
        <f>SUM(Y104:AC104)</f>
        <v>364575.25</v>
      </c>
      <c r="AD106" s="446"/>
      <c r="AI106" s="73">
        <f>AI105-Q105</f>
        <v>0</v>
      </c>
      <c r="AL106" s="436">
        <f t="shared" si="219"/>
        <v>0</v>
      </c>
      <c r="AM106" s="436">
        <f t="shared" si="242"/>
        <v>0</v>
      </c>
      <c r="AN106" s="436">
        <f t="shared" si="240"/>
        <v>0</v>
      </c>
      <c r="AO106" s="436">
        <f t="shared" si="240"/>
        <v>0</v>
      </c>
      <c r="AU106" s="85">
        <f>AU105/AC106-1</f>
        <v>7.954462075687729E-07</v>
      </c>
      <c r="AW106" s="448"/>
      <c r="AX106" s="583"/>
      <c r="AY106" s="583"/>
      <c r="AZ106" s="583"/>
      <c r="BA106" s="583"/>
      <c r="BB106" s="583"/>
      <c r="BC106" s="140"/>
      <c r="BD106" s="589"/>
      <c r="BE106" s="54"/>
      <c r="BF106" s="54"/>
      <c r="BG106" s="54"/>
      <c r="BH106" s="54"/>
      <c r="BI106" s="54"/>
      <c r="BL106" s="279">
        <f>X106*$BL$1</f>
        <v>0</v>
      </c>
      <c r="BM106" s="279">
        <f t="shared" si="243"/>
        <v>0</v>
      </c>
      <c r="BN106" s="279">
        <f t="shared" si="75"/>
        <v>0</v>
      </c>
      <c r="BO106" s="279">
        <f t="shared" si="76"/>
        <v>0</v>
      </c>
      <c r="BP106" s="279">
        <f t="shared" si="77"/>
        <v>0</v>
      </c>
      <c r="BR106" s="54"/>
      <c r="BS106" s="54"/>
      <c r="BT106" s="54"/>
      <c r="BU106" s="54"/>
      <c r="BV106" s="54"/>
      <c r="DF106" s="596"/>
      <c r="DM106" s="596"/>
      <c r="DN106" s="596"/>
      <c r="DO106" s="596"/>
      <c r="DP106" s="596"/>
      <c r="DX106" s="694"/>
      <c r="DY106" s="694"/>
      <c r="DZ106" s="694"/>
      <c r="EA106" s="694"/>
      <c r="EB106" s="694"/>
      <c r="EC106" s="694"/>
      <c r="ED106" s="694"/>
      <c r="EE106" s="694"/>
      <c r="EF106" s="694"/>
      <c r="EG106" s="694"/>
      <c r="EH106" s="694"/>
      <c r="EI106" s="694"/>
      <c r="EJ106" s="694"/>
      <c r="EK106" s="694"/>
      <c r="EL106" s="694"/>
      <c r="EM106" s="694"/>
      <c r="EN106" s="694"/>
      <c r="EO106" s="694"/>
      <c r="EP106" s="694"/>
      <c r="EQ106" s="694"/>
      <c r="ER106" s="694"/>
      <c r="ES106" s="694"/>
      <c r="ET106" s="694"/>
      <c r="EU106" s="694"/>
      <c r="EV106" s="694"/>
      <c r="EW106" s="694"/>
      <c r="EX106" s="694"/>
      <c r="EY106" s="694"/>
      <c r="EZ106" s="694"/>
      <c r="FA106" s="694"/>
      <c r="FB106" s="694"/>
      <c r="FC106" s="694"/>
      <c r="FD106" s="694"/>
      <c r="FE106" s="694"/>
      <c r="FF106" s="694"/>
      <c r="FG106" s="694"/>
      <c r="FH106" s="694"/>
      <c r="FI106" s="694"/>
      <c r="FJ106" s="694"/>
      <c r="FK106" s="694"/>
      <c r="FL106" s="694"/>
      <c r="FM106" s="694"/>
      <c r="FN106" s="694"/>
      <c r="FO106" s="694"/>
      <c r="FP106" s="694"/>
      <c r="FQ106" s="694"/>
      <c r="FR106" s="694"/>
      <c r="FS106" s="694"/>
      <c r="FT106" s="694"/>
      <c r="FU106" s="694"/>
      <c r="FV106" s="694"/>
    </row>
    <row r="107" spans="1:179" ht="12.75">
      <c r="A107" s="769"/>
      <c r="B107" s="541">
        <v>2</v>
      </c>
      <c r="C107" s="72" t="s">
        <v>123</v>
      </c>
      <c r="D107" s="585" t="s">
        <v>863</v>
      </c>
      <c r="E107" s="564">
        <v>0</v>
      </c>
      <c r="F107" s="73"/>
      <c r="G107" s="73" t="str">
        <f t="shared" si="143"/>
        <v>046045L</v>
      </c>
      <c r="S107" s="620"/>
      <c r="T107" s="620"/>
      <c r="U107" s="620"/>
      <c r="V107" s="620"/>
      <c r="W107" s="620"/>
      <c r="Y107" s="447"/>
      <c r="Z107" s="447"/>
      <c r="AA107" s="447"/>
      <c r="AB107" s="447"/>
      <c r="AC107" s="447"/>
      <c r="AD107" s="613"/>
      <c r="AK107" s="436">
        <f t="shared" si="239"/>
        <v>0</v>
      </c>
      <c r="AL107" s="436">
        <f t="shared" si="219"/>
        <v>0</v>
      </c>
      <c r="AM107" s="436">
        <f t="shared" si="242"/>
        <v>0</v>
      </c>
      <c r="AN107" s="436">
        <f t="shared" si="240"/>
        <v>0</v>
      </c>
      <c r="AO107" s="436">
        <f t="shared" si="240"/>
        <v>0</v>
      </c>
      <c r="AW107" s="448"/>
      <c r="AX107" s="583"/>
      <c r="AY107" s="583"/>
      <c r="AZ107" s="583"/>
      <c r="BA107" s="583"/>
      <c r="BB107" s="583"/>
      <c r="BC107" s="140"/>
      <c r="BD107" s="589"/>
      <c r="BE107" s="54"/>
      <c r="BF107" s="54"/>
      <c r="BG107" s="54"/>
      <c r="BH107" s="54"/>
      <c r="BI107" s="54"/>
      <c r="BL107" s="279">
        <f t="shared" si="241"/>
        <v>0</v>
      </c>
      <c r="BM107" s="279">
        <f t="shared" si="243"/>
        <v>0</v>
      </c>
      <c r="BN107" s="279">
        <f t="shared" si="75"/>
        <v>0</v>
      </c>
      <c r="BO107" s="279">
        <f t="shared" si="76"/>
        <v>0</v>
      </c>
      <c r="BP107" s="279">
        <f t="shared" si="77"/>
        <v>0</v>
      </c>
      <c r="BR107" s="54"/>
      <c r="BS107" s="54"/>
      <c r="BT107" s="54"/>
      <c r="BU107" s="54"/>
      <c r="BV107" s="54"/>
      <c r="DB107" s="596"/>
      <c r="DC107" s="596"/>
      <c r="DD107" s="596"/>
      <c r="DE107" s="596"/>
      <c r="DF107" s="596"/>
      <c r="DQ107" s="596"/>
      <c r="DR107" s="596"/>
      <c r="DV107" s="694"/>
      <c r="DW107" s="694"/>
      <c r="DX107" s="694"/>
      <c r="DY107" s="694"/>
      <c r="DZ107" s="694"/>
      <c r="EA107" s="694"/>
      <c r="EB107" s="694"/>
      <c r="EC107" s="694"/>
      <c r="ED107" s="694"/>
      <c r="EE107" s="694"/>
      <c r="EF107" s="694"/>
      <c r="EG107" s="694"/>
      <c r="EH107" s="694"/>
      <c r="EI107" s="694"/>
      <c r="EJ107" s="694"/>
      <c r="EK107" s="694"/>
      <c r="EL107" s="694"/>
      <c r="EM107" s="694"/>
      <c r="EN107" s="694"/>
      <c r="EO107" s="694"/>
      <c r="EP107" s="694"/>
      <c r="EQ107" s="694"/>
      <c r="ER107" s="694"/>
      <c r="ES107" s="694"/>
      <c r="ET107" s="694"/>
      <c r="EU107" s="694"/>
      <c r="EV107" s="694"/>
      <c r="EW107" s="694"/>
      <c r="EX107" s="694"/>
      <c r="EY107" s="694"/>
      <c r="EZ107" s="694"/>
      <c r="FA107" s="694"/>
      <c r="FB107" s="694"/>
      <c r="FC107" s="694"/>
      <c r="FD107" s="694"/>
      <c r="FE107" s="694"/>
      <c r="FF107" s="694"/>
      <c r="FG107" s="694"/>
      <c r="FH107" s="694"/>
      <c r="FI107" s="694"/>
      <c r="FJ107" s="694"/>
      <c r="FK107" s="694"/>
      <c r="FL107" s="694"/>
      <c r="FM107" s="694"/>
      <c r="FN107" s="694"/>
      <c r="FO107" s="694"/>
      <c r="FP107" s="694"/>
      <c r="FQ107" s="694"/>
      <c r="FR107" s="694"/>
      <c r="FS107" s="694"/>
      <c r="FT107" s="694"/>
      <c r="FU107" s="694"/>
      <c r="FV107" s="694"/>
      <c r="FW107" s="694"/>
    </row>
    <row r="108" spans="1:179" ht="12.75">
      <c r="A108" s="769"/>
      <c r="B108" s="541">
        <v>2</v>
      </c>
      <c r="C108" s="72" t="s">
        <v>123</v>
      </c>
      <c r="D108" s="585" t="s">
        <v>878</v>
      </c>
      <c r="E108" s="564">
        <v>0</v>
      </c>
      <c r="F108" s="73"/>
      <c r="G108" s="73" t="str">
        <f t="shared" si="143"/>
        <v>046055L</v>
      </c>
      <c r="I108" s="80" t="s">
        <v>150</v>
      </c>
      <c r="S108" s="620">
        <v>0</v>
      </c>
      <c r="T108" s="620">
        <v>0</v>
      </c>
      <c r="U108" s="620">
        <v>0</v>
      </c>
      <c r="V108" s="620">
        <v>0</v>
      </c>
      <c r="W108" s="620">
        <v>0</v>
      </c>
      <c r="Y108" s="78">
        <f>Y104-Y105</f>
        <v>4.27000000000001</v>
      </c>
      <c r="Z108" s="78">
        <f aca="true" t="shared" si="244" ref="Z108:AC108">Z104-Z105</f>
        <v>10573.219999999972</v>
      </c>
      <c r="AA108" s="78">
        <f t="shared" si="244"/>
        <v>-61.40000000000009</v>
      </c>
      <c r="AB108" s="78">
        <f t="shared" si="244"/>
        <v>-70.17999999999984</v>
      </c>
      <c r="AC108" s="78">
        <f t="shared" si="244"/>
        <v>132.34000000000015</v>
      </c>
      <c r="AK108" s="436">
        <f t="shared" si="239"/>
        <v>0</v>
      </c>
      <c r="AL108" s="436">
        <f t="shared" si="219"/>
        <v>0</v>
      </c>
      <c r="AM108" s="436">
        <f t="shared" si="242"/>
        <v>0</v>
      </c>
      <c r="AN108" s="436">
        <f t="shared" si="240"/>
        <v>0</v>
      </c>
      <c r="AO108" s="436">
        <f t="shared" si="240"/>
        <v>0</v>
      </c>
      <c r="AW108" s="448"/>
      <c r="AX108" s="583"/>
      <c r="AY108" s="583"/>
      <c r="AZ108" s="583"/>
      <c r="BA108" s="583"/>
      <c r="BB108" s="583"/>
      <c r="BC108" s="140"/>
      <c r="BD108" s="589"/>
      <c r="BE108" s="54"/>
      <c r="BF108" s="54"/>
      <c r="BG108" s="54"/>
      <c r="BH108" s="54"/>
      <c r="BI108" s="54"/>
      <c r="BL108" s="279">
        <f t="shared" si="241"/>
        <v>0</v>
      </c>
      <c r="BM108" s="279">
        <f t="shared" si="243"/>
        <v>0</v>
      </c>
      <c r="BN108" s="279">
        <f t="shared" si="75"/>
        <v>0</v>
      </c>
      <c r="BO108" s="279">
        <f t="shared" si="76"/>
        <v>0</v>
      </c>
      <c r="BP108" s="279">
        <f t="shared" si="77"/>
        <v>0</v>
      </c>
      <c r="BR108" s="54"/>
      <c r="BS108" s="54"/>
      <c r="BT108" s="54"/>
      <c r="BU108" s="54"/>
      <c r="BV108" s="54"/>
      <c r="DB108" s="596"/>
      <c r="DC108" s="596"/>
      <c r="DD108" s="596"/>
      <c r="DE108" s="596"/>
      <c r="DQ108" s="596"/>
      <c r="DR108" s="596"/>
      <c r="DS108" s="694"/>
      <c r="DT108" s="694"/>
      <c r="EZ108" s="694"/>
      <c r="FA108" s="694"/>
      <c r="FB108" s="694"/>
      <c r="FC108" s="694"/>
      <c r="FD108" s="694"/>
      <c r="FE108" s="694"/>
      <c r="FF108" s="694"/>
      <c r="FG108" s="694"/>
      <c r="FH108" s="694"/>
      <c r="FI108" s="694"/>
      <c r="FJ108" s="694"/>
      <c r="FK108" s="694"/>
      <c r="FL108" s="694"/>
      <c r="FM108" s="694"/>
      <c r="FN108" s="694"/>
      <c r="FO108" s="694"/>
      <c r="FP108" s="694"/>
      <c r="FQ108" s="694"/>
      <c r="FR108" s="694"/>
      <c r="FS108" s="694"/>
      <c r="FT108" s="694"/>
      <c r="FU108" s="694"/>
      <c r="FV108" s="694"/>
      <c r="FW108" s="694"/>
    </row>
    <row r="109" spans="1:179" ht="12.75">
      <c r="A109" s="769"/>
      <c r="B109" s="541">
        <v>2</v>
      </c>
      <c r="C109" s="72" t="s">
        <v>123</v>
      </c>
      <c r="D109" s="585" t="s">
        <v>880</v>
      </c>
      <c r="E109" s="564">
        <v>0</v>
      </c>
      <c r="F109" s="73"/>
      <c r="G109" s="73" t="str">
        <f t="shared" si="143"/>
        <v>046065L</v>
      </c>
      <c r="I109" s="616" t="s">
        <v>128</v>
      </c>
      <c r="J109" s="616" t="s">
        <v>151</v>
      </c>
      <c r="K109" s="621" t="s">
        <v>134</v>
      </c>
      <c r="L109" s="622">
        <v>439</v>
      </c>
      <c r="M109" s="69">
        <f>SUMIF($G:$G,TEXT(M$3,"000")&amp;TEXT($L109,"000"),$E:$E)</f>
        <v>0</v>
      </c>
      <c r="N109" s="69">
        <f>SUMIF($G:$G,TEXT(N$3,"000")&amp;TEXT($L109,"000"),$E:$E)</f>
        <v>0</v>
      </c>
      <c r="O109" s="69">
        <f>SUMIF($G:$G,TEXT(O$3,"000")&amp;TEXT($L109,"000"),$E:$E)</f>
        <v>0</v>
      </c>
      <c r="P109" s="69">
        <f>SUMIF($G:$G,TEXT(P$3,"000")&amp;TEXT($L109,"000"),$E:$E)</f>
        <v>0</v>
      </c>
      <c r="Q109" s="69">
        <f>SUMIF($G:$G,TEXT(Q$3,"000")&amp;TEXT($L109,"000"),$E:$E)</f>
        <v>0</v>
      </c>
      <c r="R109" s="69">
        <f>IF(SUM(M109:Q109)&gt;0,0,1)</f>
        <v>1</v>
      </c>
      <c r="S109" s="620"/>
      <c r="T109" s="620"/>
      <c r="U109" s="620"/>
      <c r="V109" s="620"/>
      <c r="W109" s="620"/>
      <c r="AB109" s="219"/>
      <c r="AC109" s="79"/>
      <c r="AE109" s="69"/>
      <c r="AF109" s="69">
        <f>SUMIF($G:$G,TEXT(AF$3,"000")&amp;TEXT($L109,"000"),$E:$E)</f>
        <v>0</v>
      </c>
      <c r="AG109" s="69">
        <f>SUMIF($G:$G,TEXT(AG$3,"000")&amp;TEXT($L109,"000"),$E:$E)</f>
        <v>0</v>
      </c>
      <c r="AH109" s="69">
        <f>SUMIF($G:$G,TEXT(AH$3,"000")&amp;TEXT($L109,"000"),$E:$E)</f>
        <v>0</v>
      </c>
      <c r="AI109" s="69">
        <f>SUMIF($G:$G,TEXT(AI$3,"000")&amp;TEXT($L109,"000"),$E:$E)</f>
        <v>0</v>
      </c>
      <c r="AK109" s="436">
        <f t="shared" si="239"/>
        <v>0</v>
      </c>
      <c r="AL109" s="436">
        <f t="shared" si="219"/>
        <v>0</v>
      </c>
      <c r="AM109" s="436">
        <f t="shared" si="242"/>
        <v>0</v>
      </c>
      <c r="AN109" s="436">
        <f t="shared" si="240"/>
        <v>0</v>
      </c>
      <c r="AO109" s="436">
        <f t="shared" si="240"/>
        <v>0</v>
      </c>
      <c r="AW109" s="448"/>
      <c r="AX109" s="583"/>
      <c r="AY109" s="583"/>
      <c r="AZ109" s="583"/>
      <c r="BA109" s="583"/>
      <c r="BB109" s="583"/>
      <c r="BC109" s="140"/>
      <c r="BD109" s="589"/>
      <c r="BE109" s="54"/>
      <c r="BF109" s="54"/>
      <c r="BG109" s="54"/>
      <c r="BH109" s="54"/>
      <c r="BI109" s="54"/>
      <c r="BL109" s="279">
        <f t="shared" si="241"/>
        <v>0</v>
      </c>
      <c r="BM109" s="279">
        <f t="shared" si="243"/>
        <v>0</v>
      </c>
      <c r="BN109" s="279">
        <f t="shared" si="75"/>
        <v>0</v>
      </c>
      <c r="BO109" s="279">
        <f t="shared" si="76"/>
        <v>0</v>
      </c>
      <c r="BP109" s="279">
        <f t="shared" si="77"/>
        <v>0</v>
      </c>
      <c r="BR109" s="54">
        <f t="shared" si="70"/>
        <v>0</v>
      </c>
      <c r="BS109" s="54">
        <f t="shared" si="71"/>
        <v>0</v>
      </c>
      <c r="BT109" s="54">
        <f t="shared" si="72"/>
        <v>0</v>
      </c>
      <c r="BU109" s="54">
        <f t="shared" si="73"/>
        <v>0</v>
      </c>
      <c r="BV109" s="54">
        <f t="shared" si="74"/>
        <v>0</v>
      </c>
      <c r="DS109" s="694"/>
      <c r="DT109" s="694"/>
      <c r="EZ109" s="694"/>
      <c r="FA109" s="694"/>
      <c r="FB109" s="694"/>
      <c r="FC109" s="694"/>
      <c r="FD109" s="694"/>
      <c r="FE109" s="694"/>
      <c r="FF109" s="694"/>
      <c r="FG109" s="694"/>
      <c r="FH109" s="694"/>
      <c r="FI109" s="694"/>
      <c r="FJ109" s="694"/>
      <c r="FK109" s="694"/>
      <c r="FL109" s="694"/>
      <c r="FM109" s="694"/>
      <c r="FN109" s="694"/>
      <c r="FO109" s="694"/>
      <c r="FP109" s="694"/>
      <c r="FQ109" s="694"/>
      <c r="FR109" s="694"/>
      <c r="FS109" s="694"/>
      <c r="FT109" s="694"/>
      <c r="FU109" s="694"/>
      <c r="FV109" s="694"/>
      <c r="FW109" s="694"/>
    </row>
    <row r="110" spans="1:179" ht="12.75">
      <c r="A110" s="769"/>
      <c r="B110" s="541">
        <v>2</v>
      </c>
      <c r="C110" s="72" t="s">
        <v>123</v>
      </c>
      <c r="D110" s="585" t="s">
        <v>882</v>
      </c>
      <c r="E110" s="564">
        <v>0</v>
      </c>
      <c r="F110" s="73"/>
      <c r="G110" s="73" t="str">
        <f t="shared" si="143"/>
        <v>046075L</v>
      </c>
      <c r="I110" s="616"/>
      <c r="J110" s="616"/>
      <c r="K110" s="621"/>
      <c r="L110" s="616"/>
      <c r="S110" s="19"/>
      <c r="T110" s="19"/>
      <c r="U110" s="19"/>
      <c r="V110" s="19"/>
      <c r="W110" s="19"/>
      <c r="Y110" s="612"/>
      <c r="Z110" s="612"/>
      <c r="AA110" s="612"/>
      <c r="AB110" s="612"/>
      <c r="AC110" s="612"/>
      <c r="AX110" s="19"/>
      <c r="AY110" s="19"/>
      <c r="AZ110" s="19"/>
      <c r="BA110" s="19"/>
      <c r="BB110" s="19"/>
      <c r="DA110" s="596"/>
      <c r="DS110" s="694"/>
      <c r="DT110" s="694"/>
      <c r="EZ110" s="694"/>
      <c r="FA110" s="694"/>
      <c r="FB110" s="694"/>
      <c r="FC110" s="694"/>
      <c r="FD110" s="694"/>
      <c r="FE110" s="694"/>
      <c r="FF110" s="694"/>
      <c r="FG110" s="694"/>
      <c r="FH110" s="694"/>
      <c r="FI110" s="694"/>
      <c r="FJ110" s="694"/>
      <c r="FK110" s="694"/>
      <c r="FL110" s="694"/>
      <c r="FM110" s="694"/>
      <c r="FN110" s="694"/>
      <c r="FO110" s="694"/>
      <c r="FP110" s="694"/>
      <c r="FQ110" s="694"/>
      <c r="FR110" s="694"/>
      <c r="FS110" s="694"/>
      <c r="FT110" s="694"/>
      <c r="FU110" s="694"/>
      <c r="FV110" s="694"/>
      <c r="FW110" s="694"/>
    </row>
    <row r="111" spans="1:179" ht="12.75">
      <c r="A111" s="769"/>
      <c r="B111" s="541">
        <v>2</v>
      </c>
      <c r="C111" s="72" t="s">
        <v>123</v>
      </c>
      <c r="D111" s="585" t="s">
        <v>884</v>
      </c>
      <c r="E111" s="564">
        <v>0</v>
      </c>
      <c r="F111" s="73"/>
      <c r="G111" s="73" t="str">
        <f t="shared" si="143"/>
        <v>046085L</v>
      </c>
      <c r="I111" s="616" t="s">
        <v>139</v>
      </c>
      <c r="J111" s="616" t="s">
        <v>110</v>
      </c>
      <c r="K111" s="621" t="s">
        <v>134</v>
      </c>
      <c r="L111" s="622">
        <v>443</v>
      </c>
      <c r="M111" s="69">
        <f aca="true" t="shared" si="245" ref="M111:Q120">SUMIF($G:$G,TEXT(M$3,"000")&amp;TEXT($L111,"000"),$E:$E)</f>
        <v>0</v>
      </c>
      <c r="N111" s="69">
        <f t="shared" si="245"/>
        <v>0</v>
      </c>
      <c r="O111" s="69">
        <f t="shared" si="245"/>
        <v>0</v>
      </c>
      <c r="P111" s="69">
        <f t="shared" si="245"/>
        <v>0</v>
      </c>
      <c r="Q111" s="69">
        <f t="shared" si="245"/>
        <v>0</v>
      </c>
      <c r="R111" s="69">
        <f>IF(SUM(M111:Q111)&gt;0,0,1)</f>
        <v>1</v>
      </c>
      <c r="S111" s="620"/>
      <c r="T111" s="620"/>
      <c r="U111" s="620"/>
      <c r="V111" s="620"/>
      <c r="W111" s="620"/>
      <c r="Y111" s="80"/>
      <c r="Z111" s="212"/>
      <c r="AA111" s="435"/>
      <c r="AB111" s="435"/>
      <c r="AC111" s="435"/>
      <c r="AD111" s="616"/>
      <c r="AE111" s="69"/>
      <c r="AF111" s="69">
        <f aca="true" t="shared" si="246" ref="AF111:AI112">SUMIF($G:$G,TEXT(AF$3,"000")&amp;TEXT($L111,"000"),$E:$E)</f>
        <v>0</v>
      </c>
      <c r="AG111" s="69">
        <f t="shared" si="246"/>
        <v>0</v>
      </c>
      <c r="AH111" s="69">
        <f t="shared" si="246"/>
        <v>0</v>
      </c>
      <c r="AI111" s="69">
        <f t="shared" si="246"/>
        <v>0</v>
      </c>
      <c r="AK111" s="436">
        <f t="shared" si="239"/>
        <v>0</v>
      </c>
      <c r="AL111" s="436">
        <f t="shared" si="219"/>
        <v>0</v>
      </c>
      <c r="AM111" s="436">
        <f aca="true" t="shared" si="247" ref="AM111:AO112">ROUND(U111*(1+AM$1),2)</f>
        <v>0</v>
      </c>
      <c r="AN111" s="436">
        <f t="shared" si="247"/>
        <v>0</v>
      </c>
      <c r="AO111" s="436">
        <f t="shared" si="247"/>
        <v>0</v>
      </c>
      <c r="AQ111" s="290"/>
      <c r="AU111" s="79"/>
      <c r="AW111" s="448"/>
      <c r="AX111" s="583"/>
      <c r="AY111" s="583"/>
      <c r="AZ111" s="583"/>
      <c r="BA111" s="583"/>
      <c r="BB111" s="583"/>
      <c r="BC111" s="140"/>
      <c r="BD111" s="589"/>
      <c r="BE111" s="54"/>
      <c r="BF111" s="54"/>
      <c r="BG111" s="54"/>
      <c r="BH111" s="54"/>
      <c r="BI111" s="54"/>
      <c r="BL111" s="279">
        <f aca="true" t="shared" si="248" ref="BL111:BL128">AK111*$BL$1</f>
        <v>0</v>
      </c>
      <c r="BM111" s="279">
        <f aca="true" t="shared" si="249" ref="BM111:BM128">AL111*$BL$1</f>
        <v>0</v>
      </c>
      <c r="BN111" s="279">
        <f t="shared" si="75"/>
        <v>0</v>
      </c>
      <c r="BO111" s="279">
        <f t="shared" si="76"/>
        <v>0</v>
      </c>
      <c r="BP111" s="279">
        <f t="shared" si="77"/>
        <v>0</v>
      </c>
      <c r="BR111" s="54">
        <f t="shared" si="70"/>
        <v>0</v>
      </c>
      <c r="BS111" s="54">
        <f t="shared" si="71"/>
        <v>0</v>
      </c>
      <c r="BT111" s="54">
        <f t="shared" si="72"/>
        <v>0</v>
      </c>
      <c r="BU111" s="54">
        <f t="shared" si="73"/>
        <v>0</v>
      </c>
      <c r="BV111" s="54">
        <f t="shared" si="74"/>
        <v>0</v>
      </c>
      <c r="CZ111" s="596"/>
      <c r="DA111" s="596"/>
      <c r="DS111" s="694"/>
      <c r="DT111" s="694"/>
      <c r="FR111" s="694"/>
      <c r="FS111" s="694"/>
      <c r="FT111" s="694"/>
      <c r="FU111" s="694"/>
      <c r="FW111" s="694"/>
    </row>
    <row r="112" spans="1:124" ht="12.75">
      <c r="A112" s="769"/>
      <c r="B112" s="541">
        <v>2</v>
      </c>
      <c r="C112" s="72" t="s">
        <v>123</v>
      </c>
      <c r="D112" s="585" t="s">
        <v>886</v>
      </c>
      <c r="E112" s="564">
        <v>0</v>
      </c>
      <c r="F112" s="73"/>
      <c r="G112" s="73" t="str">
        <f t="shared" si="143"/>
        <v>046095L</v>
      </c>
      <c r="I112" s="616" t="s">
        <v>139</v>
      </c>
      <c r="J112" s="616" t="s">
        <v>136</v>
      </c>
      <c r="K112" s="621" t="s">
        <v>134</v>
      </c>
      <c r="L112" s="622">
        <v>446</v>
      </c>
      <c r="M112" s="69">
        <f t="shared" si="245"/>
        <v>0</v>
      </c>
      <c r="N112" s="69">
        <f t="shared" si="245"/>
        <v>0</v>
      </c>
      <c r="O112" s="69">
        <f t="shared" si="245"/>
        <v>0</v>
      </c>
      <c r="P112" s="69">
        <f t="shared" si="245"/>
        <v>0</v>
      </c>
      <c r="Q112" s="69">
        <f t="shared" si="245"/>
        <v>0</v>
      </c>
      <c r="R112" s="69">
        <f aca="true" t="shared" si="250" ref="R112:R142">IF(SUM(M112:Q112)&gt;0,0,1)</f>
        <v>1</v>
      </c>
      <c r="S112" s="620"/>
      <c r="T112" s="620"/>
      <c r="U112" s="620"/>
      <c r="V112" s="620"/>
      <c r="W112" s="620"/>
      <c r="Y112" s="290"/>
      <c r="Z112" s="435"/>
      <c r="AA112" s="435"/>
      <c r="AB112" s="435"/>
      <c r="AC112" s="626"/>
      <c r="AD112" s="616"/>
      <c r="AE112" s="69"/>
      <c r="AF112" s="69">
        <f t="shared" si="246"/>
        <v>0</v>
      </c>
      <c r="AG112" s="69">
        <f t="shared" si="246"/>
        <v>0</v>
      </c>
      <c r="AH112" s="69">
        <f t="shared" si="246"/>
        <v>0</v>
      </c>
      <c r="AI112" s="69">
        <f t="shared" si="246"/>
        <v>0</v>
      </c>
      <c r="AK112" s="436">
        <f t="shared" si="239"/>
        <v>0</v>
      </c>
      <c r="AL112" s="436">
        <f t="shared" si="219"/>
        <v>0</v>
      </c>
      <c r="AM112" s="436">
        <f t="shared" si="247"/>
        <v>0</v>
      </c>
      <c r="AN112" s="436">
        <f t="shared" si="247"/>
        <v>0</v>
      </c>
      <c r="AO112" s="436">
        <f t="shared" si="247"/>
        <v>0</v>
      </c>
      <c r="AW112" s="448"/>
      <c r="AX112" s="583"/>
      <c r="AY112" s="583"/>
      <c r="AZ112" s="583"/>
      <c r="BA112" s="583"/>
      <c r="BB112" s="583"/>
      <c r="BC112" s="140"/>
      <c r="BD112" s="589"/>
      <c r="BE112" s="54"/>
      <c r="BF112" s="54"/>
      <c r="BG112" s="54"/>
      <c r="BH112" s="54"/>
      <c r="BI112" s="54"/>
      <c r="BL112" s="279">
        <f t="shared" si="248"/>
        <v>0</v>
      </c>
      <c r="BM112" s="279">
        <f t="shared" si="249"/>
        <v>0</v>
      </c>
      <c r="BN112" s="279">
        <f t="shared" si="75"/>
        <v>0</v>
      </c>
      <c r="BO112" s="279">
        <f t="shared" si="76"/>
        <v>0</v>
      </c>
      <c r="BP112" s="279">
        <f t="shared" si="77"/>
        <v>0</v>
      </c>
      <c r="BR112" s="54">
        <f t="shared" si="70"/>
        <v>0</v>
      </c>
      <c r="BS112" s="54">
        <f t="shared" si="71"/>
        <v>0</v>
      </c>
      <c r="BT112" s="54">
        <f t="shared" si="72"/>
        <v>0</v>
      </c>
      <c r="BU112" s="54">
        <f t="shared" si="73"/>
        <v>0</v>
      </c>
      <c r="BV112" s="54">
        <f t="shared" si="74"/>
        <v>0</v>
      </c>
      <c r="DT112" s="694"/>
    </row>
    <row r="113" spans="1:103" ht="12.75">
      <c r="A113" s="769"/>
      <c r="B113" s="541">
        <v>2</v>
      </c>
      <c r="C113" s="72" t="s">
        <v>123</v>
      </c>
      <c r="D113" s="585" t="s">
        <v>888</v>
      </c>
      <c r="E113" s="564">
        <v>6</v>
      </c>
      <c r="F113" s="73"/>
      <c r="G113" s="73" t="str">
        <f t="shared" si="143"/>
        <v>046105L</v>
      </c>
      <c r="I113" s="616" t="s">
        <v>124</v>
      </c>
      <c r="J113" s="616" t="s">
        <v>108</v>
      </c>
      <c r="K113" s="621">
        <v>10000</v>
      </c>
      <c r="L113" s="622">
        <v>511</v>
      </c>
      <c r="M113" s="638">
        <f t="shared" si="245"/>
        <v>0</v>
      </c>
      <c r="N113" s="638">
        <f t="shared" si="245"/>
        <v>0</v>
      </c>
      <c r="O113" s="638">
        <f t="shared" si="245"/>
        <v>0</v>
      </c>
      <c r="P113" s="638">
        <f t="shared" si="245"/>
        <v>0</v>
      </c>
      <c r="Q113" s="638">
        <f t="shared" si="245"/>
        <v>0</v>
      </c>
      <c r="R113" s="638"/>
      <c r="S113" s="639"/>
      <c r="T113" s="639">
        <v>0</v>
      </c>
      <c r="U113" s="639">
        <v>0</v>
      </c>
      <c r="V113" s="639">
        <v>0</v>
      </c>
      <c r="W113" s="639">
        <v>0</v>
      </c>
      <c r="X113" s="616"/>
      <c r="Y113" s="696"/>
      <c r="Z113" s="696"/>
      <c r="AA113" s="696"/>
      <c r="AB113" s="696"/>
      <c r="AC113" s="696"/>
      <c r="AD113" s="616"/>
      <c r="AE113" s="638">
        <f aca="true" t="shared" si="251" ref="AE113:AI114">M113</f>
        <v>0</v>
      </c>
      <c r="AF113" s="638">
        <f t="shared" si="251"/>
        <v>0</v>
      </c>
      <c r="AG113" s="638">
        <f t="shared" si="251"/>
        <v>0</v>
      </c>
      <c r="AH113" s="638">
        <f t="shared" si="251"/>
        <v>0</v>
      </c>
      <c r="AI113" s="638">
        <f t="shared" si="251"/>
        <v>0</v>
      </c>
      <c r="AJ113" s="616"/>
      <c r="AK113" s="640">
        <f aca="true" t="shared" si="252" ref="AK113:AO120">ROUND(S113*(1+AK$1),2)</f>
        <v>0</v>
      </c>
      <c r="AL113" s="640">
        <f t="shared" si="252"/>
        <v>0</v>
      </c>
      <c r="AM113" s="640">
        <f t="shared" si="252"/>
        <v>0</v>
      </c>
      <c r="AN113" s="640">
        <f t="shared" si="252"/>
        <v>0</v>
      </c>
      <c r="AO113" s="640">
        <f t="shared" si="252"/>
        <v>0</v>
      </c>
      <c r="AP113" s="616"/>
      <c r="AQ113" s="696">
        <f aca="true" t="shared" si="253" ref="AQ113:AU114">IF(AND(AE113&lt;&gt;0,AK113=0),#VALUE!,AE113*AK113)</f>
        <v>0</v>
      </c>
      <c r="AR113" s="696">
        <f t="shared" si="253"/>
        <v>0</v>
      </c>
      <c r="AS113" s="696">
        <f t="shared" si="253"/>
        <v>0</v>
      </c>
      <c r="AT113" s="696">
        <f t="shared" si="253"/>
        <v>0</v>
      </c>
      <c r="AU113" s="696">
        <f t="shared" si="253"/>
        <v>0</v>
      </c>
      <c r="AV113" s="70">
        <f>SUM(AQ113:AU113)-SUM(Y113:AC113)</f>
        <v>0</v>
      </c>
      <c r="AW113" s="448">
        <v>111</v>
      </c>
      <c r="AX113" s="583">
        <v>20.88</v>
      </c>
      <c r="AY113" s="583"/>
      <c r="AZ113" s="583"/>
      <c r="BA113" s="583"/>
      <c r="BB113" s="583"/>
      <c r="BC113" s="140"/>
      <c r="BD113" s="589">
        <f aca="true" t="shared" si="254" ref="BD113:BD128">ROUND(AW113*$BD$2,2)+ROUND(AW113*$BD$1,2)</f>
        <v>0.25</v>
      </c>
      <c r="BE113" s="54">
        <f>ROUND((S113*$BE$2)+$BD113-AX113,2)</f>
        <v>-20.63</v>
      </c>
      <c r="BF113" s="54"/>
      <c r="BG113" s="54"/>
      <c r="BH113" s="54"/>
      <c r="BI113" s="54"/>
      <c r="BL113" s="279">
        <f t="shared" si="248"/>
        <v>0</v>
      </c>
      <c r="BM113" s="279">
        <f t="shared" si="249"/>
        <v>0</v>
      </c>
      <c r="BN113" s="279">
        <f aca="true" t="shared" si="255" ref="BN113:BN124">AM113*$BL$1</f>
        <v>0</v>
      </c>
      <c r="BO113" s="279">
        <f t="shared" si="76"/>
        <v>0</v>
      </c>
      <c r="BP113" s="279">
        <f t="shared" si="77"/>
        <v>0</v>
      </c>
      <c r="BR113" s="54">
        <f aca="true" t="shared" si="256" ref="BR113:BR124">BL113-AX113</f>
        <v>-20.88</v>
      </c>
      <c r="BS113" s="54">
        <f t="shared" si="71"/>
        <v>0</v>
      </c>
      <c r="BT113" s="54">
        <f t="shared" si="72"/>
        <v>0</v>
      </c>
      <c r="BU113" s="54">
        <f t="shared" si="73"/>
        <v>0</v>
      </c>
      <c r="BV113" s="54">
        <f t="shared" si="74"/>
        <v>0</v>
      </c>
      <c r="CU113" s="616"/>
      <c r="CV113" s="616"/>
      <c r="CW113" s="616"/>
      <c r="CX113" s="616"/>
      <c r="CY113" s="616"/>
    </row>
    <row r="114" spans="1:98" ht="12.75">
      <c r="A114" s="769"/>
      <c r="B114" s="541">
        <v>2</v>
      </c>
      <c r="C114" s="72" t="s">
        <v>123</v>
      </c>
      <c r="D114" s="585" t="s">
        <v>890</v>
      </c>
      <c r="E114" s="564">
        <v>0</v>
      </c>
      <c r="F114" s="73"/>
      <c r="G114" s="73" t="str">
        <f t="shared" si="143"/>
        <v>046115L</v>
      </c>
      <c r="I114" s="616" t="s">
        <v>139</v>
      </c>
      <c r="J114" s="616" t="s">
        <v>848</v>
      </c>
      <c r="K114" s="621" t="s">
        <v>134</v>
      </c>
      <c r="L114" s="622">
        <v>441</v>
      </c>
      <c r="M114" s="638">
        <f t="shared" si="245"/>
        <v>0</v>
      </c>
      <c r="N114" s="638">
        <f t="shared" si="245"/>
        <v>0</v>
      </c>
      <c r="O114" s="638">
        <f t="shared" si="245"/>
        <v>0</v>
      </c>
      <c r="P114" s="638">
        <f t="shared" si="245"/>
        <v>0</v>
      </c>
      <c r="Q114" s="638">
        <f t="shared" si="245"/>
        <v>0</v>
      </c>
      <c r="R114" s="581">
        <f aca="true" t="shared" si="257" ref="R114:R132">IF(SUM(M114:Q114)&gt;0,0,1)</f>
        <v>1</v>
      </c>
      <c r="S114" s="639">
        <v>0</v>
      </c>
      <c r="T114" s="639"/>
      <c r="U114" s="639"/>
      <c r="V114" s="639">
        <v>0</v>
      </c>
      <c r="W114" s="639">
        <v>0</v>
      </c>
      <c r="X114" s="616"/>
      <c r="Y114" s="696">
        <f>IF(AND(M114&lt;&gt;0,S114=0),#VALUE!,M114*S114)</f>
        <v>0</v>
      </c>
      <c r="Z114" s="696">
        <f>IF(AND(N114&lt;&gt;0,T114=0),#VALUE!,N114*T114)</f>
        <v>0</v>
      </c>
      <c r="AA114" s="696">
        <f>IF(AND(O114&lt;&gt;0,U114=0),#VALUE!,O114*U114)</f>
        <v>0</v>
      </c>
      <c r="AB114" s="696">
        <f>IF(AND(P114&lt;&gt;0,V114=0),#VALUE!,P114*V114)</f>
        <v>0</v>
      </c>
      <c r="AC114" s="696">
        <f>IF(AND(Q114&lt;&gt;0,W114=0),#VALUE!,Q114*W114)</f>
        <v>0</v>
      </c>
      <c r="AD114" s="616"/>
      <c r="AE114" s="638">
        <f t="shared" si="251"/>
        <v>0</v>
      </c>
      <c r="AF114" s="638">
        <f t="shared" si="251"/>
        <v>0</v>
      </c>
      <c r="AG114" s="638">
        <f t="shared" si="251"/>
        <v>0</v>
      </c>
      <c r="AH114" s="638">
        <f t="shared" si="251"/>
        <v>0</v>
      </c>
      <c r="AI114" s="638">
        <f t="shared" si="251"/>
        <v>0</v>
      </c>
      <c r="AJ114" s="616"/>
      <c r="AK114" s="640">
        <f t="shared" si="252"/>
        <v>0</v>
      </c>
      <c r="AL114" s="640">
        <f t="shared" si="252"/>
        <v>0</v>
      </c>
      <c r="AM114" s="640">
        <f t="shared" si="252"/>
        <v>0</v>
      </c>
      <c r="AN114" s="640">
        <f t="shared" si="252"/>
        <v>0</v>
      </c>
      <c r="AO114" s="640">
        <f t="shared" si="252"/>
        <v>0</v>
      </c>
      <c r="AP114" s="616"/>
      <c r="AQ114" s="696">
        <f t="shared" si="253"/>
        <v>0</v>
      </c>
      <c r="AR114" s="696">
        <f t="shared" si="253"/>
        <v>0</v>
      </c>
      <c r="AS114" s="696">
        <f t="shared" si="253"/>
        <v>0</v>
      </c>
      <c r="AT114" s="696">
        <f t="shared" si="253"/>
        <v>0</v>
      </c>
      <c r="AU114" s="696">
        <f t="shared" si="253"/>
        <v>0</v>
      </c>
      <c r="AV114" s="696">
        <f>SUM(AQ114:AU114)-SUM(Y114:AC114)</f>
        <v>0</v>
      </c>
      <c r="AW114" s="703">
        <v>80</v>
      </c>
      <c r="AX114" s="704"/>
      <c r="AY114" s="704">
        <v>29.57</v>
      </c>
      <c r="AZ114" s="704">
        <v>14.19</v>
      </c>
      <c r="BA114" s="704"/>
      <c r="BB114" s="704"/>
      <c r="BC114" s="704"/>
      <c r="BD114" s="705">
        <f t="shared" si="254"/>
        <v>0.18000000000000016</v>
      </c>
      <c r="BE114" s="698"/>
      <c r="BF114" s="698">
        <f>ROUND((T114*$BE$2)+$BD114-AY114,2)</f>
        <v>-29.39</v>
      </c>
      <c r="BG114" s="698">
        <f>ROUND((U114*$BE$2)+$BD114-AZ114,2)</f>
        <v>-14.01</v>
      </c>
      <c r="BH114" s="698"/>
      <c r="BI114" s="698"/>
      <c r="BJ114" s="616"/>
      <c r="BK114" s="616"/>
      <c r="BL114" s="699">
        <f t="shared" si="248"/>
        <v>0</v>
      </c>
      <c r="BM114" s="699">
        <f t="shared" si="249"/>
        <v>0</v>
      </c>
      <c r="BN114" s="699">
        <f t="shared" si="255"/>
        <v>0</v>
      </c>
      <c r="BO114" s="699">
        <f t="shared" si="76"/>
        <v>0</v>
      </c>
      <c r="BP114" s="699">
        <f t="shared" si="77"/>
        <v>0</v>
      </c>
      <c r="BQ114" s="616"/>
      <c r="BR114" s="698">
        <f t="shared" si="256"/>
        <v>0</v>
      </c>
      <c r="BS114" s="698">
        <f t="shared" si="71"/>
        <v>-29.57</v>
      </c>
      <c r="BT114" s="698">
        <f t="shared" si="72"/>
        <v>-14.19</v>
      </c>
      <c r="BU114" s="698">
        <f t="shared" si="73"/>
        <v>0</v>
      </c>
      <c r="BV114" s="698">
        <f t="shared" si="74"/>
        <v>0</v>
      </c>
      <c r="BW114" s="616"/>
      <c r="BX114" s="616"/>
      <c r="BY114" s="616"/>
      <c r="BZ114" s="616"/>
      <c r="CA114" s="616"/>
      <c r="CB114" s="616"/>
      <c r="CC114" s="616"/>
      <c r="CD114" s="616"/>
      <c r="CE114" s="616"/>
      <c r="CF114" s="616"/>
      <c r="CG114" s="616"/>
      <c r="CH114" s="616"/>
      <c r="CI114" s="616"/>
      <c r="CJ114" s="616"/>
      <c r="CK114" s="616"/>
      <c r="CL114" s="616"/>
      <c r="CM114" s="616"/>
      <c r="CN114" s="616"/>
      <c r="CO114" s="616"/>
      <c r="CP114" s="616"/>
      <c r="CQ114" s="616"/>
      <c r="CR114" s="616"/>
      <c r="CS114" s="616"/>
      <c r="CT114" s="616"/>
    </row>
    <row r="115" spans="1:89" ht="12.75">
      <c r="A115" s="769"/>
      <c r="B115" s="541">
        <v>2</v>
      </c>
      <c r="C115" s="72" t="s">
        <v>123</v>
      </c>
      <c r="D115" s="585" t="s">
        <v>892</v>
      </c>
      <c r="E115" s="564">
        <v>0</v>
      </c>
      <c r="F115" s="73"/>
      <c r="G115" s="73" t="str">
        <f t="shared" si="143"/>
        <v>046125L</v>
      </c>
      <c r="I115" s="708" t="s">
        <v>139</v>
      </c>
      <c r="J115" s="708" t="s">
        <v>109</v>
      </c>
      <c r="K115" s="709" t="s">
        <v>134</v>
      </c>
      <c r="L115" s="706">
        <v>442</v>
      </c>
      <c r="M115" s="707">
        <f t="shared" si="245"/>
        <v>0</v>
      </c>
      <c r="N115" s="707">
        <f t="shared" si="245"/>
        <v>0</v>
      </c>
      <c r="O115" s="638">
        <f t="shared" si="245"/>
        <v>0</v>
      </c>
      <c r="P115" s="638">
        <f t="shared" si="245"/>
        <v>0</v>
      </c>
      <c r="Q115" s="638">
        <f t="shared" si="245"/>
        <v>0</v>
      </c>
      <c r="R115" s="638">
        <f t="shared" si="257"/>
        <v>1</v>
      </c>
      <c r="S115" s="639">
        <v>0</v>
      </c>
      <c r="T115" s="639"/>
      <c r="U115" s="710">
        <v>0</v>
      </c>
      <c r="V115" s="639">
        <v>0</v>
      </c>
      <c r="W115" s="639">
        <v>0</v>
      </c>
      <c r="X115" s="616"/>
      <c r="Y115" s="616"/>
      <c r="Z115" s="696">
        <f aca="true" t="shared" si="258" ref="Z115:Z124">IF(AND(N115&lt;&gt;0,T115=0),#VALUE!,N115*T115)</f>
        <v>0</v>
      </c>
      <c r="AA115" s="616"/>
      <c r="AB115" s="616"/>
      <c r="AC115" s="696">
        <f aca="true" t="shared" si="259" ref="AC115:AC120">IF(AND(Q115&lt;&gt;0,W115=0),#VALUE!,Q115*W115)</f>
        <v>0</v>
      </c>
      <c r="AD115" s="616"/>
      <c r="AE115" s="638">
        <f>SUMIF($G:$G,TEXT(AE$3,"000")&amp;TEXT($L115,"000"),$E:$E)</f>
        <v>0</v>
      </c>
      <c r="AF115" s="638">
        <f>SUMIF($G:$G,TEXT(AF$3,"000")&amp;TEXT($L115,"000"),$E:$E)</f>
        <v>0</v>
      </c>
      <c r="AG115" s="638">
        <f>SUMIF($G:$G,TEXT(AG$3,"000")&amp;TEXT($L115,"000"),$E:$E)</f>
        <v>0</v>
      </c>
      <c r="AH115" s="638">
        <f>SUMIF($G:$G,TEXT(AH$3,"000")&amp;TEXT($L115,"000"),$E:$E)</f>
        <v>0</v>
      </c>
      <c r="AI115" s="638">
        <f>SUMIF($G:$G,TEXT(AI$3,"000")&amp;TEXT($L115,"000"),$E:$E)</f>
        <v>0</v>
      </c>
      <c r="AJ115" s="616"/>
      <c r="AK115" s="640">
        <f t="shared" si="252"/>
        <v>0</v>
      </c>
      <c r="AL115" s="640">
        <f t="shared" si="252"/>
        <v>0</v>
      </c>
      <c r="AM115" s="640">
        <f t="shared" si="252"/>
        <v>0</v>
      </c>
      <c r="AN115" s="640">
        <f t="shared" si="252"/>
        <v>0</v>
      </c>
      <c r="AO115" s="640">
        <f t="shared" si="252"/>
        <v>0</v>
      </c>
      <c r="AP115" s="616"/>
      <c r="AQ115" s="711"/>
      <c r="AR115" s="696">
        <f aca="true" t="shared" si="260" ref="AR115:AR131">IF(AND(AF115&lt;&gt;0,AL115=0),#VALUE!,AF115*AL115)</f>
        <v>0</v>
      </c>
      <c r="AS115" s="616"/>
      <c r="AT115" s="616"/>
      <c r="AU115" s="616"/>
      <c r="AV115" s="616"/>
      <c r="AW115" s="703">
        <v>80</v>
      </c>
      <c r="AX115" s="704"/>
      <c r="AY115" s="704">
        <v>41.39</v>
      </c>
      <c r="AZ115" s="704"/>
      <c r="BA115" s="704"/>
      <c r="BB115" s="704"/>
      <c r="BC115" s="704"/>
      <c r="BD115" s="705">
        <f t="shared" si="254"/>
        <v>0.18000000000000016</v>
      </c>
      <c r="BE115" s="698"/>
      <c r="BF115" s="54">
        <f>ROUND((T115*$BE$2)+$BD115-AY115,2)</f>
        <v>-41.21</v>
      </c>
      <c r="BG115" s="54"/>
      <c r="BH115" s="54"/>
      <c r="BI115" s="54"/>
      <c r="BL115" s="279">
        <f t="shared" si="248"/>
        <v>0</v>
      </c>
      <c r="BM115" s="279">
        <f t="shared" si="249"/>
        <v>0</v>
      </c>
      <c r="BN115" s="279">
        <f t="shared" si="255"/>
        <v>0</v>
      </c>
      <c r="BO115" s="279">
        <f t="shared" si="76"/>
        <v>0</v>
      </c>
      <c r="BP115" s="279">
        <f t="shared" si="77"/>
        <v>0</v>
      </c>
      <c r="BR115" s="54">
        <f t="shared" si="256"/>
        <v>0</v>
      </c>
      <c r="BS115" s="54">
        <f t="shared" si="71"/>
        <v>-41.39</v>
      </c>
      <c r="BT115" s="54">
        <f t="shared" si="72"/>
        <v>0</v>
      </c>
      <c r="BU115" s="54">
        <f t="shared" si="73"/>
        <v>0</v>
      </c>
      <c r="BV115" s="54">
        <f t="shared" si="74"/>
        <v>0</v>
      </c>
      <c r="CK115" s="444"/>
    </row>
    <row r="116" spans="1:74" ht="12.75">
      <c r="A116" s="769"/>
      <c r="B116" s="541">
        <v>2</v>
      </c>
      <c r="C116" s="72" t="s">
        <v>123</v>
      </c>
      <c r="D116" s="585" t="s">
        <v>894</v>
      </c>
      <c r="E116" s="564">
        <v>36</v>
      </c>
      <c r="F116" s="73"/>
      <c r="G116" s="73" t="str">
        <f t="shared" si="143"/>
        <v>046135L</v>
      </c>
      <c r="I116" s="616" t="s">
        <v>128</v>
      </c>
      <c r="J116" s="616" t="s">
        <v>109</v>
      </c>
      <c r="K116" s="621" t="s">
        <v>142</v>
      </c>
      <c r="L116" s="622">
        <v>522</v>
      </c>
      <c r="M116" s="638">
        <f t="shared" si="245"/>
        <v>0</v>
      </c>
      <c r="N116" s="638">
        <f t="shared" si="245"/>
        <v>0</v>
      </c>
      <c r="O116" s="638">
        <f t="shared" si="245"/>
        <v>0</v>
      </c>
      <c r="P116" s="638">
        <f t="shared" si="245"/>
        <v>0</v>
      </c>
      <c r="Q116" s="638">
        <f t="shared" si="245"/>
        <v>0</v>
      </c>
      <c r="R116" s="638">
        <f t="shared" si="257"/>
        <v>1</v>
      </c>
      <c r="S116" s="639">
        <v>0</v>
      </c>
      <c r="T116" s="639"/>
      <c r="U116" s="639">
        <v>0</v>
      </c>
      <c r="V116" s="639">
        <v>0</v>
      </c>
      <c r="W116" s="639">
        <v>0</v>
      </c>
      <c r="X116" s="616"/>
      <c r="Y116" s="696">
        <f aca="true" t="shared" si="261" ref="Y116:Y124">IF(AND(M116&lt;&gt;0,S116=0),#VALUE!,M116*S116)</f>
        <v>0</v>
      </c>
      <c r="Z116" s="696">
        <f t="shared" si="258"/>
        <v>0</v>
      </c>
      <c r="AA116" s="696">
        <f aca="true" t="shared" si="262" ref="AA116:AB120">IF(AND(O116&lt;&gt;0,U116=0),#VALUE!,O116*U116)</f>
        <v>0</v>
      </c>
      <c r="AB116" s="696">
        <f t="shared" si="262"/>
        <v>0</v>
      </c>
      <c r="AC116" s="696">
        <f t="shared" si="259"/>
        <v>0</v>
      </c>
      <c r="AD116" s="616"/>
      <c r="AE116" s="638">
        <f aca="true" t="shared" si="263" ref="AE116:AI120">M116</f>
        <v>0</v>
      </c>
      <c r="AF116" s="638">
        <f t="shared" si="263"/>
        <v>0</v>
      </c>
      <c r="AG116" s="638">
        <f t="shared" si="263"/>
        <v>0</v>
      </c>
      <c r="AH116" s="638">
        <f t="shared" si="263"/>
        <v>0</v>
      </c>
      <c r="AI116" s="638">
        <f t="shared" si="263"/>
        <v>0</v>
      </c>
      <c r="AJ116" s="616"/>
      <c r="AK116" s="640">
        <f t="shared" si="252"/>
        <v>0</v>
      </c>
      <c r="AL116" s="640">
        <f t="shared" si="252"/>
        <v>0</v>
      </c>
      <c r="AM116" s="640">
        <f t="shared" si="252"/>
        <v>0</v>
      </c>
      <c r="AN116" s="640">
        <f t="shared" si="252"/>
        <v>0</v>
      </c>
      <c r="AO116" s="640">
        <f t="shared" si="252"/>
        <v>0</v>
      </c>
      <c r="AP116" s="616"/>
      <c r="AQ116" s="696">
        <f aca="true" t="shared" si="264" ref="AQ116:AQ131">IF(AND(AE116&lt;&gt;0,AK116=0),#VALUE!,AE116*AK116)</f>
        <v>0</v>
      </c>
      <c r="AR116" s="696">
        <f t="shared" si="260"/>
        <v>0</v>
      </c>
      <c r="AS116" s="696">
        <f aca="true" t="shared" si="265" ref="AS116:AS131">IF(AND(AG116&lt;&gt;0,AM116=0),#VALUE!,AG116*AM116)</f>
        <v>0</v>
      </c>
      <c r="AT116" s="696">
        <f aca="true" t="shared" si="266" ref="AT116:AT131">IF(AND(AH116&lt;&gt;0,AN116=0),#VALUE!,AH116*AN116)</f>
        <v>0</v>
      </c>
      <c r="AU116" s="696">
        <f aca="true" t="shared" si="267" ref="AU116:AU131">IF(AND(AI116&lt;&gt;0,AO116=0),#VALUE!,AI116*AO116)</f>
        <v>0</v>
      </c>
      <c r="AV116" s="696">
        <f>SUM(AQ116:AU116)-SUM(Y116:AC116)</f>
        <v>0</v>
      </c>
      <c r="AW116" s="703">
        <v>85</v>
      </c>
      <c r="AX116" s="704"/>
      <c r="AY116" s="704">
        <v>59.82</v>
      </c>
      <c r="AZ116" s="704"/>
      <c r="BA116" s="704"/>
      <c r="BB116" s="704"/>
      <c r="BC116" s="704"/>
      <c r="BD116" s="705">
        <f t="shared" si="254"/>
        <v>0.17999999999999994</v>
      </c>
      <c r="BE116" s="698"/>
      <c r="BF116" s="698">
        <f>ROUND((T116*$BE$2)+$BD116-AY116,2)</f>
        <v>-59.64</v>
      </c>
      <c r="BG116" s="698"/>
      <c r="BH116" s="698"/>
      <c r="BI116" s="698"/>
      <c r="BJ116" s="616"/>
      <c r="BK116" s="616"/>
      <c r="BL116" s="699">
        <f t="shared" si="248"/>
        <v>0</v>
      </c>
      <c r="BM116" s="279">
        <f t="shared" si="249"/>
        <v>0</v>
      </c>
      <c r="BN116" s="279">
        <f t="shared" si="255"/>
        <v>0</v>
      </c>
      <c r="BO116" s="279">
        <f t="shared" si="76"/>
        <v>0</v>
      </c>
      <c r="BP116" s="279">
        <f t="shared" si="77"/>
        <v>0</v>
      </c>
      <c r="BR116" s="54">
        <f t="shared" si="256"/>
        <v>0</v>
      </c>
      <c r="BS116" s="54">
        <f t="shared" si="71"/>
        <v>-59.82</v>
      </c>
      <c r="BT116" s="54">
        <f t="shared" si="72"/>
        <v>0</v>
      </c>
      <c r="BU116" s="54">
        <f t="shared" si="73"/>
        <v>0</v>
      </c>
      <c r="BV116" s="54">
        <f t="shared" si="74"/>
        <v>0</v>
      </c>
    </row>
    <row r="117" spans="1:105" ht="12.75">
      <c r="A117" s="769"/>
      <c r="B117" s="541">
        <v>2</v>
      </c>
      <c r="C117" s="72" t="s">
        <v>123</v>
      </c>
      <c r="D117" s="585" t="s">
        <v>896</v>
      </c>
      <c r="E117" s="564">
        <v>0</v>
      </c>
      <c r="F117" s="73"/>
      <c r="G117" s="73" t="str">
        <f t="shared" si="143"/>
        <v>046145L</v>
      </c>
      <c r="I117" s="616" t="s">
        <v>443</v>
      </c>
      <c r="J117" s="616" t="s">
        <v>110</v>
      </c>
      <c r="K117" s="621" t="s">
        <v>142</v>
      </c>
      <c r="L117" s="706">
        <v>538</v>
      </c>
      <c r="M117" s="707">
        <f t="shared" si="245"/>
        <v>0</v>
      </c>
      <c r="N117" s="707">
        <f t="shared" si="245"/>
        <v>0</v>
      </c>
      <c r="O117" s="638">
        <f t="shared" si="245"/>
        <v>0</v>
      </c>
      <c r="P117" s="638">
        <f t="shared" si="245"/>
        <v>0</v>
      </c>
      <c r="Q117" s="638">
        <f t="shared" si="245"/>
        <v>0</v>
      </c>
      <c r="R117" s="638">
        <f t="shared" si="257"/>
        <v>1</v>
      </c>
      <c r="S117" s="639">
        <v>0</v>
      </c>
      <c r="T117" s="639"/>
      <c r="U117" s="639">
        <v>0</v>
      </c>
      <c r="V117" s="639">
        <v>0</v>
      </c>
      <c r="W117" s="639">
        <v>0</v>
      </c>
      <c r="X117" s="616"/>
      <c r="Y117" s="696">
        <f t="shared" si="261"/>
        <v>0</v>
      </c>
      <c r="Z117" s="696">
        <f t="shared" si="258"/>
        <v>0</v>
      </c>
      <c r="AA117" s="696">
        <f t="shared" si="262"/>
        <v>0</v>
      </c>
      <c r="AB117" s="696">
        <f t="shared" si="262"/>
        <v>0</v>
      </c>
      <c r="AC117" s="696">
        <f t="shared" si="259"/>
        <v>0</v>
      </c>
      <c r="AD117" s="616"/>
      <c r="AE117" s="638">
        <f t="shared" si="263"/>
        <v>0</v>
      </c>
      <c r="AF117" s="638">
        <f t="shared" si="263"/>
        <v>0</v>
      </c>
      <c r="AG117" s="638">
        <f t="shared" si="263"/>
        <v>0</v>
      </c>
      <c r="AH117" s="638">
        <f t="shared" si="263"/>
        <v>0</v>
      </c>
      <c r="AI117" s="638">
        <f t="shared" si="263"/>
        <v>0</v>
      </c>
      <c r="AJ117" s="616"/>
      <c r="AK117" s="640">
        <f t="shared" si="252"/>
        <v>0</v>
      </c>
      <c r="AL117" s="640">
        <f t="shared" si="252"/>
        <v>0</v>
      </c>
      <c r="AM117" s="640">
        <f t="shared" si="252"/>
        <v>0</v>
      </c>
      <c r="AN117" s="640">
        <f t="shared" si="252"/>
        <v>0</v>
      </c>
      <c r="AO117" s="640">
        <f t="shared" si="252"/>
        <v>0</v>
      </c>
      <c r="AP117" s="616"/>
      <c r="AQ117" s="696">
        <f t="shared" si="264"/>
        <v>0</v>
      </c>
      <c r="AR117" s="696">
        <f t="shared" si="260"/>
        <v>0</v>
      </c>
      <c r="AS117" s="696">
        <f t="shared" si="265"/>
        <v>0</v>
      </c>
      <c r="AT117" s="696">
        <f t="shared" si="266"/>
        <v>0</v>
      </c>
      <c r="AU117" s="696">
        <f t="shared" si="267"/>
        <v>0</v>
      </c>
      <c r="AV117" s="696"/>
      <c r="AW117" s="703">
        <v>85</v>
      </c>
      <c r="AX117" s="704"/>
      <c r="AY117" s="704">
        <v>24.3</v>
      </c>
      <c r="AZ117" s="704"/>
      <c r="BA117" s="704"/>
      <c r="BB117" s="704"/>
      <c r="BC117" s="704"/>
      <c r="BD117" s="705">
        <f t="shared" si="254"/>
        <v>0.17999999999999994</v>
      </c>
      <c r="BE117" s="698"/>
      <c r="BF117" s="698">
        <f>ROUND((T117*$BE$2)+$BD117-AY117,2)</f>
        <v>-24.12</v>
      </c>
      <c r="BG117" s="698"/>
      <c r="BH117" s="698"/>
      <c r="BI117" s="698"/>
      <c r="BJ117" s="616"/>
      <c r="BK117" s="616"/>
      <c r="BL117" s="699">
        <f t="shared" si="248"/>
        <v>0</v>
      </c>
      <c r="BM117" s="699">
        <f t="shared" si="249"/>
        <v>0</v>
      </c>
      <c r="BN117" s="699">
        <f t="shared" si="255"/>
        <v>0</v>
      </c>
      <c r="BO117" s="699">
        <f t="shared" si="76"/>
        <v>0</v>
      </c>
      <c r="BP117" s="699">
        <f t="shared" si="77"/>
        <v>0</v>
      </c>
      <c r="BQ117" s="330"/>
      <c r="BR117" s="54">
        <f t="shared" si="256"/>
        <v>0</v>
      </c>
      <c r="BS117" s="54">
        <f t="shared" si="71"/>
        <v>-24.3</v>
      </c>
      <c r="BT117" s="54">
        <f t="shared" si="72"/>
        <v>0</v>
      </c>
      <c r="BU117" s="54">
        <f t="shared" si="73"/>
        <v>0</v>
      </c>
      <c r="BV117" s="54">
        <f t="shared" si="74"/>
        <v>0</v>
      </c>
      <c r="CU117" s="694"/>
      <c r="CV117" s="694"/>
      <c r="CW117" s="694"/>
      <c r="CX117" s="694"/>
      <c r="CY117" s="694"/>
      <c r="CZ117" s="694"/>
      <c r="DA117" s="694"/>
    </row>
    <row r="118" spans="1:116" ht="12.75">
      <c r="A118" s="769"/>
      <c r="B118" s="541">
        <v>2</v>
      </c>
      <c r="C118" s="72" t="s">
        <v>123</v>
      </c>
      <c r="D118" s="585" t="s">
        <v>898</v>
      </c>
      <c r="E118" s="564">
        <v>0</v>
      </c>
      <c r="F118" s="73"/>
      <c r="G118" s="73" t="str">
        <f t="shared" si="143"/>
        <v>046155L</v>
      </c>
      <c r="I118" s="616" t="s">
        <v>139</v>
      </c>
      <c r="J118" s="616" t="s">
        <v>109</v>
      </c>
      <c r="K118" s="621" t="s">
        <v>142</v>
      </c>
      <c r="L118" s="622">
        <v>542</v>
      </c>
      <c r="M118" s="638">
        <f t="shared" si="245"/>
        <v>0</v>
      </c>
      <c r="N118" s="638">
        <f t="shared" si="245"/>
        <v>0</v>
      </c>
      <c r="O118" s="638">
        <f t="shared" si="245"/>
        <v>0</v>
      </c>
      <c r="P118" s="638">
        <f t="shared" si="245"/>
        <v>0</v>
      </c>
      <c r="Q118" s="638">
        <f t="shared" si="245"/>
        <v>0</v>
      </c>
      <c r="R118" s="638">
        <f t="shared" si="257"/>
        <v>1</v>
      </c>
      <c r="S118" s="639">
        <v>0</v>
      </c>
      <c r="T118" s="639"/>
      <c r="U118" s="639"/>
      <c r="V118" s="639">
        <v>0</v>
      </c>
      <c r="W118" s="639">
        <v>0</v>
      </c>
      <c r="X118" s="616"/>
      <c r="Y118" s="696">
        <f t="shared" si="261"/>
        <v>0</v>
      </c>
      <c r="Z118" s="696">
        <f t="shared" si="258"/>
        <v>0</v>
      </c>
      <c r="AA118" s="696">
        <f t="shared" si="262"/>
        <v>0</v>
      </c>
      <c r="AB118" s="696">
        <f t="shared" si="262"/>
        <v>0</v>
      </c>
      <c r="AC118" s="696">
        <f t="shared" si="259"/>
        <v>0</v>
      </c>
      <c r="AD118" s="616"/>
      <c r="AE118" s="638">
        <f t="shared" si="263"/>
        <v>0</v>
      </c>
      <c r="AF118" s="638">
        <f t="shared" si="263"/>
        <v>0</v>
      </c>
      <c r="AG118" s="638">
        <f t="shared" si="263"/>
        <v>0</v>
      </c>
      <c r="AH118" s="638">
        <f t="shared" si="263"/>
        <v>0</v>
      </c>
      <c r="AI118" s="638">
        <f t="shared" si="263"/>
        <v>0</v>
      </c>
      <c r="AJ118" s="616"/>
      <c r="AK118" s="640">
        <f t="shared" si="252"/>
        <v>0</v>
      </c>
      <c r="AL118" s="640">
        <f t="shared" si="252"/>
        <v>0</v>
      </c>
      <c r="AM118" s="640">
        <f t="shared" si="252"/>
        <v>0</v>
      </c>
      <c r="AN118" s="640">
        <f t="shared" si="252"/>
        <v>0</v>
      </c>
      <c r="AO118" s="640">
        <f t="shared" si="252"/>
        <v>0</v>
      </c>
      <c r="AP118" s="616"/>
      <c r="AQ118" s="696">
        <f t="shared" si="264"/>
        <v>0</v>
      </c>
      <c r="AR118" s="696">
        <f t="shared" si="260"/>
        <v>0</v>
      </c>
      <c r="AS118" s="696">
        <f t="shared" si="265"/>
        <v>0</v>
      </c>
      <c r="AT118" s="696">
        <f t="shared" si="266"/>
        <v>0</v>
      </c>
      <c r="AU118" s="696">
        <f t="shared" si="267"/>
        <v>0</v>
      </c>
      <c r="AV118" s="696">
        <f>SUM(AQ118:AU118)-SUM(Y118:AC118)</f>
        <v>0</v>
      </c>
      <c r="AW118" s="703">
        <v>170</v>
      </c>
      <c r="AX118" s="704"/>
      <c r="AY118" s="704">
        <v>61.09</v>
      </c>
      <c r="AZ118" s="704">
        <v>23.76</v>
      </c>
      <c r="BA118" s="704"/>
      <c r="BB118" s="704"/>
      <c r="BC118" s="704"/>
      <c r="BD118" s="705">
        <f t="shared" si="254"/>
        <v>0.3800000000000001</v>
      </c>
      <c r="BE118" s="698"/>
      <c r="BF118" s="698">
        <f>ROUND((T118*$BE$2)+$BD118-AY118,2)</f>
        <v>-60.71</v>
      </c>
      <c r="BG118" s="698">
        <f>ROUND((U118*$BE$2)+$BD118-AZ118,2)</f>
        <v>-23.38</v>
      </c>
      <c r="BH118" s="698"/>
      <c r="BI118" s="698"/>
      <c r="BJ118" s="616"/>
      <c r="BK118" s="616"/>
      <c r="BL118" s="699">
        <f t="shared" si="248"/>
        <v>0</v>
      </c>
      <c r="BM118" s="699">
        <f t="shared" si="249"/>
        <v>0</v>
      </c>
      <c r="BN118" s="699">
        <f t="shared" si="255"/>
        <v>0</v>
      </c>
      <c r="BO118" s="699">
        <f t="shared" si="76"/>
        <v>0</v>
      </c>
      <c r="BP118" s="699">
        <f t="shared" si="77"/>
        <v>0</v>
      </c>
      <c r="BQ118" s="616"/>
      <c r="BR118" s="698">
        <f t="shared" si="256"/>
        <v>0</v>
      </c>
      <c r="BS118" s="698">
        <f t="shared" si="71"/>
        <v>-61.09</v>
      </c>
      <c r="BT118" s="698">
        <f t="shared" si="72"/>
        <v>-23.76</v>
      </c>
      <c r="BU118" s="698">
        <f t="shared" si="73"/>
        <v>0</v>
      </c>
      <c r="BV118" s="698">
        <f t="shared" si="74"/>
        <v>0</v>
      </c>
      <c r="BW118" s="616"/>
      <c r="BX118" s="616"/>
      <c r="BY118" s="616"/>
      <c r="BZ118" s="616"/>
      <c r="CA118" s="616"/>
      <c r="CB118" s="616"/>
      <c r="CC118" s="616"/>
      <c r="CD118" s="616"/>
      <c r="CG118" s="648"/>
      <c r="CH118" s="648"/>
      <c r="CI118" s="648"/>
      <c r="CO118" s="694"/>
      <c r="CP118" s="694"/>
      <c r="CQ118" s="694"/>
      <c r="CR118" s="694"/>
      <c r="CS118" s="694"/>
      <c r="CT118" s="694"/>
      <c r="DB118" s="694"/>
      <c r="DC118" s="694"/>
      <c r="DD118" s="694"/>
      <c r="DE118" s="694"/>
      <c r="DF118" s="694"/>
      <c r="DG118" s="694"/>
      <c r="DH118" s="694"/>
      <c r="DI118" s="694"/>
      <c r="DJ118" s="694"/>
      <c r="DK118" s="694"/>
      <c r="DL118" s="694"/>
    </row>
    <row r="119" spans="1:116" ht="12.75">
      <c r="A119" s="769"/>
      <c r="B119" s="541">
        <v>2</v>
      </c>
      <c r="C119" s="72" t="s">
        <v>123</v>
      </c>
      <c r="D119" s="585" t="s">
        <v>900</v>
      </c>
      <c r="E119" s="564">
        <v>0</v>
      </c>
      <c r="F119" s="73"/>
      <c r="G119" s="73" t="str">
        <f t="shared" si="143"/>
        <v>046165L</v>
      </c>
      <c r="I119" s="616" t="s">
        <v>133</v>
      </c>
      <c r="J119" s="616" t="s">
        <v>146</v>
      </c>
      <c r="K119" s="621">
        <v>55000</v>
      </c>
      <c r="L119" s="622">
        <v>819</v>
      </c>
      <c r="M119" s="638">
        <f t="shared" si="245"/>
        <v>0</v>
      </c>
      <c r="N119" s="638">
        <f t="shared" si="245"/>
        <v>0</v>
      </c>
      <c r="O119" s="638">
        <f t="shared" si="245"/>
        <v>0</v>
      </c>
      <c r="P119" s="638">
        <f t="shared" si="245"/>
        <v>0</v>
      </c>
      <c r="Q119" s="638">
        <f t="shared" si="245"/>
        <v>0</v>
      </c>
      <c r="R119" s="638">
        <f t="shared" si="257"/>
        <v>1</v>
      </c>
      <c r="S119" s="639">
        <v>0</v>
      </c>
      <c r="T119" s="639"/>
      <c r="U119" s="639">
        <v>0</v>
      </c>
      <c r="V119" s="639"/>
      <c r="W119" s="639">
        <v>0</v>
      </c>
      <c r="X119" s="616"/>
      <c r="Y119" s="696">
        <f t="shared" si="261"/>
        <v>0</v>
      </c>
      <c r="Z119" s="696">
        <f t="shared" si="258"/>
        <v>0</v>
      </c>
      <c r="AA119" s="696">
        <f t="shared" si="262"/>
        <v>0</v>
      </c>
      <c r="AB119" s="696">
        <f t="shared" si="262"/>
        <v>0</v>
      </c>
      <c r="AC119" s="696">
        <f t="shared" si="259"/>
        <v>0</v>
      </c>
      <c r="AD119" s="616"/>
      <c r="AE119" s="638">
        <f t="shared" si="263"/>
        <v>0</v>
      </c>
      <c r="AF119" s="638">
        <f t="shared" si="263"/>
        <v>0</v>
      </c>
      <c r="AG119" s="638">
        <f t="shared" si="263"/>
        <v>0</v>
      </c>
      <c r="AH119" s="638">
        <f t="shared" si="263"/>
        <v>0</v>
      </c>
      <c r="AI119" s="638">
        <f t="shared" si="263"/>
        <v>0</v>
      </c>
      <c r="AJ119" s="616"/>
      <c r="AK119" s="640">
        <f t="shared" si="252"/>
        <v>0</v>
      </c>
      <c r="AL119" s="640">
        <f t="shared" si="252"/>
        <v>0</v>
      </c>
      <c r="AM119" s="640">
        <f t="shared" si="252"/>
        <v>0</v>
      </c>
      <c r="AN119" s="640">
        <f t="shared" si="252"/>
        <v>0</v>
      </c>
      <c r="AO119" s="640">
        <f t="shared" si="252"/>
        <v>0</v>
      </c>
      <c r="AP119" s="616"/>
      <c r="AQ119" s="696">
        <f t="shared" si="264"/>
        <v>0</v>
      </c>
      <c r="AR119" s="696">
        <f t="shared" si="260"/>
        <v>0</v>
      </c>
      <c r="AS119" s="696">
        <f t="shared" si="265"/>
        <v>0</v>
      </c>
      <c r="AT119" s="696">
        <f t="shared" si="266"/>
        <v>0</v>
      </c>
      <c r="AU119" s="696">
        <f t="shared" si="267"/>
        <v>0</v>
      </c>
      <c r="AV119" s="696">
        <f>SUM(AQ119:AU119)-SUM(Y119:AC119)</f>
        <v>0</v>
      </c>
      <c r="AW119" s="703">
        <v>417</v>
      </c>
      <c r="AX119" s="704"/>
      <c r="AY119" s="704"/>
      <c r="AZ119" s="704"/>
      <c r="BA119" s="704">
        <v>28.89</v>
      </c>
      <c r="BB119" s="704"/>
      <c r="BC119" s="704"/>
      <c r="BD119" s="705">
        <f t="shared" si="254"/>
        <v>0.9199999999999999</v>
      </c>
      <c r="BE119" s="698"/>
      <c r="BF119" s="698"/>
      <c r="BG119" s="698"/>
      <c r="BH119" s="698">
        <f>ROUND((V119*$BE$2)+$BD119-BA119,2)</f>
        <v>-27.97</v>
      </c>
      <c r="BI119" s="698"/>
      <c r="BJ119" s="616"/>
      <c r="BK119" s="616"/>
      <c r="BL119" s="699">
        <f t="shared" si="248"/>
        <v>0</v>
      </c>
      <c r="BM119" s="699">
        <f t="shared" si="249"/>
        <v>0</v>
      </c>
      <c r="BN119" s="699">
        <f t="shared" si="255"/>
        <v>0</v>
      </c>
      <c r="BO119" s="699">
        <f t="shared" si="76"/>
        <v>0</v>
      </c>
      <c r="BP119" s="699">
        <f t="shared" si="77"/>
        <v>0</v>
      </c>
      <c r="BQ119" s="616"/>
      <c r="BR119" s="698">
        <f t="shared" si="256"/>
        <v>0</v>
      </c>
      <c r="BS119" s="698">
        <f t="shared" si="71"/>
        <v>0</v>
      </c>
      <c r="BT119" s="698">
        <f t="shared" si="72"/>
        <v>0</v>
      </c>
      <c r="BU119" s="698">
        <f t="shared" si="73"/>
        <v>-28.89</v>
      </c>
      <c r="BV119" s="698">
        <f t="shared" si="74"/>
        <v>0</v>
      </c>
      <c r="BW119" s="616"/>
      <c r="BX119" s="616"/>
      <c r="BY119" s="616"/>
      <c r="BZ119" s="616"/>
      <c r="CA119" s="616"/>
      <c r="CB119" s="616"/>
      <c r="CC119" s="616"/>
      <c r="CD119" s="616"/>
      <c r="CE119" s="616"/>
      <c r="CF119" s="616"/>
      <c r="CG119" s="616"/>
      <c r="CH119" s="616"/>
      <c r="CI119" s="616"/>
      <c r="CJ119" s="616"/>
      <c r="CK119" s="616"/>
      <c r="DF119" s="694"/>
      <c r="DG119" s="694"/>
      <c r="DH119" s="694"/>
      <c r="DI119" s="694"/>
      <c r="DJ119" s="694"/>
      <c r="DK119" s="694"/>
      <c r="DL119" s="694"/>
    </row>
    <row r="120" spans="1:122" ht="12.75">
      <c r="A120" s="769"/>
      <c r="B120" s="541">
        <v>2</v>
      </c>
      <c r="C120" s="72" t="s">
        <v>123</v>
      </c>
      <c r="D120" s="585" t="s">
        <v>902</v>
      </c>
      <c r="E120" s="564">
        <v>0</v>
      </c>
      <c r="F120" s="73"/>
      <c r="G120" s="73" t="str">
        <f t="shared" si="143"/>
        <v>046175L</v>
      </c>
      <c r="I120" s="616" t="s">
        <v>128</v>
      </c>
      <c r="J120" s="616" t="s">
        <v>136</v>
      </c>
      <c r="K120" s="621" t="s">
        <v>147</v>
      </c>
      <c r="L120" s="622">
        <v>836</v>
      </c>
      <c r="M120" s="638">
        <f t="shared" si="245"/>
        <v>0</v>
      </c>
      <c r="N120" s="638">
        <f t="shared" si="245"/>
        <v>0</v>
      </c>
      <c r="O120" s="638">
        <f t="shared" si="245"/>
        <v>0</v>
      </c>
      <c r="P120" s="638">
        <f t="shared" si="245"/>
        <v>0</v>
      </c>
      <c r="Q120" s="638">
        <f t="shared" si="245"/>
        <v>0</v>
      </c>
      <c r="R120" s="638">
        <f t="shared" si="257"/>
        <v>1</v>
      </c>
      <c r="S120" s="639">
        <v>0</v>
      </c>
      <c r="T120" s="639"/>
      <c r="U120" s="639">
        <v>0</v>
      </c>
      <c r="V120" s="639">
        <v>0</v>
      </c>
      <c r="W120" s="639">
        <v>0</v>
      </c>
      <c r="X120" s="616"/>
      <c r="Y120" s="696">
        <f t="shared" si="261"/>
        <v>0</v>
      </c>
      <c r="Z120" s="696">
        <f t="shared" si="258"/>
        <v>0</v>
      </c>
      <c r="AA120" s="696">
        <f t="shared" si="262"/>
        <v>0</v>
      </c>
      <c r="AB120" s="696">
        <f t="shared" si="262"/>
        <v>0</v>
      </c>
      <c r="AC120" s="696">
        <f t="shared" si="259"/>
        <v>0</v>
      </c>
      <c r="AD120" s="616"/>
      <c r="AE120" s="638">
        <f t="shared" si="263"/>
        <v>0</v>
      </c>
      <c r="AF120" s="638">
        <f t="shared" si="263"/>
        <v>0</v>
      </c>
      <c r="AG120" s="638">
        <f t="shared" si="263"/>
        <v>0</v>
      </c>
      <c r="AH120" s="638">
        <f t="shared" si="263"/>
        <v>0</v>
      </c>
      <c r="AI120" s="638">
        <f t="shared" si="263"/>
        <v>0</v>
      </c>
      <c r="AJ120" s="616"/>
      <c r="AK120" s="640">
        <f t="shared" si="252"/>
        <v>0</v>
      </c>
      <c r="AL120" s="640">
        <f t="shared" si="252"/>
        <v>0</v>
      </c>
      <c r="AM120" s="640">
        <f t="shared" si="252"/>
        <v>0</v>
      </c>
      <c r="AN120" s="640">
        <f t="shared" si="252"/>
        <v>0</v>
      </c>
      <c r="AO120" s="640">
        <f t="shared" si="252"/>
        <v>0</v>
      </c>
      <c r="AP120" s="616"/>
      <c r="AQ120" s="696">
        <f t="shared" si="264"/>
        <v>0</v>
      </c>
      <c r="AR120" s="696">
        <f t="shared" si="260"/>
        <v>0</v>
      </c>
      <c r="AS120" s="696">
        <f t="shared" si="265"/>
        <v>0</v>
      </c>
      <c r="AT120" s="696">
        <f t="shared" si="266"/>
        <v>0</v>
      </c>
      <c r="AU120" s="696">
        <f t="shared" si="267"/>
        <v>0</v>
      </c>
      <c r="AV120" s="696">
        <f>SUM(AQ120:AU120)-SUM(Y120:AC120)</f>
        <v>0</v>
      </c>
      <c r="AW120" s="703">
        <v>169</v>
      </c>
      <c r="AX120" s="704"/>
      <c r="AY120" s="704">
        <v>37.39</v>
      </c>
      <c r="AZ120" s="704"/>
      <c r="BA120" s="704"/>
      <c r="BB120" s="704"/>
      <c r="BC120" s="704"/>
      <c r="BD120" s="705">
        <f t="shared" si="254"/>
        <v>0.3799999999999999</v>
      </c>
      <c r="BE120" s="698"/>
      <c r="BF120" s="698">
        <f aca="true" t="shared" si="268" ref="BF120:BF128">ROUND((T120*$BE$2)+$BD120-AY120,2)</f>
        <v>-37.01</v>
      </c>
      <c r="BG120" s="698"/>
      <c r="BH120" s="698"/>
      <c r="BI120" s="698"/>
      <c r="BJ120" s="616"/>
      <c r="BK120" s="616"/>
      <c r="BL120" s="699">
        <f t="shared" si="248"/>
        <v>0</v>
      </c>
      <c r="BM120" s="699">
        <f t="shared" si="249"/>
        <v>0</v>
      </c>
      <c r="BN120" s="699">
        <f t="shared" si="255"/>
        <v>0</v>
      </c>
      <c r="BO120" s="699">
        <f t="shared" si="76"/>
        <v>0</v>
      </c>
      <c r="BP120" s="699">
        <f t="shared" si="77"/>
        <v>0</v>
      </c>
      <c r="BQ120" s="616"/>
      <c r="BR120" s="698">
        <f t="shared" si="256"/>
        <v>0</v>
      </c>
      <c r="BS120" s="54">
        <f t="shared" si="71"/>
        <v>-37.39</v>
      </c>
      <c r="BT120" s="54">
        <f t="shared" si="72"/>
        <v>0</v>
      </c>
      <c r="BU120" s="54">
        <f t="shared" si="73"/>
        <v>0</v>
      </c>
      <c r="BV120" s="54">
        <f t="shared" si="74"/>
        <v>0</v>
      </c>
      <c r="CU120" s="694"/>
      <c r="CV120" s="694"/>
      <c r="CW120" s="694"/>
      <c r="CX120" s="694"/>
      <c r="CY120" s="694"/>
      <c r="CZ120" s="694"/>
      <c r="DA120" s="694"/>
      <c r="DF120" s="694"/>
      <c r="DG120" s="694"/>
      <c r="DH120" s="694"/>
      <c r="DI120" s="694"/>
      <c r="DJ120" s="694"/>
      <c r="DK120" s="694"/>
      <c r="DL120" s="694"/>
      <c r="DM120" s="694"/>
      <c r="DN120" s="694"/>
      <c r="DO120" s="694"/>
      <c r="DP120" s="694"/>
      <c r="DQ120" s="694"/>
      <c r="DR120" s="694"/>
    </row>
    <row r="121" spans="1:122" ht="12.75">
      <c r="A121" s="769"/>
      <c r="B121" s="541">
        <v>2</v>
      </c>
      <c r="C121" s="72" t="s">
        <v>123</v>
      </c>
      <c r="D121" s="585" t="s">
        <v>904</v>
      </c>
      <c r="E121" s="564">
        <v>0</v>
      </c>
      <c r="F121" s="73"/>
      <c r="G121" s="73" t="str">
        <f t="shared" si="143"/>
        <v>046185L</v>
      </c>
      <c r="I121" s="435" t="s">
        <v>713</v>
      </c>
      <c r="J121" s="694" t="s">
        <v>851</v>
      </c>
      <c r="K121" s="580" t="s">
        <v>132</v>
      </c>
      <c r="L121" s="748" t="s">
        <v>849</v>
      </c>
      <c r="M121" s="581">
        <f aca="true" t="shared" si="269" ref="M121:Q130">SUMIF($G:$G,TEXT(M$3,"000")&amp;TEXT($L121,"000"),$E:$E)</f>
        <v>0</v>
      </c>
      <c r="N121" s="581">
        <f t="shared" si="269"/>
        <v>0</v>
      </c>
      <c r="O121" s="581">
        <f t="shared" si="269"/>
        <v>0</v>
      </c>
      <c r="P121" s="581">
        <f t="shared" si="269"/>
        <v>0</v>
      </c>
      <c r="Q121" s="581">
        <f t="shared" si="269"/>
        <v>0</v>
      </c>
      <c r="R121" s="581">
        <f t="shared" si="257"/>
        <v>1</v>
      </c>
      <c r="S121" s="620">
        <v>0</v>
      </c>
      <c r="T121" s="620">
        <v>27.03</v>
      </c>
      <c r="U121" s="620">
        <v>0</v>
      </c>
      <c r="V121" s="620"/>
      <c r="W121" s="620"/>
      <c r="X121" s="694"/>
      <c r="Y121" s="70">
        <f t="shared" si="261"/>
        <v>0</v>
      </c>
      <c r="Z121" s="70">
        <f t="shared" si="258"/>
        <v>0</v>
      </c>
      <c r="AA121" s="70">
        <f aca="true" t="shared" si="270" ref="AA121:AA122">IF(AND(O121&lt;&gt;0,U121=0),#VALUE!,O121*U121)</f>
        <v>0</v>
      </c>
      <c r="AB121" s="70">
        <f aca="true" t="shared" si="271" ref="AB121:AB122">IF(AND(P121&lt;&gt;0,V121=0),#VALUE!,P121*V121)</f>
        <v>0</v>
      </c>
      <c r="AC121" s="70">
        <f aca="true" t="shared" si="272" ref="AC121:AC122">IF(AND(Q121&lt;&gt;0,W121=0),#VALUE!,Q121*W121)</f>
        <v>0</v>
      </c>
      <c r="AD121" s="694"/>
      <c r="AE121" s="581">
        <f>SUMIF($G:$G,TEXT(AE$3,"000")&amp;TEXT($L121,"000"),$E:$E)</f>
        <v>0</v>
      </c>
      <c r="AF121" s="581">
        <f>SUMIF($G:$G,TEXT(AF$3,"000")&amp;TEXT($L121,"000"),$E:$E)</f>
        <v>0</v>
      </c>
      <c r="AG121" s="581">
        <f>SUMIF($G:$G,TEXT(AG$3,"000")&amp;TEXT($L121,"000"),$E:$E)</f>
        <v>0</v>
      </c>
      <c r="AH121" s="581">
        <f>SUMIF($G:$G,TEXT(AH$3,"000")&amp;TEXT($L121,"000"),$E:$E)</f>
        <v>0</v>
      </c>
      <c r="AI121" s="581">
        <f>SUMIF($G:$G,TEXT(AI$3,"000")&amp;TEXT($L121,"000"),$E:$E)</f>
        <v>0</v>
      </c>
      <c r="AJ121" s="694"/>
      <c r="AK121" s="586">
        <f aca="true" t="shared" si="273" ref="AK121:AK131">ROUND(S121*(1+AK$1),2)</f>
        <v>0</v>
      </c>
      <c r="AL121" s="586">
        <f>ROUND(T121*(1+AL$1),2)</f>
        <v>27.03</v>
      </c>
      <c r="AM121" s="586">
        <f aca="true" t="shared" si="274" ref="AM121:AM131">ROUND(U121*(1+AM$1),2)</f>
        <v>0</v>
      </c>
      <c r="AN121" s="586">
        <f aca="true" t="shared" si="275" ref="AN121:AN131">ROUND(V121*(1+AN$1),2)</f>
        <v>0</v>
      </c>
      <c r="AO121" s="586">
        <f aca="true" t="shared" si="276" ref="AO121:AO131">ROUND(W121*(1+AO$1),2)</f>
        <v>0</v>
      </c>
      <c r="AP121" s="694"/>
      <c r="AQ121" s="70">
        <f t="shared" si="264"/>
        <v>0</v>
      </c>
      <c r="AR121" s="70">
        <f t="shared" si="260"/>
        <v>0</v>
      </c>
      <c r="AS121" s="70">
        <f t="shared" si="265"/>
        <v>0</v>
      </c>
      <c r="AT121" s="70">
        <f t="shared" si="266"/>
        <v>0</v>
      </c>
      <c r="AU121" s="70">
        <f t="shared" si="267"/>
        <v>0</v>
      </c>
      <c r="AV121" s="694"/>
      <c r="AW121" s="593">
        <v>26</v>
      </c>
      <c r="AX121" s="583"/>
      <c r="AY121" s="583">
        <v>27.49</v>
      </c>
      <c r="AZ121" s="583"/>
      <c r="BA121" s="583"/>
      <c r="BB121" s="583"/>
      <c r="BC121" s="583"/>
      <c r="BD121" s="589">
        <f t="shared" si="254"/>
        <v>0.06</v>
      </c>
      <c r="BE121" s="579"/>
      <c r="BF121" s="579">
        <f t="shared" si="268"/>
        <v>0.01</v>
      </c>
      <c r="BG121" s="579"/>
      <c r="BH121" s="579"/>
      <c r="BI121" s="579"/>
      <c r="BJ121" s="694"/>
      <c r="BK121" s="694"/>
      <c r="BL121" s="587">
        <f t="shared" si="248"/>
        <v>0</v>
      </c>
      <c r="BM121" s="587">
        <f t="shared" si="249"/>
        <v>27.438153</v>
      </c>
      <c r="BN121" s="587">
        <f t="shared" si="255"/>
        <v>0</v>
      </c>
      <c r="BO121" s="587">
        <f t="shared" si="76"/>
        <v>0</v>
      </c>
      <c r="BP121" s="587">
        <f t="shared" si="77"/>
        <v>0</v>
      </c>
      <c r="BQ121" s="694"/>
      <c r="BR121" s="579">
        <f t="shared" si="256"/>
        <v>0</v>
      </c>
      <c r="BS121" s="579">
        <f t="shared" si="71"/>
        <v>-0.051846999999998644</v>
      </c>
      <c r="BT121" s="579">
        <f t="shared" si="72"/>
        <v>0</v>
      </c>
      <c r="BU121" s="579">
        <f t="shared" si="73"/>
        <v>0</v>
      </c>
      <c r="BV121" s="579">
        <f t="shared" si="74"/>
        <v>0</v>
      </c>
      <c r="BW121" s="694"/>
      <c r="BX121" s="694"/>
      <c r="BY121" s="694"/>
      <c r="BZ121" s="694"/>
      <c r="CA121" s="694"/>
      <c r="CB121" s="694"/>
      <c r="CC121" s="694"/>
      <c r="CD121" s="694"/>
      <c r="CE121" s="694"/>
      <c r="CF121" s="694"/>
      <c r="CG121" s="694"/>
      <c r="CH121" s="694"/>
      <c r="CI121" s="694"/>
      <c r="CJ121" s="694"/>
      <c r="CK121" s="694"/>
      <c r="CL121" s="694"/>
      <c r="CM121" s="694"/>
      <c r="CN121" s="694"/>
      <c r="CO121" s="694"/>
      <c r="CP121" s="694"/>
      <c r="CQ121" s="694"/>
      <c r="CR121" s="694"/>
      <c r="CS121" s="694"/>
      <c r="CT121" s="694"/>
      <c r="CU121" s="694"/>
      <c r="CV121" s="694"/>
      <c r="CW121" s="694"/>
      <c r="CX121" s="694"/>
      <c r="CY121" s="694"/>
      <c r="CZ121" s="694"/>
      <c r="DA121" s="694"/>
      <c r="DB121" s="694"/>
      <c r="DC121" s="694"/>
      <c r="DD121" s="694"/>
      <c r="DE121" s="694"/>
      <c r="DF121" s="694"/>
      <c r="DG121" s="694"/>
      <c r="DH121" s="694"/>
      <c r="DI121" s="694"/>
      <c r="DJ121" s="694"/>
      <c r="DK121" s="694"/>
      <c r="DL121" s="694"/>
      <c r="DM121" s="694"/>
      <c r="DN121" s="694"/>
      <c r="DO121" s="694"/>
      <c r="DP121" s="694"/>
      <c r="DQ121" s="694"/>
      <c r="DR121" s="694"/>
    </row>
    <row r="122" spans="1:122" ht="12.75">
      <c r="A122" s="769"/>
      <c r="B122" s="541">
        <v>2</v>
      </c>
      <c r="C122" s="72" t="s">
        <v>123</v>
      </c>
      <c r="D122" s="585" t="s">
        <v>906</v>
      </c>
      <c r="E122" s="564">
        <v>0</v>
      </c>
      <c r="F122" s="73"/>
      <c r="G122" s="73" t="str">
        <f t="shared" si="143"/>
        <v>046195L</v>
      </c>
      <c r="I122" s="694" t="s">
        <v>713</v>
      </c>
      <c r="J122" s="694" t="s">
        <v>852</v>
      </c>
      <c r="K122" s="580" t="s">
        <v>615</v>
      </c>
      <c r="L122" s="748" t="s">
        <v>850</v>
      </c>
      <c r="M122" s="581">
        <f t="shared" si="269"/>
        <v>0</v>
      </c>
      <c r="N122" s="581">
        <f t="shared" si="269"/>
        <v>0</v>
      </c>
      <c r="O122" s="581">
        <f t="shared" si="269"/>
        <v>0</v>
      </c>
      <c r="P122" s="581">
        <f t="shared" si="269"/>
        <v>0</v>
      </c>
      <c r="Q122" s="581">
        <f t="shared" si="269"/>
        <v>0</v>
      </c>
      <c r="R122" s="581">
        <f t="shared" si="257"/>
        <v>1</v>
      </c>
      <c r="S122" s="620">
        <v>0</v>
      </c>
      <c r="T122" s="620">
        <v>29.78</v>
      </c>
      <c r="U122" s="620"/>
      <c r="V122" s="620">
        <v>0</v>
      </c>
      <c r="W122" s="620">
        <v>0</v>
      </c>
      <c r="X122" s="694"/>
      <c r="Y122" s="70">
        <f t="shared" si="261"/>
        <v>0</v>
      </c>
      <c r="Z122" s="70">
        <f t="shared" si="258"/>
        <v>0</v>
      </c>
      <c r="AA122" s="70">
        <f t="shared" si="270"/>
        <v>0</v>
      </c>
      <c r="AB122" s="70">
        <f t="shared" si="271"/>
        <v>0</v>
      </c>
      <c r="AC122" s="70">
        <f t="shared" si="272"/>
        <v>0</v>
      </c>
      <c r="AD122" s="694"/>
      <c r="AE122" s="581">
        <f>M122</f>
        <v>0</v>
      </c>
      <c r="AF122" s="581">
        <f>N122</f>
        <v>0</v>
      </c>
      <c r="AG122" s="581">
        <f>O122</f>
        <v>0</v>
      </c>
      <c r="AH122" s="581">
        <f>P122</f>
        <v>0</v>
      </c>
      <c r="AI122" s="581">
        <f>Q122</f>
        <v>0</v>
      </c>
      <c r="AJ122" s="694"/>
      <c r="AK122" s="586">
        <f t="shared" si="273"/>
        <v>0</v>
      </c>
      <c r="AL122" s="586">
        <f>ROUND(T122*(1+AL$1),2)</f>
        <v>29.78</v>
      </c>
      <c r="AM122" s="586">
        <f t="shared" si="274"/>
        <v>0</v>
      </c>
      <c r="AN122" s="586">
        <f t="shared" si="275"/>
        <v>0</v>
      </c>
      <c r="AO122" s="586">
        <f t="shared" si="276"/>
        <v>0</v>
      </c>
      <c r="AP122" s="694"/>
      <c r="AQ122" s="70">
        <f t="shared" si="264"/>
        <v>0</v>
      </c>
      <c r="AR122" s="70">
        <f t="shared" si="260"/>
        <v>0</v>
      </c>
      <c r="AS122" s="70">
        <f t="shared" si="265"/>
        <v>0</v>
      </c>
      <c r="AT122" s="70">
        <f t="shared" si="266"/>
        <v>0</v>
      </c>
      <c r="AU122" s="70">
        <f t="shared" si="267"/>
        <v>0</v>
      </c>
      <c r="AV122" s="70">
        <f>SUM(AQ122:AU122)-SUM(Y122:AC122)</f>
        <v>0</v>
      </c>
      <c r="AW122" s="593">
        <v>39</v>
      </c>
      <c r="AX122" s="583"/>
      <c r="AY122" s="583">
        <v>30.31</v>
      </c>
      <c r="AZ122" s="583"/>
      <c r="BA122" s="583"/>
      <c r="BB122" s="583"/>
      <c r="BC122" s="583"/>
      <c r="BD122" s="589">
        <f t="shared" si="254"/>
        <v>0.08000000000000002</v>
      </c>
      <c r="BE122" s="579"/>
      <c r="BF122" s="579">
        <f t="shared" si="268"/>
        <v>0</v>
      </c>
      <c r="BG122" s="579"/>
      <c r="BH122" s="579"/>
      <c r="BI122" s="579"/>
      <c r="BJ122" s="694"/>
      <c r="BK122" s="694"/>
      <c r="BL122" s="587">
        <f t="shared" si="248"/>
        <v>0</v>
      </c>
      <c r="BM122" s="587">
        <f t="shared" si="249"/>
        <v>30.229677999999996</v>
      </c>
      <c r="BN122" s="587">
        <f t="shared" si="255"/>
        <v>0</v>
      </c>
      <c r="BO122" s="587">
        <f t="shared" si="76"/>
        <v>0</v>
      </c>
      <c r="BP122" s="587">
        <f t="shared" si="77"/>
        <v>0</v>
      </c>
      <c r="BQ122" s="694"/>
      <c r="BR122" s="579">
        <f t="shared" si="256"/>
        <v>0</v>
      </c>
      <c r="BS122" s="579">
        <f t="shared" si="71"/>
        <v>-0.08032200000000245</v>
      </c>
      <c r="BT122" s="579">
        <f t="shared" si="72"/>
        <v>0</v>
      </c>
      <c r="BU122" s="579">
        <f t="shared" si="73"/>
        <v>0</v>
      </c>
      <c r="BV122" s="579">
        <f t="shared" si="74"/>
        <v>0</v>
      </c>
      <c r="BW122" s="694"/>
      <c r="BX122" s="694"/>
      <c r="BY122" s="694"/>
      <c r="BZ122" s="694"/>
      <c r="CA122" s="694"/>
      <c r="CB122" s="694"/>
      <c r="CC122" s="694"/>
      <c r="CD122" s="694"/>
      <c r="CE122" s="694"/>
      <c r="CF122" s="694"/>
      <c r="CG122" s="694"/>
      <c r="CH122" s="694"/>
      <c r="CI122" s="694"/>
      <c r="CJ122" s="694"/>
      <c r="CK122" s="694"/>
      <c r="CL122" s="694"/>
      <c r="CM122" s="694"/>
      <c r="CN122" s="694"/>
      <c r="CO122" s="694"/>
      <c r="CP122" s="694"/>
      <c r="CQ122" s="694"/>
      <c r="CR122" s="694"/>
      <c r="CS122" s="694"/>
      <c r="CT122" s="694"/>
      <c r="DB122" s="694"/>
      <c r="DC122" s="694"/>
      <c r="DD122" s="694"/>
      <c r="DE122" s="694"/>
      <c r="DF122" s="694"/>
      <c r="DG122" s="694"/>
      <c r="DH122" s="694"/>
      <c r="DI122" s="694"/>
      <c r="DJ122" s="694"/>
      <c r="DK122" s="694"/>
      <c r="DL122" s="694"/>
      <c r="DM122" s="694"/>
      <c r="DN122" s="694"/>
      <c r="DO122" s="694"/>
      <c r="DP122" s="694"/>
      <c r="DQ122" s="694"/>
      <c r="DR122" s="694"/>
    </row>
    <row r="123" spans="1:122" ht="12.75">
      <c r="A123" s="769"/>
      <c r="B123" s="541">
        <v>2</v>
      </c>
      <c r="C123" s="72" t="s">
        <v>123</v>
      </c>
      <c r="D123" s="585" t="s">
        <v>908</v>
      </c>
      <c r="E123" s="564">
        <v>0</v>
      </c>
      <c r="F123" s="73"/>
      <c r="G123" s="73" t="str">
        <f t="shared" si="143"/>
        <v>046212L</v>
      </c>
      <c r="I123" s="435" t="s">
        <v>713</v>
      </c>
      <c r="J123" s="694" t="s">
        <v>848</v>
      </c>
      <c r="K123" s="580" t="s">
        <v>132</v>
      </c>
      <c r="L123" s="582" t="s">
        <v>592</v>
      </c>
      <c r="M123" s="581">
        <f t="shared" si="269"/>
        <v>0</v>
      </c>
      <c r="N123" s="581">
        <f t="shared" si="269"/>
        <v>0</v>
      </c>
      <c r="O123" s="581">
        <f t="shared" si="269"/>
        <v>0</v>
      </c>
      <c r="P123" s="581">
        <f t="shared" si="269"/>
        <v>0</v>
      </c>
      <c r="Q123" s="581">
        <f t="shared" si="269"/>
        <v>0</v>
      </c>
      <c r="R123" s="581">
        <f t="shared" si="257"/>
        <v>1</v>
      </c>
      <c r="S123" s="620">
        <v>0</v>
      </c>
      <c r="T123" s="650">
        <f>T34</f>
        <v>0</v>
      </c>
      <c r="U123" s="620">
        <v>0</v>
      </c>
      <c r="V123" s="620"/>
      <c r="W123" s="620"/>
      <c r="X123" s="649"/>
      <c r="Y123" s="70">
        <f t="shared" si="261"/>
        <v>0</v>
      </c>
      <c r="Z123" s="70">
        <f t="shared" si="258"/>
        <v>0</v>
      </c>
      <c r="AA123" s="70">
        <f aca="true" t="shared" si="277" ref="AA123:AC124">IF(AND(O123&lt;&gt;0,U123=0),#VALUE!,O123*U123)</f>
        <v>0</v>
      </c>
      <c r="AB123" s="70">
        <f t="shared" si="277"/>
        <v>0</v>
      </c>
      <c r="AC123" s="70">
        <f t="shared" si="277"/>
        <v>0</v>
      </c>
      <c r="AD123" s="649"/>
      <c r="AE123" s="581">
        <f>SUMIF($G:$G,TEXT(AE$3,"000")&amp;TEXT($L123,"000"),$E:$E)</f>
        <v>0</v>
      </c>
      <c r="AF123" s="581">
        <f>SUMIF($G:$G,TEXT(AF$3,"000")&amp;TEXT($L123,"000"),$E:$E)</f>
        <v>0</v>
      </c>
      <c r="AG123" s="581">
        <f>SUMIF($G:$G,TEXT(AG$3,"000")&amp;TEXT($L123,"000"),$E:$E)</f>
        <v>0</v>
      </c>
      <c r="AH123" s="581">
        <f>SUMIF($G:$G,TEXT(AH$3,"000")&amp;TEXT($L123,"000"),$E:$E)</f>
        <v>0</v>
      </c>
      <c r="AI123" s="581">
        <f>SUMIF($G:$G,TEXT(AI$3,"000")&amp;TEXT($L123,"000"),$E:$E)</f>
        <v>0</v>
      </c>
      <c r="AJ123" s="649"/>
      <c r="AK123" s="586">
        <f t="shared" si="273"/>
        <v>0</v>
      </c>
      <c r="AL123" s="586">
        <f>AL34</f>
        <v>0</v>
      </c>
      <c r="AM123" s="586">
        <f t="shared" si="274"/>
        <v>0</v>
      </c>
      <c r="AN123" s="586">
        <f t="shared" si="275"/>
        <v>0</v>
      </c>
      <c r="AO123" s="586">
        <f t="shared" si="276"/>
        <v>0</v>
      </c>
      <c r="AP123" s="649"/>
      <c r="AQ123" s="70">
        <f t="shared" si="264"/>
        <v>0</v>
      </c>
      <c r="AR123" s="70">
        <f t="shared" si="260"/>
        <v>0</v>
      </c>
      <c r="AS123" s="70">
        <f t="shared" si="265"/>
        <v>0</v>
      </c>
      <c r="AT123" s="70">
        <f t="shared" si="266"/>
        <v>0</v>
      </c>
      <c r="AU123" s="70">
        <f t="shared" si="267"/>
        <v>0</v>
      </c>
      <c r="AV123" s="649"/>
      <c r="AW123" s="593">
        <v>26</v>
      </c>
      <c r="AX123" s="583"/>
      <c r="AY123" s="583"/>
      <c r="AZ123" s="583"/>
      <c r="BA123" s="583"/>
      <c r="BB123" s="583"/>
      <c r="BC123" s="583"/>
      <c r="BD123" s="589">
        <f t="shared" si="254"/>
        <v>0.06</v>
      </c>
      <c r="BE123" s="579"/>
      <c r="BF123" s="579">
        <f t="shared" si="268"/>
        <v>0.06</v>
      </c>
      <c r="BG123" s="579"/>
      <c r="BH123" s="579"/>
      <c r="BI123" s="579"/>
      <c r="BJ123" s="649"/>
      <c r="BK123" s="649"/>
      <c r="BL123" s="587">
        <f t="shared" si="248"/>
        <v>0</v>
      </c>
      <c r="BM123" s="587">
        <f t="shared" si="249"/>
        <v>0</v>
      </c>
      <c r="BN123" s="587">
        <f t="shared" si="255"/>
        <v>0</v>
      </c>
      <c r="BO123" s="587">
        <f t="shared" si="76"/>
        <v>0</v>
      </c>
      <c r="BP123" s="587">
        <f t="shared" si="77"/>
        <v>0</v>
      </c>
      <c r="BQ123" s="649"/>
      <c r="BR123" s="579">
        <f t="shared" si="256"/>
        <v>0</v>
      </c>
      <c r="BS123" s="579">
        <f t="shared" si="71"/>
        <v>0</v>
      </c>
      <c r="BT123" s="579">
        <f t="shared" si="72"/>
        <v>0</v>
      </c>
      <c r="BU123" s="579">
        <f t="shared" si="73"/>
        <v>0</v>
      </c>
      <c r="BV123" s="579">
        <f t="shared" si="74"/>
        <v>0</v>
      </c>
      <c r="BW123" s="649"/>
      <c r="BX123" s="649"/>
      <c r="BY123" s="649"/>
      <c r="BZ123" s="649"/>
      <c r="CA123" s="649"/>
      <c r="CB123" s="649"/>
      <c r="CC123" s="649"/>
      <c r="CD123" s="649"/>
      <c r="CE123" s="649"/>
      <c r="CF123" s="649"/>
      <c r="CG123" s="649"/>
      <c r="CH123" s="649"/>
      <c r="CI123" s="649"/>
      <c r="CJ123" s="649"/>
      <c r="CK123" s="649"/>
      <c r="CL123" s="649"/>
      <c r="CM123" s="649"/>
      <c r="CN123" s="649"/>
      <c r="CO123" s="649"/>
      <c r="DM123" s="694"/>
      <c r="DN123" s="694"/>
      <c r="DO123" s="694"/>
      <c r="DP123" s="694"/>
      <c r="DQ123" s="694"/>
      <c r="DR123" s="694"/>
    </row>
    <row r="124" spans="1:122" ht="12.75">
      <c r="A124" s="769"/>
      <c r="B124" s="541">
        <v>2</v>
      </c>
      <c r="C124" s="72" t="s">
        <v>123</v>
      </c>
      <c r="D124" s="585" t="s">
        <v>910</v>
      </c>
      <c r="E124" s="564">
        <v>30</v>
      </c>
      <c r="F124" s="73"/>
      <c r="G124" s="73" t="str">
        <f t="shared" si="143"/>
        <v>046237L</v>
      </c>
      <c r="I124" s="648" t="s">
        <v>713</v>
      </c>
      <c r="J124" s="694" t="s">
        <v>848</v>
      </c>
      <c r="K124" s="580" t="s">
        <v>132</v>
      </c>
      <c r="L124" s="582" t="s">
        <v>704</v>
      </c>
      <c r="M124" s="581">
        <f t="shared" si="269"/>
        <v>0</v>
      </c>
      <c r="N124" s="581">
        <f t="shared" si="269"/>
        <v>0</v>
      </c>
      <c r="O124" s="581">
        <f t="shared" si="269"/>
        <v>0</v>
      </c>
      <c r="P124" s="581">
        <f t="shared" si="269"/>
        <v>0</v>
      </c>
      <c r="Q124" s="581">
        <f t="shared" si="269"/>
        <v>0</v>
      </c>
      <c r="R124" s="581">
        <f t="shared" si="257"/>
        <v>1</v>
      </c>
      <c r="S124" s="620">
        <v>0</v>
      </c>
      <c r="T124" s="650"/>
      <c r="U124" s="620"/>
      <c r="V124" s="620">
        <v>0</v>
      </c>
      <c r="W124" s="620">
        <v>0</v>
      </c>
      <c r="X124" s="648"/>
      <c r="Y124" s="70">
        <f t="shared" si="261"/>
        <v>0</v>
      </c>
      <c r="Z124" s="70">
        <f t="shared" si="258"/>
        <v>0</v>
      </c>
      <c r="AA124" s="70">
        <f t="shared" si="277"/>
        <v>0</v>
      </c>
      <c r="AB124" s="70">
        <f t="shared" si="277"/>
        <v>0</v>
      </c>
      <c r="AC124" s="70">
        <f t="shared" si="277"/>
        <v>0</v>
      </c>
      <c r="AD124" s="648"/>
      <c r="AE124" s="581">
        <f>M124</f>
        <v>0</v>
      </c>
      <c r="AF124" s="581">
        <f>N124</f>
        <v>0</v>
      </c>
      <c r="AG124" s="581">
        <f>O124</f>
        <v>0</v>
      </c>
      <c r="AH124" s="581">
        <f>P124</f>
        <v>0</v>
      </c>
      <c r="AI124" s="581">
        <f>Q124</f>
        <v>0</v>
      </c>
      <c r="AJ124" s="648"/>
      <c r="AK124" s="586">
        <f t="shared" si="273"/>
        <v>0</v>
      </c>
      <c r="AL124" s="586"/>
      <c r="AM124" s="586">
        <f t="shared" si="274"/>
        <v>0</v>
      </c>
      <c r="AN124" s="586">
        <f t="shared" si="275"/>
        <v>0</v>
      </c>
      <c r="AO124" s="586">
        <f t="shared" si="276"/>
        <v>0</v>
      </c>
      <c r="AP124" s="648"/>
      <c r="AQ124" s="70">
        <f t="shared" si="264"/>
        <v>0</v>
      </c>
      <c r="AR124" s="70">
        <f t="shared" si="260"/>
        <v>0</v>
      </c>
      <c r="AS124" s="70">
        <f t="shared" si="265"/>
        <v>0</v>
      </c>
      <c r="AT124" s="70">
        <f t="shared" si="266"/>
        <v>0</v>
      </c>
      <c r="AU124" s="70">
        <f t="shared" si="267"/>
        <v>0</v>
      </c>
      <c r="AV124" s="70">
        <f>SUM(AQ124:AU124)-SUM(Y124:AC124)</f>
        <v>0</v>
      </c>
      <c r="AW124" s="593">
        <v>26</v>
      </c>
      <c r="AX124" s="583"/>
      <c r="AY124" s="583"/>
      <c r="AZ124" s="583"/>
      <c r="BA124" s="583"/>
      <c r="BB124" s="583"/>
      <c r="BC124" s="583"/>
      <c r="BD124" s="589">
        <f t="shared" si="254"/>
        <v>0.06</v>
      </c>
      <c r="BE124" s="579"/>
      <c r="BF124" s="579">
        <f t="shared" si="268"/>
        <v>0.06</v>
      </c>
      <c r="BG124" s="579"/>
      <c r="BH124" s="579"/>
      <c r="BI124" s="579"/>
      <c r="BJ124" s="648"/>
      <c r="BK124" s="648"/>
      <c r="BL124" s="587">
        <f t="shared" si="248"/>
        <v>0</v>
      </c>
      <c r="BM124" s="587">
        <f t="shared" si="249"/>
        <v>0</v>
      </c>
      <c r="BN124" s="587">
        <f t="shared" si="255"/>
        <v>0</v>
      </c>
      <c r="BO124" s="587">
        <f t="shared" si="76"/>
        <v>0</v>
      </c>
      <c r="BP124" s="587">
        <f t="shared" si="77"/>
        <v>0</v>
      </c>
      <c r="BQ124" s="648"/>
      <c r="BR124" s="579">
        <f t="shared" si="256"/>
        <v>0</v>
      </c>
      <c r="BS124" s="579">
        <f t="shared" si="71"/>
        <v>0</v>
      </c>
      <c r="BT124" s="579">
        <f t="shared" si="72"/>
        <v>0</v>
      </c>
      <c r="BU124" s="579">
        <f t="shared" si="73"/>
        <v>0</v>
      </c>
      <c r="BV124" s="579">
        <f t="shared" si="74"/>
        <v>0</v>
      </c>
      <c r="BW124" s="648"/>
      <c r="BX124" s="648"/>
      <c r="BY124" s="648"/>
      <c r="BZ124" s="648"/>
      <c r="CA124" s="648"/>
      <c r="CB124" s="648"/>
      <c r="CC124" s="648"/>
      <c r="CD124" s="648"/>
      <c r="CE124" s="648"/>
      <c r="CF124" s="648"/>
      <c r="CG124" s="648"/>
      <c r="CH124" s="648"/>
      <c r="CI124" s="648"/>
      <c r="CJ124" s="648"/>
      <c r="DM124" s="694"/>
      <c r="DN124" s="694"/>
      <c r="DO124" s="694"/>
      <c r="DP124" s="694"/>
      <c r="DQ124" s="694"/>
      <c r="DR124" s="694"/>
    </row>
    <row r="125" spans="1:85" ht="12.75">
      <c r="A125" s="769"/>
      <c r="B125" s="541">
        <v>2</v>
      </c>
      <c r="C125" s="72" t="s">
        <v>123</v>
      </c>
      <c r="D125" s="541">
        <v>335</v>
      </c>
      <c r="E125" s="564">
        <v>8</v>
      </c>
      <c r="F125" s="73"/>
      <c r="G125" s="73" t="str">
        <f aca="true" t="shared" si="278" ref="G125">IF(OR(ISBLANK(C125),ISBLANK(D125)),"",TEXT(C125,"000")&amp;TEXT(D125,"000"))</f>
        <v>046335</v>
      </c>
      <c r="I125" s="435" t="s">
        <v>713</v>
      </c>
      <c r="J125" s="694" t="s">
        <v>847</v>
      </c>
      <c r="K125" s="580" t="s">
        <v>615</v>
      </c>
      <c r="L125" s="582" t="s">
        <v>606</v>
      </c>
      <c r="M125" s="581">
        <f t="shared" si="269"/>
        <v>0</v>
      </c>
      <c r="N125" s="581">
        <f t="shared" si="269"/>
        <v>0</v>
      </c>
      <c r="O125" s="581">
        <f t="shared" si="269"/>
        <v>0</v>
      </c>
      <c r="P125" s="581">
        <f t="shared" si="269"/>
        <v>0</v>
      </c>
      <c r="Q125" s="581">
        <f t="shared" si="269"/>
        <v>0</v>
      </c>
      <c r="R125" s="581">
        <f t="shared" si="257"/>
        <v>1</v>
      </c>
      <c r="S125" s="620">
        <v>0</v>
      </c>
      <c r="T125" s="650"/>
      <c r="U125" s="620">
        <v>0</v>
      </c>
      <c r="V125" s="620">
        <v>0</v>
      </c>
      <c r="W125" s="620"/>
      <c r="X125" s="578"/>
      <c r="Y125" s="70">
        <f aca="true" t="shared" si="279" ref="Y125:AC126">IF(AND(M125&lt;&gt;0,S125=0),#VALUE!,M125*S125)</f>
        <v>0</v>
      </c>
      <c r="Z125" s="70">
        <f t="shared" si="279"/>
        <v>0</v>
      </c>
      <c r="AA125" s="70">
        <f t="shared" si="279"/>
        <v>0</v>
      </c>
      <c r="AB125" s="70">
        <f t="shared" si="279"/>
        <v>0</v>
      </c>
      <c r="AC125" s="70">
        <f t="shared" si="279"/>
        <v>0</v>
      </c>
      <c r="AD125" s="578"/>
      <c r="AE125" s="581">
        <f>SUMIF($G:$G,TEXT(AE$3,"000")&amp;TEXT($L125,"000"),$E:$E)</f>
        <v>0</v>
      </c>
      <c r="AF125" s="581">
        <f>SUMIF($G:$G,TEXT(AF$3,"000")&amp;TEXT($L125,"000"),$E:$E)</f>
        <v>0</v>
      </c>
      <c r="AG125" s="581">
        <f>SUMIF($G:$G,TEXT(AG$3,"000")&amp;TEXT($L125,"000"),$E:$E)</f>
        <v>0</v>
      </c>
      <c r="AH125" s="581">
        <f>SUMIF($G:$G,TEXT(AH$3,"000")&amp;TEXT($L125,"000"),$E:$E)</f>
        <v>0</v>
      </c>
      <c r="AI125" s="581">
        <f>SUMIF($G:$G,TEXT(AI$3,"000")&amp;TEXT($L125,"000"),$E:$E)</f>
        <v>0</v>
      </c>
      <c r="AJ125" s="578"/>
      <c r="AK125" s="586">
        <f t="shared" si="273"/>
        <v>0</v>
      </c>
      <c r="AL125" s="586">
        <f>AL62</f>
        <v>34.98</v>
      </c>
      <c r="AM125" s="586">
        <f t="shared" si="274"/>
        <v>0</v>
      </c>
      <c r="AN125" s="586">
        <f t="shared" si="275"/>
        <v>0</v>
      </c>
      <c r="AO125" s="586">
        <f t="shared" si="276"/>
        <v>0</v>
      </c>
      <c r="AP125" s="578"/>
      <c r="AQ125" s="70">
        <f t="shared" si="264"/>
        <v>0</v>
      </c>
      <c r="AR125" s="70">
        <f t="shared" si="260"/>
        <v>0</v>
      </c>
      <c r="AS125" s="70">
        <f t="shared" si="265"/>
        <v>0</v>
      </c>
      <c r="AT125" s="70">
        <f t="shared" si="266"/>
        <v>0</v>
      </c>
      <c r="AU125" s="70">
        <f t="shared" si="267"/>
        <v>0</v>
      </c>
      <c r="AV125" s="578"/>
      <c r="AW125" s="593">
        <v>39</v>
      </c>
      <c r="AX125" s="583"/>
      <c r="AY125" s="583"/>
      <c r="AZ125" s="583"/>
      <c r="BA125" s="583"/>
      <c r="BB125" s="583"/>
      <c r="BC125" s="583"/>
      <c r="BD125" s="589">
        <f t="shared" si="254"/>
        <v>0.08000000000000002</v>
      </c>
      <c r="BE125" s="579"/>
      <c r="BF125" s="579">
        <f t="shared" si="268"/>
        <v>0.08</v>
      </c>
      <c r="BG125" s="579"/>
      <c r="BH125" s="579"/>
      <c r="BI125" s="579"/>
      <c r="BJ125" s="578"/>
      <c r="BK125" s="578"/>
      <c r="BL125" s="587">
        <f t="shared" si="248"/>
        <v>0</v>
      </c>
      <c r="BM125" s="587">
        <f t="shared" si="249"/>
        <v>35.50819799999999</v>
      </c>
      <c r="BN125" s="587">
        <f aca="true" t="shared" si="280" ref="BN125:BP126">AM125*$BL$1</f>
        <v>0</v>
      </c>
      <c r="BO125" s="587">
        <f t="shared" si="280"/>
        <v>0</v>
      </c>
      <c r="BP125" s="587">
        <f t="shared" si="280"/>
        <v>0</v>
      </c>
      <c r="BQ125" s="578"/>
      <c r="BR125" s="579">
        <f aca="true" t="shared" si="281" ref="BR125:BV126">BL125-AX125</f>
        <v>0</v>
      </c>
      <c r="BS125" s="579">
        <f t="shared" si="281"/>
        <v>35.50819799999999</v>
      </c>
      <c r="BT125" s="579">
        <f t="shared" si="281"/>
        <v>0</v>
      </c>
      <c r="BU125" s="579">
        <f t="shared" si="281"/>
        <v>0</v>
      </c>
      <c r="BV125" s="579">
        <f t="shared" si="281"/>
        <v>0</v>
      </c>
      <c r="BW125" s="578"/>
      <c r="BX125" s="578"/>
      <c r="BY125" s="578"/>
      <c r="BZ125" s="578"/>
      <c r="CA125" s="578"/>
      <c r="CF125" s="596"/>
      <c r="CG125" s="596"/>
    </row>
    <row r="126" spans="1:85" ht="12.75">
      <c r="A126" s="444"/>
      <c r="B126" s="541">
        <v>2</v>
      </c>
      <c r="C126" s="72" t="s">
        <v>123</v>
      </c>
      <c r="D126" s="541" t="s">
        <v>827</v>
      </c>
      <c r="E126" s="564">
        <v>0</v>
      </c>
      <c r="F126" s="73"/>
      <c r="G126" s="73" t="str">
        <f aca="true" t="shared" si="282" ref="G126:G127">IF(OR(ISBLANK(C126),ISBLANK(D126)),"",TEXT(C126,"000")&amp;TEXT(D126,"000"))</f>
        <v>046295L</v>
      </c>
      <c r="I126" s="648" t="s">
        <v>713</v>
      </c>
      <c r="J126" s="694" t="s">
        <v>847</v>
      </c>
      <c r="K126" s="580" t="s">
        <v>615</v>
      </c>
      <c r="L126" s="582" t="s">
        <v>710</v>
      </c>
      <c r="M126" s="581">
        <f t="shared" si="269"/>
        <v>0</v>
      </c>
      <c r="N126" s="581">
        <f t="shared" si="269"/>
        <v>0</v>
      </c>
      <c r="O126" s="581">
        <f t="shared" si="269"/>
        <v>0</v>
      </c>
      <c r="P126" s="581">
        <f t="shared" si="269"/>
        <v>0</v>
      </c>
      <c r="Q126" s="581">
        <f t="shared" si="269"/>
        <v>0</v>
      </c>
      <c r="R126" s="581">
        <f t="shared" si="257"/>
        <v>1</v>
      </c>
      <c r="S126" s="620">
        <v>0</v>
      </c>
      <c r="T126" s="650"/>
      <c r="U126" s="620"/>
      <c r="V126" s="620">
        <v>0</v>
      </c>
      <c r="W126" s="620">
        <v>0</v>
      </c>
      <c r="X126" s="648"/>
      <c r="Y126" s="70">
        <f t="shared" si="279"/>
        <v>0</v>
      </c>
      <c r="Z126" s="70">
        <f t="shared" si="279"/>
        <v>0</v>
      </c>
      <c r="AA126" s="70">
        <f t="shared" si="279"/>
        <v>0</v>
      </c>
      <c r="AB126" s="70">
        <f t="shared" si="279"/>
        <v>0</v>
      </c>
      <c r="AC126" s="70">
        <f t="shared" si="279"/>
        <v>0</v>
      </c>
      <c r="AD126" s="648"/>
      <c r="AE126" s="581">
        <f aca="true" t="shared" si="283" ref="AE126:AI128">M126</f>
        <v>0</v>
      </c>
      <c r="AF126" s="581">
        <f t="shared" si="283"/>
        <v>0</v>
      </c>
      <c r="AG126" s="581">
        <f t="shared" si="283"/>
        <v>0</v>
      </c>
      <c r="AH126" s="581">
        <f t="shared" si="283"/>
        <v>0</v>
      </c>
      <c r="AI126" s="581">
        <f t="shared" si="283"/>
        <v>0</v>
      </c>
      <c r="AJ126" s="648"/>
      <c r="AK126" s="586">
        <f t="shared" si="273"/>
        <v>0</v>
      </c>
      <c r="AL126" s="586"/>
      <c r="AM126" s="586">
        <f t="shared" si="274"/>
        <v>0</v>
      </c>
      <c r="AN126" s="586">
        <f t="shared" si="275"/>
        <v>0</v>
      </c>
      <c r="AO126" s="586">
        <f t="shared" si="276"/>
        <v>0</v>
      </c>
      <c r="AP126" s="648"/>
      <c r="AQ126" s="70">
        <f t="shared" si="264"/>
        <v>0</v>
      </c>
      <c r="AR126" s="70">
        <f t="shared" si="260"/>
        <v>0</v>
      </c>
      <c r="AS126" s="70">
        <f t="shared" si="265"/>
        <v>0</v>
      </c>
      <c r="AT126" s="70">
        <f t="shared" si="266"/>
        <v>0</v>
      </c>
      <c r="AU126" s="70">
        <f t="shared" si="267"/>
        <v>0</v>
      </c>
      <c r="AV126" s="70">
        <f>SUM(AQ126:AU126)-SUM(Y126:AC126)</f>
        <v>0</v>
      </c>
      <c r="AW126" s="593">
        <v>39</v>
      </c>
      <c r="AX126" s="583"/>
      <c r="AY126" s="583"/>
      <c r="AZ126" s="583"/>
      <c r="BA126" s="583"/>
      <c r="BB126" s="583"/>
      <c r="BC126" s="583"/>
      <c r="BD126" s="589">
        <f t="shared" si="254"/>
        <v>0.08000000000000002</v>
      </c>
      <c r="BE126" s="579"/>
      <c r="BF126" s="579">
        <f t="shared" si="268"/>
        <v>0.08</v>
      </c>
      <c r="BG126" s="579"/>
      <c r="BH126" s="579"/>
      <c r="BI126" s="579"/>
      <c r="BJ126" s="648"/>
      <c r="BK126" s="648"/>
      <c r="BL126" s="587">
        <f t="shared" si="248"/>
        <v>0</v>
      </c>
      <c r="BM126" s="587">
        <f t="shared" si="249"/>
        <v>0</v>
      </c>
      <c r="BN126" s="587">
        <f t="shared" si="280"/>
        <v>0</v>
      </c>
      <c r="BO126" s="587">
        <f t="shared" si="280"/>
        <v>0</v>
      </c>
      <c r="BP126" s="587">
        <f t="shared" si="280"/>
        <v>0</v>
      </c>
      <c r="BQ126" s="648"/>
      <c r="BR126" s="579">
        <f t="shared" si="281"/>
        <v>0</v>
      </c>
      <c r="BS126" s="579">
        <f t="shared" si="281"/>
        <v>0</v>
      </c>
      <c r="BT126" s="579">
        <f t="shared" si="281"/>
        <v>0</v>
      </c>
      <c r="BU126" s="579">
        <f t="shared" si="281"/>
        <v>0</v>
      </c>
      <c r="BV126" s="579">
        <f t="shared" si="281"/>
        <v>0</v>
      </c>
      <c r="BW126" s="648"/>
      <c r="BX126" s="648"/>
      <c r="BY126" s="648"/>
      <c r="BZ126" s="648"/>
      <c r="CA126" s="648"/>
      <c r="CB126" s="648"/>
      <c r="CC126" s="648"/>
      <c r="CD126" s="648"/>
      <c r="CE126" s="648"/>
      <c r="CF126" s="648"/>
      <c r="CG126" s="648"/>
    </row>
    <row r="127" spans="1:115" ht="12.75">
      <c r="A127" s="444"/>
      <c r="B127" s="541">
        <v>2</v>
      </c>
      <c r="C127" s="72" t="s">
        <v>123</v>
      </c>
      <c r="D127" s="541" t="s">
        <v>828</v>
      </c>
      <c r="E127" s="564">
        <v>0</v>
      </c>
      <c r="F127" s="73"/>
      <c r="G127" s="73" t="str">
        <f t="shared" si="282"/>
        <v>046395L</v>
      </c>
      <c r="H127" s="46"/>
      <c r="I127" t="s">
        <v>128</v>
      </c>
      <c r="J127" t="s">
        <v>847</v>
      </c>
      <c r="K127" s="59" t="s">
        <v>147</v>
      </c>
      <c r="L127" s="97">
        <v>831</v>
      </c>
      <c r="M127" s="69">
        <f t="shared" si="269"/>
        <v>0</v>
      </c>
      <c r="N127" s="69">
        <f t="shared" si="269"/>
        <v>0</v>
      </c>
      <c r="O127" s="69">
        <f t="shared" si="269"/>
        <v>0</v>
      </c>
      <c r="P127" s="69">
        <f t="shared" si="269"/>
        <v>0</v>
      </c>
      <c r="Q127" s="69">
        <f t="shared" si="269"/>
        <v>0</v>
      </c>
      <c r="R127" s="581">
        <f t="shared" si="257"/>
        <v>1</v>
      </c>
      <c r="S127" s="620">
        <v>0</v>
      </c>
      <c r="T127" s="620"/>
      <c r="U127" s="620">
        <v>20.46</v>
      </c>
      <c r="V127" s="620">
        <v>0</v>
      </c>
      <c r="W127" s="620">
        <v>0</v>
      </c>
      <c r="Y127" s="70">
        <f aca="true" t="shared" si="284" ref="Y127:AC128">IF(AND(M127&lt;&gt;0,S127=0),#VALUE!,M127*S127)</f>
        <v>0</v>
      </c>
      <c r="Z127" s="70">
        <f t="shared" si="284"/>
        <v>0</v>
      </c>
      <c r="AA127" s="70">
        <f t="shared" si="284"/>
        <v>0</v>
      </c>
      <c r="AB127" s="70">
        <f t="shared" si="284"/>
        <v>0</v>
      </c>
      <c r="AC127" s="70">
        <f t="shared" si="284"/>
        <v>0</v>
      </c>
      <c r="AE127" s="69">
        <f t="shared" si="283"/>
        <v>0</v>
      </c>
      <c r="AF127" s="69">
        <f t="shared" si="283"/>
        <v>0</v>
      </c>
      <c r="AG127" s="69">
        <f t="shared" si="283"/>
        <v>0</v>
      </c>
      <c r="AH127" s="69">
        <f t="shared" si="283"/>
        <v>0</v>
      </c>
      <c r="AI127" s="69">
        <f t="shared" si="283"/>
        <v>0</v>
      </c>
      <c r="AK127" s="436">
        <f t="shared" si="273"/>
        <v>0</v>
      </c>
      <c r="AL127" s="436"/>
      <c r="AM127" s="436">
        <f t="shared" si="274"/>
        <v>20.46</v>
      </c>
      <c r="AN127" s="436">
        <f t="shared" si="275"/>
        <v>0</v>
      </c>
      <c r="AO127" s="436">
        <f t="shared" si="276"/>
        <v>0</v>
      </c>
      <c r="AQ127" s="70">
        <f t="shared" si="264"/>
        <v>0</v>
      </c>
      <c r="AR127" s="70">
        <f t="shared" si="260"/>
        <v>0</v>
      </c>
      <c r="AS127" s="70">
        <f t="shared" si="265"/>
        <v>0</v>
      </c>
      <c r="AT127" s="70">
        <f t="shared" si="266"/>
        <v>0</v>
      </c>
      <c r="AU127" s="70">
        <f t="shared" si="267"/>
        <v>0</v>
      </c>
      <c r="AV127" s="70">
        <f>SUM(AQ127:AU127)-SUM(Y127:AC127)</f>
        <v>0</v>
      </c>
      <c r="AW127" s="448">
        <v>169</v>
      </c>
      <c r="AX127" s="583"/>
      <c r="AY127" s="583"/>
      <c r="AZ127" s="583">
        <v>21.15</v>
      </c>
      <c r="BA127" s="583"/>
      <c r="BB127" s="583"/>
      <c r="BC127" s="140"/>
      <c r="BD127" s="589">
        <f t="shared" si="254"/>
        <v>0.3799999999999999</v>
      </c>
      <c r="BE127" s="54"/>
      <c r="BF127" s="54">
        <f t="shared" si="268"/>
        <v>0.38</v>
      </c>
      <c r="BG127" s="54">
        <f>ROUND((U127*$BE$2)+$BD127-AZ127,2)</f>
        <v>0</v>
      </c>
      <c r="BH127" s="54"/>
      <c r="BI127" s="54"/>
      <c r="BL127" s="279">
        <f t="shared" si="248"/>
        <v>0</v>
      </c>
      <c r="BM127" s="279">
        <f t="shared" si="249"/>
        <v>0</v>
      </c>
      <c r="BN127" s="279">
        <f aca="true" t="shared" si="285" ref="BN127:BP128">AM127*$BL$1</f>
        <v>20.768946</v>
      </c>
      <c r="BO127" s="279">
        <f t="shared" si="285"/>
        <v>0</v>
      </c>
      <c r="BP127" s="279">
        <f t="shared" si="285"/>
        <v>0</v>
      </c>
      <c r="BR127" s="54">
        <f aca="true" t="shared" si="286" ref="BR127:BV128">BL127-AX127</f>
        <v>0</v>
      </c>
      <c r="BS127" s="54">
        <f t="shared" si="286"/>
        <v>0</v>
      </c>
      <c r="BT127" s="54">
        <f t="shared" si="286"/>
        <v>-0.3810539999999989</v>
      </c>
      <c r="BU127" s="54">
        <f t="shared" si="286"/>
        <v>0</v>
      </c>
      <c r="BV127" s="54">
        <f t="shared" si="286"/>
        <v>0</v>
      </c>
      <c r="CG127" s="648"/>
      <c r="CH127" s="648"/>
      <c r="CI127" s="648"/>
      <c r="DG127" s="686"/>
      <c r="DH127" s="686"/>
      <c r="DI127" s="686"/>
      <c r="DJ127" s="686"/>
      <c r="DK127" s="686"/>
    </row>
    <row r="128" spans="2:116" ht="12.75">
      <c r="B128" s="35">
        <v>2</v>
      </c>
      <c r="C128" s="72" t="s">
        <v>123</v>
      </c>
      <c r="D128" s="35">
        <v>435</v>
      </c>
      <c r="E128" s="560">
        <v>17</v>
      </c>
      <c r="F128" s="73"/>
      <c r="G128" s="73" t="str">
        <f t="shared" si="143"/>
        <v>046435</v>
      </c>
      <c r="H128" s="46"/>
      <c r="I128" s="648" t="s">
        <v>713</v>
      </c>
      <c r="J128" s="694" t="s">
        <v>847</v>
      </c>
      <c r="K128" s="580" t="s">
        <v>640</v>
      </c>
      <c r="L128" s="582" t="s">
        <v>719</v>
      </c>
      <c r="M128" s="581">
        <f t="shared" si="269"/>
        <v>0</v>
      </c>
      <c r="N128" s="581">
        <f t="shared" si="269"/>
        <v>0</v>
      </c>
      <c r="O128" s="581">
        <f t="shared" si="269"/>
        <v>0</v>
      </c>
      <c r="P128" s="581">
        <f t="shared" si="269"/>
        <v>0</v>
      </c>
      <c r="Q128" s="581">
        <f t="shared" si="269"/>
        <v>0</v>
      </c>
      <c r="R128" s="581">
        <f t="shared" si="257"/>
        <v>1</v>
      </c>
      <c r="S128" s="620">
        <v>0</v>
      </c>
      <c r="T128" s="650"/>
      <c r="U128" s="620"/>
      <c r="V128" s="620">
        <v>0</v>
      </c>
      <c r="W128" s="620">
        <v>0</v>
      </c>
      <c r="X128" s="648"/>
      <c r="Y128" s="70">
        <f t="shared" si="284"/>
        <v>0</v>
      </c>
      <c r="Z128" s="70">
        <f t="shared" si="284"/>
        <v>0</v>
      </c>
      <c r="AA128" s="70">
        <f t="shared" si="284"/>
        <v>0</v>
      </c>
      <c r="AB128" s="70">
        <f t="shared" si="284"/>
        <v>0</v>
      </c>
      <c r="AC128" s="70">
        <f t="shared" si="284"/>
        <v>0</v>
      </c>
      <c r="AD128" s="648"/>
      <c r="AE128" s="581">
        <f t="shared" si="283"/>
        <v>0</v>
      </c>
      <c r="AF128" s="581">
        <f t="shared" si="283"/>
        <v>0</v>
      </c>
      <c r="AG128" s="581">
        <f t="shared" si="283"/>
        <v>0</v>
      </c>
      <c r="AH128" s="581">
        <f t="shared" si="283"/>
        <v>0</v>
      </c>
      <c r="AI128" s="581">
        <f t="shared" si="283"/>
        <v>0</v>
      </c>
      <c r="AJ128" s="648"/>
      <c r="AK128" s="586">
        <f t="shared" si="273"/>
        <v>0</v>
      </c>
      <c r="AL128" s="586"/>
      <c r="AM128" s="586">
        <f t="shared" si="274"/>
        <v>0</v>
      </c>
      <c r="AN128" s="586">
        <f t="shared" si="275"/>
        <v>0</v>
      </c>
      <c r="AO128" s="586">
        <f t="shared" si="276"/>
        <v>0</v>
      </c>
      <c r="AP128" s="648"/>
      <c r="AQ128" s="70">
        <f t="shared" si="264"/>
        <v>0</v>
      </c>
      <c r="AR128" s="70">
        <f t="shared" si="260"/>
        <v>0</v>
      </c>
      <c r="AS128" s="70">
        <f t="shared" si="265"/>
        <v>0</v>
      </c>
      <c r="AT128" s="70">
        <f t="shared" si="266"/>
        <v>0</v>
      </c>
      <c r="AU128" s="70">
        <f t="shared" si="267"/>
        <v>0</v>
      </c>
      <c r="AV128" s="70">
        <f>SUM(AQ128:AU128)-SUM(Y128:AC128)</f>
        <v>0</v>
      </c>
      <c r="AW128" s="593">
        <v>83</v>
      </c>
      <c r="AX128" s="583"/>
      <c r="AY128" s="583"/>
      <c r="AZ128" s="583"/>
      <c r="BA128" s="583"/>
      <c r="BB128" s="583"/>
      <c r="BC128" s="583"/>
      <c r="BD128" s="589">
        <f t="shared" si="254"/>
        <v>0.18999999999999995</v>
      </c>
      <c r="BE128" s="579"/>
      <c r="BF128" s="579">
        <f t="shared" si="268"/>
        <v>0.19</v>
      </c>
      <c r="BG128" s="579"/>
      <c r="BH128" s="579"/>
      <c r="BI128" s="579"/>
      <c r="BJ128" s="648"/>
      <c r="BK128" s="648"/>
      <c r="BL128" s="587">
        <f t="shared" si="248"/>
        <v>0</v>
      </c>
      <c r="BM128" s="587">
        <f t="shared" si="249"/>
        <v>0</v>
      </c>
      <c r="BN128" s="587">
        <f t="shared" si="285"/>
        <v>0</v>
      </c>
      <c r="BO128" s="587">
        <f t="shared" si="285"/>
        <v>0</v>
      </c>
      <c r="BP128" s="587">
        <f t="shared" si="285"/>
        <v>0</v>
      </c>
      <c r="BQ128" s="648"/>
      <c r="BR128" s="579">
        <f t="shared" si="286"/>
        <v>0</v>
      </c>
      <c r="BS128" s="579">
        <f t="shared" si="286"/>
        <v>0</v>
      </c>
      <c r="BT128" s="579">
        <f t="shared" si="286"/>
        <v>0</v>
      </c>
      <c r="BU128" s="579">
        <f t="shared" si="286"/>
        <v>0</v>
      </c>
      <c r="BV128" s="579">
        <f t="shared" si="286"/>
        <v>0</v>
      </c>
      <c r="BW128" s="648"/>
      <c r="BX128" s="648"/>
      <c r="BY128" s="648"/>
      <c r="BZ128" s="648"/>
      <c r="CA128" s="648"/>
      <c r="CB128" s="648"/>
      <c r="CC128" s="648"/>
      <c r="CD128" s="648"/>
      <c r="CE128" s="648"/>
      <c r="CF128" s="648"/>
      <c r="DL128" s="694"/>
    </row>
    <row r="129" spans="2:101" ht="12.75">
      <c r="B129" s="35">
        <v>2</v>
      </c>
      <c r="C129" s="72" t="s">
        <v>123</v>
      </c>
      <c r="D129" s="35">
        <v>495</v>
      </c>
      <c r="E129" s="560">
        <v>0</v>
      </c>
      <c r="F129" s="73"/>
      <c r="G129" s="73" t="str">
        <f>IF(OR(ISBLANK(C129),ISBLANK(D129)),"",TEXT(C129,"000")&amp;TEXT(D129,"000"))</f>
        <v>046495</v>
      </c>
      <c r="H129" s="46"/>
      <c r="I129" s="435" t="s">
        <v>713</v>
      </c>
      <c r="J129" s="694" t="s">
        <v>847</v>
      </c>
      <c r="K129" s="580" t="s">
        <v>640</v>
      </c>
      <c r="L129" s="582" t="s">
        <v>641</v>
      </c>
      <c r="M129" s="581">
        <f t="shared" si="269"/>
        <v>0</v>
      </c>
      <c r="N129" s="581">
        <f t="shared" si="269"/>
        <v>0</v>
      </c>
      <c r="O129" s="581">
        <f t="shared" si="269"/>
        <v>0</v>
      </c>
      <c r="P129" s="581">
        <f t="shared" si="269"/>
        <v>0</v>
      </c>
      <c r="Q129" s="581">
        <f t="shared" si="269"/>
        <v>0</v>
      </c>
      <c r="R129" s="581">
        <f t="shared" si="257"/>
        <v>1</v>
      </c>
      <c r="S129" s="620">
        <v>0</v>
      </c>
      <c r="T129" s="650">
        <f>T127</f>
        <v>0</v>
      </c>
      <c r="U129" s="620">
        <v>0</v>
      </c>
      <c r="V129" s="620">
        <v>0</v>
      </c>
      <c r="W129" s="620"/>
      <c r="X129" s="637"/>
      <c r="Y129" s="637"/>
      <c r="Z129" s="70">
        <f aca="true" t="shared" si="287" ref="Z129:AC131">IF(AND(N129&lt;&gt;0,T129=0),#VALUE!,N129*T129)</f>
        <v>0</v>
      </c>
      <c r="AA129" s="70">
        <f t="shared" si="287"/>
        <v>0</v>
      </c>
      <c r="AB129" s="70">
        <f t="shared" si="287"/>
        <v>0</v>
      </c>
      <c r="AC129" s="70">
        <f t="shared" si="287"/>
        <v>0</v>
      </c>
      <c r="AD129" s="637"/>
      <c r="AE129" s="581">
        <f>SUMIF($G:$G,TEXT(AE$3,"000")&amp;TEXT($L129,"000"),$E:$E)</f>
        <v>0</v>
      </c>
      <c r="AF129" s="581">
        <f>SUMIF($G:$G,TEXT(AF$3,"000")&amp;TEXT($L129,"000"),$E:$E)</f>
        <v>0</v>
      </c>
      <c r="AG129" s="581">
        <f>SUMIF($G:$G,TEXT(AG$3,"000")&amp;TEXT($L129,"000"),$E:$E)</f>
        <v>0</v>
      </c>
      <c r="AH129" s="581">
        <f>SUMIF($G:$G,TEXT(AH$3,"000")&amp;TEXT($L129,"000"),$E:$E)</f>
        <v>0</v>
      </c>
      <c r="AI129" s="581">
        <f>SUMIF($G:$G,TEXT(AI$3,"000")&amp;TEXT($L129,"000"),$E:$E)</f>
        <v>0</v>
      </c>
      <c r="AJ129" s="637"/>
      <c r="AK129" s="586">
        <f t="shared" si="273"/>
        <v>0</v>
      </c>
      <c r="AL129" s="586">
        <f>AL127</f>
        <v>0</v>
      </c>
      <c r="AM129" s="586">
        <f t="shared" si="274"/>
        <v>0</v>
      </c>
      <c r="AN129" s="586">
        <f t="shared" si="275"/>
        <v>0</v>
      </c>
      <c r="AO129" s="586">
        <f t="shared" si="276"/>
        <v>0</v>
      </c>
      <c r="AP129" s="637"/>
      <c r="AQ129" s="70">
        <f t="shared" si="264"/>
        <v>0</v>
      </c>
      <c r="AR129" s="70">
        <f t="shared" si="260"/>
        <v>0</v>
      </c>
      <c r="AS129" s="70">
        <f t="shared" si="265"/>
        <v>0</v>
      </c>
      <c r="AT129" s="70">
        <f t="shared" si="266"/>
        <v>0</v>
      </c>
      <c r="AU129" s="70">
        <f t="shared" si="267"/>
        <v>0</v>
      </c>
      <c r="AX129" s="19"/>
      <c r="AY129" s="19"/>
      <c r="AZ129" s="19"/>
      <c r="BA129" s="19"/>
      <c r="BB129" s="19"/>
      <c r="CV129" s="596"/>
      <c r="CW129" s="596"/>
    </row>
    <row r="130" spans="2:84" ht="12.75">
      <c r="B130" s="35">
        <v>2</v>
      </c>
      <c r="C130" s="72" t="s">
        <v>123</v>
      </c>
      <c r="D130" s="35">
        <v>499</v>
      </c>
      <c r="E130" s="560">
        <v>41</v>
      </c>
      <c r="F130" s="73"/>
      <c r="G130" s="73" t="str">
        <f>IF(OR(ISBLANK(C130),ISBLANK(D130)),"",TEXT(C130,"000")&amp;TEXT(D130,"000"))</f>
        <v>046499</v>
      </c>
      <c r="H130" s="46"/>
      <c r="I130" s="648" t="s">
        <v>717</v>
      </c>
      <c r="J130" s="694" t="s">
        <v>848</v>
      </c>
      <c r="K130" s="580" t="s">
        <v>615</v>
      </c>
      <c r="L130" s="582" t="s">
        <v>716</v>
      </c>
      <c r="M130" s="581">
        <f t="shared" si="269"/>
        <v>0</v>
      </c>
      <c r="N130" s="581">
        <f t="shared" si="269"/>
        <v>0</v>
      </c>
      <c r="O130" s="581">
        <f t="shared" si="269"/>
        <v>0</v>
      </c>
      <c r="P130" s="581">
        <f t="shared" si="269"/>
        <v>0</v>
      </c>
      <c r="Q130" s="581">
        <f t="shared" si="269"/>
        <v>0</v>
      </c>
      <c r="R130" s="581">
        <f t="shared" si="257"/>
        <v>1</v>
      </c>
      <c r="S130" s="620">
        <v>0</v>
      </c>
      <c r="T130" s="650">
        <f>T75-T102-T102</f>
        <v>32.03</v>
      </c>
      <c r="U130" s="620">
        <v>0</v>
      </c>
      <c r="V130" s="620">
        <v>0</v>
      </c>
      <c r="W130" s="620">
        <v>0</v>
      </c>
      <c r="X130" s="648"/>
      <c r="Y130" s="70">
        <f>IF(AND(M130&lt;&gt;0,S130=0),#VALUE!,M130*S130)</f>
        <v>0</v>
      </c>
      <c r="Z130" s="70">
        <f t="shared" si="287"/>
        <v>0</v>
      </c>
      <c r="AA130" s="70">
        <f t="shared" si="287"/>
        <v>0</v>
      </c>
      <c r="AB130" s="70">
        <f t="shared" si="287"/>
        <v>0</v>
      </c>
      <c r="AC130" s="70">
        <f t="shared" si="287"/>
        <v>0</v>
      </c>
      <c r="AD130" s="648"/>
      <c r="AE130" s="581">
        <f aca="true" t="shared" si="288" ref="AE130:AI131">M130</f>
        <v>0</v>
      </c>
      <c r="AF130" s="581">
        <f t="shared" si="288"/>
        <v>0</v>
      </c>
      <c r="AG130" s="581">
        <f t="shared" si="288"/>
        <v>0</v>
      </c>
      <c r="AH130" s="581">
        <f t="shared" si="288"/>
        <v>0</v>
      </c>
      <c r="AI130" s="581">
        <f t="shared" si="288"/>
        <v>0</v>
      </c>
      <c r="AJ130" s="648"/>
      <c r="AK130" s="586">
        <f t="shared" si="273"/>
        <v>0</v>
      </c>
      <c r="AL130" s="586">
        <f>AL75-AL102-AL102</f>
        <v>32.03</v>
      </c>
      <c r="AM130" s="586">
        <f t="shared" si="274"/>
        <v>0</v>
      </c>
      <c r="AN130" s="586">
        <f t="shared" si="275"/>
        <v>0</v>
      </c>
      <c r="AO130" s="586">
        <f t="shared" si="276"/>
        <v>0</v>
      </c>
      <c r="AP130" s="648"/>
      <c r="AQ130" s="70">
        <f t="shared" si="264"/>
        <v>0</v>
      </c>
      <c r="AR130" s="70">
        <f t="shared" si="260"/>
        <v>0</v>
      </c>
      <c r="AS130" s="70">
        <f t="shared" si="265"/>
        <v>0</v>
      </c>
      <c r="AT130" s="70">
        <f t="shared" si="266"/>
        <v>0</v>
      </c>
      <c r="AU130" s="70">
        <f t="shared" si="267"/>
        <v>0</v>
      </c>
      <c r="AV130" s="70">
        <f>SUM(AQ130:AU130)-SUM(Y130:AC130)</f>
        <v>0</v>
      </c>
      <c r="AW130" s="593">
        <v>78</v>
      </c>
      <c r="AX130" s="583"/>
      <c r="AY130" s="583">
        <v>32.68</v>
      </c>
      <c r="AZ130" s="583"/>
      <c r="BA130" s="583"/>
      <c r="BB130" s="583"/>
      <c r="BC130" s="583"/>
      <c r="BD130" s="589">
        <f>ROUND(AW130*$BD$2,2)+ROUND(AW130*$BD$1,2)</f>
        <v>0.18000000000000005</v>
      </c>
      <c r="BE130" s="579"/>
      <c r="BF130" s="579">
        <f>ROUND((T130*$BE$2)+$BD130-AY130,2)</f>
        <v>0.01</v>
      </c>
      <c r="BG130" s="579"/>
      <c r="BH130" s="579"/>
      <c r="BI130" s="579"/>
      <c r="BJ130" s="648"/>
      <c r="BK130" s="648"/>
      <c r="BL130" s="587">
        <f aca="true" t="shared" si="289" ref="BL130:BP131">AK130*$BL$1</f>
        <v>0</v>
      </c>
      <c r="BM130" s="587">
        <f t="shared" si="289"/>
        <v>32.513653</v>
      </c>
      <c r="BN130" s="587">
        <f t="shared" si="289"/>
        <v>0</v>
      </c>
      <c r="BO130" s="587">
        <f t="shared" si="289"/>
        <v>0</v>
      </c>
      <c r="BP130" s="587">
        <f t="shared" si="289"/>
        <v>0</v>
      </c>
      <c r="BQ130" s="648"/>
      <c r="BR130" s="579">
        <f aca="true" t="shared" si="290" ref="BR130:BV131">BL130-AX130</f>
        <v>0</v>
      </c>
      <c r="BS130" s="579">
        <f t="shared" si="290"/>
        <v>-0.1663470000000018</v>
      </c>
      <c r="BT130" s="579">
        <f t="shared" si="290"/>
        <v>0</v>
      </c>
      <c r="BU130" s="579">
        <f t="shared" si="290"/>
        <v>0</v>
      </c>
      <c r="BV130" s="579">
        <f t="shared" si="290"/>
        <v>0</v>
      </c>
      <c r="BW130" s="648"/>
      <c r="BX130" s="648"/>
      <c r="BY130" s="648"/>
      <c r="BZ130" s="648"/>
      <c r="CA130" s="648"/>
      <c r="CB130" s="648"/>
      <c r="CC130" s="648"/>
      <c r="CD130" s="648"/>
      <c r="CE130" s="648"/>
      <c r="CF130" s="648"/>
    </row>
    <row r="131" spans="2:122" ht="12.75">
      <c r="B131" s="35">
        <v>2</v>
      </c>
      <c r="C131" s="72" t="s">
        <v>123</v>
      </c>
      <c r="D131" s="35">
        <v>535</v>
      </c>
      <c r="E131" s="558">
        <f>48+1</f>
        <v>49</v>
      </c>
      <c r="F131" s="73"/>
      <c r="G131" s="73" t="str">
        <f t="shared" si="143"/>
        <v>046535</v>
      </c>
      <c r="H131" s="46"/>
      <c r="I131" s="331" t="s">
        <v>434</v>
      </c>
      <c r="J131" s="331" t="s">
        <v>110</v>
      </c>
      <c r="K131" s="59" t="s">
        <v>140</v>
      </c>
      <c r="L131" s="321">
        <v>478</v>
      </c>
      <c r="M131" s="82">
        <f aca="true" t="shared" si="291" ref="M131:Q143">SUMIF($G:$G,TEXT(M$3,"000")&amp;TEXT($L131,"000"),$E:$E)</f>
        <v>0</v>
      </c>
      <c r="N131" s="82">
        <f t="shared" si="291"/>
        <v>0</v>
      </c>
      <c r="O131" s="69">
        <f t="shared" si="291"/>
        <v>0</v>
      </c>
      <c r="P131" s="69">
        <f t="shared" si="291"/>
        <v>0</v>
      </c>
      <c r="Q131" s="69">
        <f t="shared" si="291"/>
        <v>0</v>
      </c>
      <c r="R131" s="581">
        <f t="shared" si="257"/>
        <v>1</v>
      </c>
      <c r="S131" s="620">
        <v>0</v>
      </c>
      <c r="T131" s="620">
        <v>18.17</v>
      </c>
      <c r="U131" s="620">
        <v>0</v>
      </c>
      <c r="V131" s="620">
        <v>0</v>
      </c>
      <c r="W131" s="620">
        <v>0</v>
      </c>
      <c r="X131" s="330"/>
      <c r="Y131" s="70">
        <f>IF(AND(M131&lt;&gt;0,S131=0),#VALUE!,M131*S131)</f>
        <v>0</v>
      </c>
      <c r="Z131" s="70">
        <f t="shared" si="287"/>
        <v>0</v>
      </c>
      <c r="AA131" s="70">
        <f t="shared" si="287"/>
        <v>0</v>
      </c>
      <c r="AB131" s="70">
        <f t="shared" si="287"/>
        <v>0</v>
      </c>
      <c r="AC131" s="70">
        <f t="shared" si="287"/>
        <v>0</v>
      </c>
      <c r="AD131" s="330"/>
      <c r="AE131" s="69">
        <f t="shared" si="288"/>
        <v>0</v>
      </c>
      <c r="AF131" s="69">
        <f t="shared" si="288"/>
        <v>0</v>
      </c>
      <c r="AG131" s="69">
        <f t="shared" si="288"/>
        <v>0</v>
      </c>
      <c r="AH131" s="69">
        <f t="shared" si="288"/>
        <v>0</v>
      </c>
      <c r="AI131" s="69">
        <f t="shared" si="288"/>
        <v>0</v>
      </c>
      <c r="AJ131" s="330"/>
      <c r="AK131" s="436">
        <f t="shared" si="273"/>
        <v>0</v>
      </c>
      <c r="AL131" s="436">
        <f>ROUND(T131*(1+AL$1),2)</f>
        <v>18.17</v>
      </c>
      <c r="AM131" s="436">
        <f t="shared" si="274"/>
        <v>0</v>
      </c>
      <c r="AN131" s="436">
        <f t="shared" si="275"/>
        <v>0</v>
      </c>
      <c r="AO131" s="436">
        <f t="shared" si="276"/>
        <v>0</v>
      </c>
      <c r="AP131" s="330"/>
      <c r="AQ131" s="70">
        <f t="shared" si="264"/>
        <v>0</v>
      </c>
      <c r="AR131" s="70">
        <f t="shared" si="260"/>
        <v>0</v>
      </c>
      <c r="AS131" s="70">
        <f t="shared" si="265"/>
        <v>0</v>
      </c>
      <c r="AT131" s="70">
        <f t="shared" si="266"/>
        <v>0</v>
      </c>
      <c r="AU131" s="70">
        <f t="shared" si="267"/>
        <v>0</v>
      </c>
      <c r="AV131" s="70">
        <f>SUM(AQ131:AU131)-SUM(Y131:AC131)</f>
        <v>0</v>
      </c>
      <c r="AW131" s="448"/>
      <c r="AX131" s="583"/>
      <c r="AY131" s="583">
        <v>18.44</v>
      </c>
      <c r="AZ131" s="583"/>
      <c r="BA131" s="583"/>
      <c r="BB131" s="583"/>
      <c r="BC131" s="140"/>
      <c r="BD131" s="589">
        <f>ROUND(AW131*$BD$2,2)+ROUND(AW131*$BD$1,2)</f>
        <v>0</v>
      </c>
      <c r="BE131" s="54"/>
      <c r="BF131" s="54">
        <f>ROUND((T131*$BE$2)+$BD131-AY131,2)</f>
        <v>0</v>
      </c>
      <c r="BG131" s="54"/>
      <c r="BH131" s="54"/>
      <c r="BI131" s="54"/>
      <c r="BJ131" s="330"/>
      <c r="BK131" s="330"/>
      <c r="BL131" s="279">
        <f t="shared" si="289"/>
        <v>0</v>
      </c>
      <c r="BM131" s="279">
        <f t="shared" si="289"/>
        <v>18.444367</v>
      </c>
      <c r="BN131" s="279">
        <f t="shared" si="289"/>
        <v>0</v>
      </c>
      <c r="BO131" s="279">
        <f t="shared" si="289"/>
        <v>0</v>
      </c>
      <c r="BP131" s="279">
        <f t="shared" si="289"/>
        <v>0</v>
      </c>
      <c r="BQ131" s="330"/>
      <c r="BR131" s="54">
        <f t="shared" si="290"/>
        <v>0</v>
      </c>
      <c r="BS131" s="54">
        <f t="shared" si="290"/>
        <v>0.0043669999999984555</v>
      </c>
      <c r="BT131" s="54">
        <f t="shared" si="290"/>
        <v>0</v>
      </c>
      <c r="BU131" s="54">
        <f t="shared" si="290"/>
        <v>0</v>
      </c>
      <c r="BV131" s="54">
        <f t="shared" si="290"/>
        <v>0</v>
      </c>
      <c r="BW131" s="330"/>
      <c r="BX131" s="330"/>
      <c r="BY131" s="330"/>
      <c r="BZ131" s="330"/>
      <c r="CA131" s="330"/>
      <c r="CJ131" s="444"/>
      <c r="DM131" s="694"/>
      <c r="DN131" s="694"/>
      <c r="DO131" s="694"/>
      <c r="DP131" s="694"/>
      <c r="DQ131" s="694"/>
      <c r="DR131" s="694"/>
    </row>
    <row r="132" spans="2:122" ht="12.75">
      <c r="B132" s="35">
        <v>2</v>
      </c>
      <c r="C132" s="72" t="s">
        <v>123</v>
      </c>
      <c r="D132" s="35">
        <v>635</v>
      </c>
      <c r="E132" s="560">
        <v>236</v>
      </c>
      <c r="F132" s="73"/>
      <c r="G132" s="73" t="str">
        <f t="shared" si="143"/>
        <v>046635</v>
      </c>
      <c r="H132" s="46"/>
      <c r="I132" s="616" t="s">
        <v>128</v>
      </c>
      <c r="J132" s="616" t="s">
        <v>151</v>
      </c>
      <c r="K132" s="621" t="s">
        <v>142</v>
      </c>
      <c r="L132" s="622">
        <v>539</v>
      </c>
      <c r="M132" s="69">
        <f t="shared" si="291"/>
        <v>0</v>
      </c>
      <c r="N132" s="69">
        <f t="shared" si="291"/>
        <v>0</v>
      </c>
      <c r="O132" s="69">
        <f t="shared" si="291"/>
        <v>0</v>
      </c>
      <c r="P132" s="69">
        <f t="shared" si="291"/>
        <v>0</v>
      </c>
      <c r="Q132" s="69">
        <f t="shared" si="291"/>
        <v>0</v>
      </c>
      <c r="R132" s="69">
        <f t="shared" si="257"/>
        <v>1</v>
      </c>
      <c r="S132" s="620"/>
      <c r="T132" s="620"/>
      <c r="U132" s="620"/>
      <c r="V132" s="620"/>
      <c r="W132" s="620"/>
      <c r="AE132" s="69">
        <f aca="true" t="shared" si="292" ref="AE132:AI143">SUMIF($G:$G,TEXT(AE$3,"000")&amp;TEXT($L132,"000"),$E:$E)</f>
        <v>0</v>
      </c>
      <c r="AF132" s="69">
        <f t="shared" si="292"/>
        <v>0</v>
      </c>
      <c r="AG132" s="69">
        <f t="shared" si="292"/>
        <v>0</v>
      </c>
      <c r="AH132" s="69">
        <f t="shared" si="292"/>
        <v>0</v>
      </c>
      <c r="AI132" s="69">
        <f t="shared" si="292"/>
        <v>0</v>
      </c>
      <c r="AK132" s="436">
        <f t="shared" si="239"/>
        <v>0</v>
      </c>
      <c r="AL132" s="436">
        <f t="shared" si="219"/>
        <v>0</v>
      </c>
      <c r="AM132" s="436">
        <f aca="true" t="shared" si="293" ref="AM132:AM142">ROUND(U132*(1+AM$1),2)</f>
        <v>0</v>
      </c>
      <c r="AN132" s="436">
        <f aca="true" t="shared" si="294" ref="AN132:AN142">ROUND(V132*(1+AN$1),2)</f>
        <v>0</v>
      </c>
      <c r="AO132" s="436">
        <f aca="true" t="shared" si="295" ref="AO132:AO142">ROUND(W132*(1+AO$1),2)</f>
        <v>0</v>
      </c>
      <c r="AW132" s="448"/>
      <c r="AX132" s="583"/>
      <c r="AY132" s="583"/>
      <c r="AZ132" s="583"/>
      <c r="BA132" s="583"/>
      <c r="BB132" s="583"/>
      <c r="BC132" s="140"/>
      <c r="BD132" s="589"/>
      <c r="BE132" s="54"/>
      <c r="BF132" s="54"/>
      <c r="BG132" s="54"/>
      <c r="BH132" s="54"/>
      <c r="BI132" s="54"/>
      <c r="BL132" s="279">
        <f aca="true" t="shared" si="296" ref="BL132:BL142">AK132*$BL$1</f>
        <v>0</v>
      </c>
      <c r="BM132" s="279">
        <f aca="true" t="shared" si="297" ref="BM132:BM142">AL132*$BL$1</f>
        <v>0</v>
      </c>
      <c r="BN132" s="279">
        <f t="shared" si="75"/>
        <v>0</v>
      </c>
      <c r="BO132" s="279">
        <f t="shared" si="76"/>
        <v>0</v>
      </c>
      <c r="BP132" s="279">
        <f t="shared" si="77"/>
        <v>0</v>
      </c>
      <c r="BR132" s="54">
        <f t="shared" si="70"/>
        <v>0</v>
      </c>
      <c r="BS132" s="54">
        <f t="shared" si="71"/>
        <v>0</v>
      </c>
      <c r="BT132" s="54">
        <f t="shared" si="72"/>
        <v>0</v>
      </c>
      <c r="BU132" s="54">
        <f t="shared" si="73"/>
        <v>0</v>
      </c>
      <c r="BV132" s="54">
        <f t="shared" si="74"/>
        <v>0</v>
      </c>
      <c r="DQ132" s="694"/>
      <c r="DR132" s="694"/>
    </row>
    <row r="133" spans="2:122" ht="12.75">
      <c r="B133" s="35">
        <v>2</v>
      </c>
      <c r="C133" s="72" t="s">
        <v>123</v>
      </c>
      <c r="D133" s="35">
        <v>735</v>
      </c>
      <c r="E133" s="560">
        <v>262</v>
      </c>
      <c r="F133" s="73"/>
      <c r="G133" s="73" t="str">
        <f t="shared" si="143"/>
        <v>046735</v>
      </c>
      <c r="I133" s="616" t="s">
        <v>139</v>
      </c>
      <c r="J133" s="616" t="s">
        <v>110</v>
      </c>
      <c r="K133" s="621" t="s">
        <v>142</v>
      </c>
      <c r="L133" s="622">
        <v>543</v>
      </c>
      <c r="M133" s="69">
        <f t="shared" si="291"/>
        <v>0</v>
      </c>
      <c r="N133" s="69">
        <f t="shared" si="291"/>
        <v>0</v>
      </c>
      <c r="O133" s="69">
        <f t="shared" si="291"/>
        <v>0</v>
      </c>
      <c r="P133" s="69">
        <f t="shared" si="291"/>
        <v>0</v>
      </c>
      <c r="Q133" s="69">
        <f t="shared" si="291"/>
        <v>0</v>
      </c>
      <c r="R133" s="69">
        <f t="shared" si="250"/>
        <v>1</v>
      </c>
      <c r="S133" s="620"/>
      <c r="T133" s="620"/>
      <c r="U133" s="620"/>
      <c r="V133" s="620"/>
      <c r="W133" s="620"/>
      <c r="AC133" s="70"/>
      <c r="AE133" s="69">
        <f t="shared" si="292"/>
        <v>0</v>
      </c>
      <c r="AF133" s="69">
        <f t="shared" si="292"/>
        <v>0</v>
      </c>
      <c r="AG133" s="69">
        <f t="shared" si="292"/>
        <v>0</v>
      </c>
      <c r="AH133" s="69">
        <f t="shared" si="292"/>
        <v>0</v>
      </c>
      <c r="AI133" s="69">
        <f t="shared" si="292"/>
        <v>0</v>
      </c>
      <c r="AK133" s="436">
        <f t="shared" si="239"/>
        <v>0</v>
      </c>
      <c r="AL133" s="436">
        <f t="shared" si="219"/>
        <v>0</v>
      </c>
      <c r="AM133" s="436">
        <f t="shared" si="293"/>
        <v>0</v>
      </c>
      <c r="AN133" s="436">
        <f t="shared" si="294"/>
        <v>0</v>
      </c>
      <c r="AO133" s="436">
        <f t="shared" si="295"/>
        <v>0</v>
      </c>
      <c r="AW133" s="448"/>
      <c r="AX133" s="583"/>
      <c r="AY133" s="583"/>
      <c r="AZ133" s="583"/>
      <c r="BA133" s="583"/>
      <c r="BB133" s="583"/>
      <c r="BC133" s="140"/>
      <c r="BD133" s="589"/>
      <c r="BE133" s="54"/>
      <c r="BF133" s="54"/>
      <c r="BG133" s="54"/>
      <c r="BH133" s="54"/>
      <c r="BI133" s="54"/>
      <c r="BL133" s="279">
        <f t="shared" si="296"/>
        <v>0</v>
      </c>
      <c r="BM133" s="279">
        <f t="shared" si="297"/>
        <v>0</v>
      </c>
      <c r="BN133" s="279">
        <f t="shared" si="75"/>
        <v>0</v>
      </c>
      <c r="BO133" s="279">
        <f t="shared" si="76"/>
        <v>0</v>
      </c>
      <c r="BP133" s="279">
        <f t="shared" si="77"/>
        <v>0</v>
      </c>
      <c r="BR133" s="54">
        <f t="shared" si="70"/>
        <v>0</v>
      </c>
      <c r="BS133" s="54">
        <f t="shared" si="71"/>
        <v>0</v>
      </c>
      <c r="BT133" s="54">
        <f t="shared" si="72"/>
        <v>0</v>
      </c>
      <c r="BU133" s="54">
        <f t="shared" si="73"/>
        <v>0</v>
      </c>
      <c r="BV133" s="54">
        <f t="shared" si="74"/>
        <v>0</v>
      </c>
      <c r="CU133" s="596"/>
      <c r="DQ133" s="694"/>
      <c r="DR133" s="694"/>
    </row>
    <row r="134" spans="2:98" ht="12.75">
      <c r="B134" s="35">
        <v>2</v>
      </c>
      <c r="C134" s="72" t="s">
        <v>123</v>
      </c>
      <c r="D134" s="35">
        <v>835</v>
      </c>
      <c r="E134" s="560">
        <v>57</v>
      </c>
      <c r="F134" s="73"/>
      <c r="G134" s="73" t="str">
        <f t="shared" si="143"/>
        <v>046835</v>
      </c>
      <c r="H134" s="46"/>
      <c r="I134" s="616" t="s">
        <v>133</v>
      </c>
      <c r="J134" s="616" t="s">
        <v>146</v>
      </c>
      <c r="K134" s="621">
        <v>20000</v>
      </c>
      <c r="L134" s="622">
        <v>619</v>
      </c>
      <c r="M134" s="69">
        <f t="shared" si="291"/>
        <v>0</v>
      </c>
      <c r="N134" s="69">
        <f t="shared" si="291"/>
        <v>0</v>
      </c>
      <c r="O134" s="69">
        <f t="shared" si="291"/>
        <v>0</v>
      </c>
      <c r="P134" s="69">
        <f t="shared" si="291"/>
        <v>0</v>
      </c>
      <c r="Q134" s="69">
        <f t="shared" si="291"/>
        <v>0</v>
      </c>
      <c r="R134" s="69">
        <f t="shared" si="250"/>
        <v>1</v>
      </c>
      <c r="S134" s="620"/>
      <c r="T134" s="620"/>
      <c r="U134" s="620"/>
      <c r="V134" s="620"/>
      <c r="W134" s="620"/>
      <c r="AE134" s="69">
        <f t="shared" si="292"/>
        <v>0</v>
      </c>
      <c r="AF134" s="69">
        <f t="shared" si="292"/>
        <v>0</v>
      </c>
      <c r="AG134" s="69">
        <f t="shared" si="292"/>
        <v>0</v>
      </c>
      <c r="AH134" s="69">
        <f t="shared" si="292"/>
        <v>0</v>
      </c>
      <c r="AI134" s="69">
        <f t="shared" si="292"/>
        <v>0</v>
      </c>
      <c r="AK134" s="436">
        <f t="shared" si="239"/>
        <v>0</v>
      </c>
      <c r="AL134" s="436">
        <f t="shared" si="219"/>
        <v>0</v>
      </c>
      <c r="AM134" s="436">
        <f t="shared" si="293"/>
        <v>0</v>
      </c>
      <c r="AN134" s="436">
        <f t="shared" si="294"/>
        <v>0</v>
      </c>
      <c r="AO134" s="436">
        <f t="shared" si="295"/>
        <v>0</v>
      </c>
      <c r="AW134" s="448"/>
      <c r="AX134" s="583"/>
      <c r="AY134" s="583"/>
      <c r="AZ134" s="583"/>
      <c r="BA134" s="583"/>
      <c r="BB134" s="583"/>
      <c r="BC134" s="140"/>
      <c r="BD134" s="589"/>
      <c r="BE134" s="54"/>
      <c r="BF134" s="54"/>
      <c r="BG134" s="54"/>
      <c r="BH134" s="54"/>
      <c r="BI134" s="54"/>
      <c r="BL134" s="279">
        <f t="shared" si="296"/>
        <v>0</v>
      </c>
      <c r="BM134" s="279">
        <f t="shared" si="297"/>
        <v>0</v>
      </c>
      <c r="BN134" s="279">
        <f t="shared" si="75"/>
        <v>0</v>
      </c>
      <c r="BO134" s="279">
        <f t="shared" si="76"/>
        <v>0</v>
      </c>
      <c r="BP134" s="279">
        <f t="shared" si="77"/>
        <v>0</v>
      </c>
      <c r="BR134" s="54">
        <f t="shared" si="70"/>
        <v>0</v>
      </c>
      <c r="BS134" s="54">
        <f t="shared" si="71"/>
        <v>0</v>
      </c>
      <c r="BT134" s="54">
        <f t="shared" si="72"/>
        <v>0</v>
      </c>
      <c r="BU134" s="54">
        <f>BO134-BA134</f>
        <v>0</v>
      </c>
      <c r="BV134" s="54">
        <f t="shared" si="74"/>
        <v>0</v>
      </c>
      <c r="CT134" s="596"/>
    </row>
    <row r="135" spans="2:74" ht="12.75">
      <c r="B135" s="35">
        <v>2</v>
      </c>
      <c r="C135" s="72" t="s">
        <v>123</v>
      </c>
      <c r="D135" s="35">
        <v>935</v>
      </c>
      <c r="E135" s="560">
        <v>103</v>
      </c>
      <c r="F135" s="73"/>
      <c r="G135" s="73" t="str">
        <f t="shared" si="143"/>
        <v>046935</v>
      </c>
      <c r="I135" s="616" t="s">
        <v>128</v>
      </c>
      <c r="J135" s="616" t="s">
        <v>151</v>
      </c>
      <c r="K135" s="621" t="s">
        <v>143</v>
      </c>
      <c r="L135" s="622">
        <v>639</v>
      </c>
      <c r="M135" s="69">
        <f t="shared" si="291"/>
        <v>0</v>
      </c>
      <c r="N135" s="69">
        <f t="shared" si="291"/>
        <v>0</v>
      </c>
      <c r="O135" s="69">
        <f t="shared" si="291"/>
        <v>0</v>
      </c>
      <c r="P135" s="69">
        <f t="shared" si="291"/>
        <v>0</v>
      </c>
      <c r="Q135" s="69">
        <f t="shared" si="291"/>
        <v>0</v>
      </c>
      <c r="R135" s="69">
        <f t="shared" si="250"/>
        <v>1</v>
      </c>
      <c r="S135" s="620"/>
      <c r="T135" s="620"/>
      <c r="U135" s="620"/>
      <c r="V135" s="620"/>
      <c r="W135" s="620"/>
      <c r="AE135" s="69">
        <f t="shared" si="292"/>
        <v>0</v>
      </c>
      <c r="AF135" s="69">
        <f t="shared" si="292"/>
        <v>0</v>
      </c>
      <c r="AG135" s="69">
        <f t="shared" si="292"/>
        <v>0</v>
      </c>
      <c r="AH135" s="69">
        <f t="shared" si="292"/>
        <v>0</v>
      </c>
      <c r="AI135" s="69">
        <f t="shared" si="292"/>
        <v>0</v>
      </c>
      <c r="AK135" s="436">
        <f t="shared" si="239"/>
        <v>0</v>
      </c>
      <c r="AL135" s="436">
        <f t="shared" si="219"/>
        <v>0</v>
      </c>
      <c r="AM135" s="436">
        <f t="shared" si="293"/>
        <v>0</v>
      </c>
      <c r="AN135" s="436">
        <f t="shared" si="294"/>
        <v>0</v>
      </c>
      <c r="AO135" s="436">
        <f t="shared" si="295"/>
        <v>0</v>
      </c>
      <c r="AW135" s="448"/>
      <c r="AX135" s="583"/>
      <c r="AY135" s="583"/>
      <c r="AZ135" s="583"/>
      <c r="BA135" s="583"/>
      <c r="BB135" s="583"/>
      <c r="BC135" s="140"/>
      <c r="BD135" s="589"/>
      <c r="BE135" s="54"/>
      <c r="BF135" s="54"/>
      <c r="BG135" s="54"/>
      <c r="BH135" s="54"/>
      <c r="BI135" s="54"/>
      <c r="BL135" s="279">
        <f t="shared" si="296"/>
        <v>0</v>
      </c>
      <c r="BM135" s="279">
        <f t="shared" si="297"/>
        <v>0</v>
      </c>
      <c r="BN135" s="279">
        <f t="shared" si="75"/>
        <v>0</v>
      </c>
      <c r="BO135" s="279">
        <f t="shared" si="76"/>
        <v>0</v>
      </c>
      <c r="BP135" s="279">
        <f t="shared" si="77"/>
        <v>0</v>
      </c>
      <c r="BR135" s="54">
        <f>BL135-AX135</f>
        <v>0</v>
      </c>
      <c r="BS135" s="54">
        <f t="shared" si="71"/>
        <v>0</v>
      </c>
      <c r="BT135" s="54">
        <f t="shared" si="72"/>
        <v>0</v>
      </c>
      <c r="BU135" s="54">
        <f t="shared" si="73"/>
        <v>0</v>
      </c>
      <c r="BV135" s="54">
        <f t="shared" si="74"/>
        <v>0</v>
      </c>
    </row>
    <row r="136" spans="5:74" ht="12.75">
      <c r="E136" s="74">
        <f>SUM(E103:E135)</f>
        <v>932</v>
      </c>
      <c r="F136" s="75"/>
      <c r="G136" s="73" t="str">
        <f t="shared" si="143"/>
        <v/>
      </c>
      <c r="H136" s="73"/>
      <c r="I136" s="616" t="s">
        <v>139</v>
      </c>
      <c r="J136" s="616" t="s">
        <v>109</v>
      </c>
      <c r="K136" s="621" t="s">
        <v>143</v>
      </c>
      <c r="L136" s="622">
        <v>642</v>
      </c>
      <c r="M136" s="69">
        <f t="shared" si="291"/>
        <v>0</v>
      </c>
      <c r="N136" s="69">
        <f t="shared" si="291"/>
        <v>0</v>
      </c>
      <c r="O136" s="69">
        <f t="shared" si="291"/>
        <v>0</v>
      </c>
      <c r="P136" s="69">
        <f t="shared" si="291"/>
        <v>0</v>
      </c>
      <c r="Q136" s="69">
        <f t="shared" si="291"/>
        <v>0</v>
      </c>
      <c r="R136" s="69">
        <f t="shared" si="250"/>
        <v>1</v>
      </c>
      <c r="S136" s="620"/>
      <c r="T136" s="620"/>
      <c r="U136" s="620"/>
      <c r="V136" s="620"/>
      <c r="W136" s="620"/>
      <c r="Y136" s="612"/>
      <c r="Z136" s="612"/>
      <c r="AA136" s="612"/>
      <c r="AB136" s="612"/>
      <c r="AC136" s="612"/>
      <c r="AE136" s="69">
        <f t="shared" si="292"/>
        <v>0</v>
      </c>
      <c r="AF136" s="69">
        <f t="shared" si="292"/>
        <v>0</v>
      </c>
      <c r="AG136" s="69">
        <f t="shared" si="292"/>
        <v>0</v>
      </c>
      <c r="AH136" s="69">
        <f t="shared" si="292"/>
        <v>0</v>
      </c>
      <c r="AI136" s="69">
        <f t="shared" si="292"/>
        <v>0</v>
      </c>
      <c r="AK136" s="436">
        <f t="shared" si="239"/>
        <v>0</v>
      </c>
      <c r="AL136" s="436">
        <f t="shared" si="219"/>
        <v>0</v>
      </c>
      <c r="AM136" s="436">
        <f t="shared" si="293"/>
        <v>0</v>
      </c>
      <c r="AN136" s="436">
        <f t="shared" si="294"/>
        <v>0</v>
      </c>
      <c r="AO136" s="436">
        <f t="shared" si="295"/>
        <v>0</v>
      </c>
      <c r="AW136" s="448"/>
      <c r="AX136" s="583"/>
      <c r="AY136" s="583"/>
      <c r="AZ136" s="583"/>
      <c r="BA136" s="583"/>
      <c r="BB136" s="583"/>
      <c r="BC136" s="140"/>
      <c r="BD136" s="589"/>
      <c r="BE136" s="54"/>
      <c r="BF136" s="54"/>
      <c r="BG136" s="54"/>
      <c r="BH136" s="54"/>
      <c r="BI136" s="54"/>
      <c r="BL136" s="279">
        <f t="shared" si="296"/>
        <v>0</v>
      </c>
      <c r="BM136" s="279">
        <f t="shared" si="297"/>
        <v>0</v>
      </c>
      <c r="BN136" s="279">
        <f t="shared" si="75"/>
        <v>0</v>
      </c>
      <c r="BO136" s="279">
        <f t="shared" si="76"/>
        <v>0</v>
      </c>
      <c r="BP136" s="279">
        <f t="shared" si="77"/>
        <v>0</v>
      </c>
      <c r="BR136" s="54">
        <f t="shared" si="70"/>
        <v>0</v>
      </c>
      <c r="BS136" s="54">
        <f t="shared" si="71"/>
        <v>0</v>
      </c>
      <c r="BT136" s="54">
        <f t="shared" si="72"/>
        <v>0</v>
      </c>
      <c r="BU136" s="54">
        <f t="shared" si="73"/>
        <v>0</v>
      </c>
      <c r="BV136" s="54">
        <f t="shared" si="74"/>
        <v>0</v>
      </c>
    </row>
    <row r="137" spans="7:97" ht="12.75">
      <c r="G137" s="73" t="str">
        <f t="shared" si="143"/>
        <v/>
      </c>
      <c r="I137" s="616" t="s">
        <v>128</v>
      </c>
      <c r="J137" s="616" t="s">
        <v>108</v>
      </c>
      <c r="K137" s="621" t="s">
        <v>145</v>
      </c>
      <c r="L137" s="622">
        <v>731</v>
      </c>
      <c r="M137" s="69">
        <f t="shared" si="291"/>
        <v>0</v>
      </c>
      <c r="N137" s="69">
        <f t="shared" si="291"/>
        <v>0</v>
      </c>
      <c r="O137" s="69">
        <f t="shared" si="291"/>
        <v>0</v>
      </c>
      <c r="P137" s="69">
        <f t="shared" si="291"/>
        <v>0</v>
      </c>
      <c r="Q137" s="69">
        <f t="shared" si="291"/>
        <v>0</v>
      </c>
      <c r="R137" s="69">
        <f t="shared" si="250"/>
        <v>1</v>
      </c>
      <c r="S137" s="620"/>
      <c r="T137" s="620"/>
      <c r="U137" s="620"/>
      <c r="V137" s="620"/>
      <c r="W137" s="620"/>
      <c r="AE137" s="69">
        <f t="shared" si="292"/>
        <v>0</v>
      </c>
      <c r="AF137" s="69">
        <f t="shared" si="292"/>
        <v>0</v>
      </c>
      <c r="AG137" s="69">
        <f t="shared" si="292"/>
        <v>0</v>
      </c>
      <c r="AH137" s="69">
        <f t="shared" si="292"/>
        <v>0</v>
      </c>
      <c r="AI137" s="69">
        <f t="shared" si="292"/>
        <v>0</v>
      </c>
      <c r="AK137" s="436">
        <f t="shared" si="239"/>
        <v>0</v>
      </c>
      <c r="AL137" s="436">
        <f t="shared" si="219"/>
        <v>0</v>
      </c>
      <c r="AM137" s="436">
        <f t="shared" si="293"/>
        <v>0</v>
      </c>
      <c r="AN137" s="436">
        <f t="shared" si="294"/>
        <v>0</v>
      </c>
      <c r="AO137" s="436">
        <f t="shared" si="295"/>
        <v>0</v>
      </c>
      <c r="AW137" s="448"/>
      <c r="AX137" s="583"/>
      <c r="AY137" s="583"/>
      <c r="AZ137" s="583"/>
      <c r="BA137" s="583"/>
      <c r="BB137" s="583"/>
      <c r="BC137" s="140"/>
      <c r="BD137" s="589"/>
      <c r="BE137" s="54"/>
      <c r="BF137" s="54"/>
      <c r="BG137" s="54"/>
      <c r="BH137" s="54"/>
      <c r="BI137" s="54"/>
      <c r="BL137" s="279">
        <f t="shared" si="296"/>
        <v>0</v>
      </c>
      <c r="BM137" s="279">
        <f t="shared" si="297"/>
        <v>0</v>
      </c>
      <c r="BN137" s="279">
        <f t="shared" si="75"/>
        <v>0</v>
      </c>
      <c r="BO137" s="279">
        <f t="shared" si="76"/>
        <v>0</v>
      </c>
      <c r="BP137" s="279">
        <f t="shared" si="77"/>
        <v>0</v>
      </c>
      <c r="BR137" s="54">
        <f t="shared" si="70"/>
        <v>0</v>
      </c>
      <c r="BS137" s="54">
        <f t="shared" si="71"/>
        <v>0</v>
      </c>
      <c r="BT137" s="54">
        <f t="shared" si="72"/>
        <v>0</v>
      </c>
      <c r="BU137" s="54">
        <f t="shared" si="73"/>
        <v>0</v>
      </c>
      <c r="BV137" s="54">
        <f t="shared" si="74"/>
        <v>0</v>
      </c>
      <c r="CS137" s="596"/>
    </row>
    <row r="138" spans="2:96" ht="12.75">
      <c r="B138" s="35">
        <v>2</v>
      </c>
      <c r="E138" s="73">
        <f>E11+E77+E93+E101+E136</f>
        <v>23797</v>
      </c>
      <c r="F138" s="73">
        <f>F11+F77+F93+F101+F136</f>
        <v>0</v>
      </c>
      <c r="G138" s="73"/>
      <c r="I138" s="616" t="s">
        <v>128</v>
      </c>
      <c r="J138" s="616" t="s">
        <v>110</v>
      </c>
      <c r="K138" s="621" t="s">
        <v>145</v>
      </c>
      <c r="L138" s="622">
        <v>733</v>
      </c>
      <c r="M138" s="69">
        <f t="shared" si="291"/>
        <v>0</v>
      </c>
      <c r="N138" s="69">
        <f t="shared" si="291"/>
        <v>0</v>
      </c>
      <c r="O138" s="69">
        <f t="shared" si="291"/>
        <v>0</v>
      </c>
      <c r="P138" s="69">
        <f t="shared" si="291"/>
        <v>0</v>
      </c>
      <c r="Q138" s="69">
        <f t="shared" si="291"/>
        <v>0</v>
      </c>
      <c r="R138" s="69">
        <f>IF(SUM(M138:Q138)&gt;0,0,1)</f>
        <v>1</v>
      </c>
      <c r="S138" s="620"/>
      <c r="T138" s="620"/>
      <c r="U138" s="620"/>
      <c r="V138" s="620"/>
      <c r="W138" s="620"/>
      <c r="AE138" s="69">
        <f t="shared" si="292"/>
        <v>0</v>
      </c>
      <c r="AF138" s="69">
        <f t="shared" si="292"/>
        <v>0</v>
      </c>
      <c r="AG138" s="69">
        <f t="shared" si="292"/>
        <v>0</v>
      </c>
      <c r="AH138" s="69">
        <f t="shared" si="292"/>
        <v>0</v>
      </c>
      <c r="AI138" s="69">
        <f t="shared" si="292"/>
        <v>0</v>
      </c>
      <c r="AK138" s="436">
        <f t="shared" si="239"/>
        <v>0</v>
      </c>
      <c r="AL138" s="436">
        <f t="shared" si="219"/>
        <v>0</v>
      </c>
      <c r="AM138" s="436">
        <f t="shared" si="293"/>
        <v>0</v>
      </c>
      <c r="AN138" s="436">
        <f t="shared" si="294"/>
        <v>0</v>
      </c>
      <c r="AO138" s="436">
        <f t="shared" si="295"/>
        <v>0</v>
      </c>
      <c r="AW138" s="448"/>
      <c r="AX138" s="583"/>
      <c r="AY138" s="583"/>
      <c r="AZ138" s="583"/>
      <c r="BA138" s="583"/>
      <c r="BB138" s="583"/>
      <c r="BC138" s="140"/>
      <c r="BD138" s="589"/>
      <c r="BE138" s="54"/>
      <c r="BF138" s="54"/>
      <c r="BG138" s="54"/>
      <c r="BH138" s="54"/>
      <c r="BI138" s="54"/>
      <c r="BL138" s="279">
        <f t="shared" si="296"/>
        <v>0</v>
      </c>
      <c r="BM138" s="279">
        <f t="shared" si="297"/>
        <v>0</v>
      </c>
      <c r="BN138" s="279">
        <f t="shared" si="75"/>
        <v>0</v>
      </c>
      <c r="BO138" s="279">
        <f t="shared" si="76"/>
        <v>0</v>
      </c>
      <c r="BP138" s="279">
        <f t="shared" si="77"/>
        <v>0</v>
      </c>
      <c r="BR138" s="54">
        <f t="shared" si="70"/>
        <v>0</v>
      </c>
      <c r="BS138" s="54">
        <f t="shared" si="71"/>
        <v>0</v>
      </c>
      <c r="BT138" s="54">
        <f t="shared" si="72"/>
        <v>0</v>
      </c>
      <c r="BU138" s="54">
        <f t="shared" si="73"/>
        <v>0</v>
      </c>
      <c r="BV138" s="54">
        <f t="shared" si="74"/>
        <v>0</v>
      </c>
      <c r="CR138" s="596"/>
    </row>
    <row r="139" spans="2:95" ht="12.75">
      <c r="B139"/>
      <c r="C139"/>
      <c r="D139"/>
      <c r="I139" s="616" t="s">
        <v>128</v>
      </c>
      <c r="J139" s="616" t="s">
        <v>151</v>
      </c>
      <c r="K139" s="621" t="s">
        <v>145</v>
      </c>
      <c r="L139" s="622">
        <v>739</v>
      </c>
      <c r="M139" s="69">
        <f t="shared" si="291"/>
        <v>0</v>
      </c>
      <c r="N139" s="69">
        <f t="shared" si="291"/>
        <v>0</v>
      </c>
      <c r="O139" s="69">
        <f t="shared" si="291"/>
        <v>0</v>
      </c>
      <c r="P139" s="69">
        <f t="shared" si="291"/>
        <v>0</v>
      </c>
      <c r="Q139" s="69">
        <f t="shared" si="291"/>
        <v>0</v>
      </c>
      <c r="R139" s="69">
        <f t="shared" si="250"/>
        <v>1</v>
      </c>
      <c r="S139" s="620"/>
      <c r="T139" s="620"/>
      <c r="U139" s="620"/>
      <c r="V139" s="620"/>
      <c r="W139" s="620"/>
      <c r="AE139" s="69">
        <f t="shared" si="292"/>
        <v>0</v>
      </c>
      <c r="AF139" s="69">
        <f t="shared" si="292"/>
        <v>0</v>
      </c>
      <c r="AG139" s="69">
        <f t="shared" si="292"/>
        <v>0</v>
      </c>
      <c r="AH139" s="69">
        <f t="shared" si="292"/>
        <v>0</v>
      </c>
      <c r="AI139" s="69">
        <f t="shared" si="292"/>
        <v>0</v>
      </c>
      <c r="AK139" s="436">
        <f t="shared" si="239"/>
        <v>0</v>
      </c>
      <c r="AL139" s="436">
        <f t="shared" si="219"/>
        <v>0</v>
      </c>
      <c r="AM139" s="436">
        <f t="shared" si="293"/>
        <v>0</v>
      </c>
      <c r="AN139" s="436">
        <f t="shared" si="294"/>
        <v>0</v>
      </c>
      <c r="AO139" s="436">
        <f t="shared" si="295"/>
        <v>0</v>
      </c>
      <c r="AW139" s="448"/>
      <c r="AX139" s="583"/>
      <c r="AY139" s="583"/>
      <c r="AZ139" s="583"/>
      <c r="BA139" s="583"/>
      <c r="BB139" s="583"/>
      <c r="BC139" s="140"/>
      <c r="BD139" s="589"/>
      <c r="BE139" s="54"/>
      <c r="BF139" s="54"/>
      <c r="BG139" s="54"/>
      <c r="BH139" s="54"/>
      <c r="BI139" s="54"/>
      <c r="BL139" s="279">
        <f t="shared" si="296"/>
        <v>0</v>
      </c>
      <c r="BM139" s="279">
        <f t="shared" si="297"/>
        <v>0</v>
      </c>
      <c r="BN139" s="279">
        <f t="shared" si="75"/>
        <v>0</v>
      </c>
      <c r="BO139" s="279">
        <f t="shared" si="76"/>
        <v>0</v>
      </c>
      <c r="BP139" s="279">
        <f t="shared" si="77"/>
        <v>0</v>
      </c>
      <c r="BR139" s="54">
        <f aca="true" t="shared" si="298" ref="BR139:BV142">BL139-AX139</f>
        <v>0</v>
      </c>
      <c r="BS139" s="54">
        <f t="shared" si="298"/>
        <v>0</v>
      </c>
      <c r="BT139" s="54">
        <f t="shared" si="298"/>
        <v>0</v>
      </c>
      <c r="BU139" s="54">
        <f t="shared" si="298"/>
        <v>0</v>
      </c>
      <c r="BV139" s="54">
        <f t="shared" si="298"/>
        <v>0</v>
      </c>
      <c r="CP139" s="596"/>
      <c r="CQ139" s="596"/>
    </row>
    <row r="140" spans="2:74" ht="12.75">
      <c r="B140"/>
      <c r="C140"/>
      <c r="D140" s="59" t="s">
        <v>406</v>
      </c>
      <c r="E140" s="175">
        <f>66+22219+204+175+972</f>
        <v>23636</v>
      </c>
      <c r="I140" s="616" t="s">
        <v>139</v>
      </c>
      <c r="J140" s="616" t="s">
        <v>109</v>
      </c>
      <c r="K140" s="621" t="s">
        <v>145</v>
      </c>
      <c r="L140" s="622">
        <v>742</v>
      </c>
      <c r="M140" s="69">
        <f t="shared" si="291"/>
        <v>0</v>
      </c>
      <c r="N140" s="69">
        <f t="shared" si="291"/>
        <v>0</v>
      </c>
      <c r="O140" s="69">
        <f t="shared" si="291"/>
        <v>0</v>
      </c>
      <c r="P140" s="69">
        <f t="shared" si="291"/>
        <v>0</v>
      </c>
      <c r="Q140" s="69">
        <f t="shared" si="291"/>
        <v>0</v>
      </c>
      <c r="R140" s="69">
        <f t="shared" si="250"/>
        <v>1</v>
      </c>
      <c r="S140" s="620"/>
      <c r="T140" s="620"/>
      <c r="U140" s="620"/>
      <c r="V140" s="620"/>
      <c r="W140" s="620"/>
      <c r="AE140" s="69">
        <f t="shared" si="292"/>
        <v>0</v>
      </c>
      <c r="AF140" s="69">
        <f t="shared" si="292"/>
        <v>0</v>
      </c>
      <c r="AG140" s="69">
        <f t="shared" si="292"/>
        <v>0</v>
      </c>
      <c r="AH140" s="69">
        <f t="shared" si="292"/>
        <v>0</v>
      </c>
      <c r="AI140" s="69">
        <f t="shared" si="292"/>
        <v>0</v>
      </c>
      <c r="AK140" s="436">
        <f t="shared" si="239"/>
        <v>0</v>
      </c>
      <c r="AL140" s="436">
        <f t="shared" si="219"/>
        <v>0</v>
      </c>
      <c r="AM140" s="436">
        <f t="shared" si="293"/>
        <v>0</v>
      </c>
      <c r="AN140" s="436">
        <f t="shared" si="294"/>
        <v>0</v>
      </c>
      <c r="AO140" s="436">
        <f t="shared" si="295"/>
        <v>0</v>
      </c>
      <c r="AW140" s="448"/>
      <c r="AX140" s="583"/>
      <c r="AY140" s="583"/>
      <c r="AZ140" s="583"/>
      <c r="BA140" s="583"/>
      <c r="BB140" s="583"/>
      <c r="BC140" s="140"/>
      <c r="BD140" s="589"/>
      <c r="BE140" s="54"/>
      <c r="BF140" s="54"/>
      <c r="BG140" s="54"/>
      <c r="BH140" s="54"/>
      <c r="BI140" s="54"/>
      <c r="BL140" s="279">
        <f t="shared" si="296"/>
        <v>0</v>
      </c>
      <c r="BM140" s="279">
        <f t="shared" si="297"/>
        <v>0</v>
      </c>
      <c r="BN140" s="279">
        <f t="shared" si="75"/>
        <v>0</v>
      </c>
      <c r="BO140" s="279">
        <f t="shared" si="76"/>
        <v>0</v>
      </c>
      <c r="BP140" s="279">
        <f t="shared" si="77"/>
        <v>0</v>
      </c>
      <c r="BR140" s="54">
        <f t="shared" si="298"/>
        <v>0</v>
      </c>
      <c r="BS140" s="54">
        <f t="shared" si="298"/>
        <v>0</v>
      </c>
      <c r="BT140" s="54">
        <f t="shared" si="298"/>
        <v>0</v>
      </c>
      <c r="BU140" s="54">
        <f t="shared" si="298"/>
        <v>0</v>
      </c>
      <c r="BV140" s="54">
        <f t="shared" si="298"/>
        <v>0</v>
      </c>
    </row>
    <row r="141" spans="2:79" ht="12.75">
      <c r="B141"/>
      <c r="C141"/>
      <c r="D141" s="59" t="s">
        <v>407</v>
      </c>
      <c r="E141" s="175">
        <f>5318+3673</f>
        <v>8991</v>
      </c>
      <c r="I141" s="616" t="s">
        <v>133</v>
      </c>
      <c r="J141" s="616" t="s">
        <v>131</v>
      </c>
      <c r="K141" s="621">
        <v>55000</v>
      </c>
      <c r="L141" s="622">
        <v>815</v>
      </c>
      <c r="M141" s="69">
        <f t="shared" si="291"/>
        <v>0</v>
      </c>
      <c r="N141" s="69">
        <f t="shared" si="291"/>
        <v>0</v>
      </c>
      <c r="O141" s="69">
        <f t="shared" si="291"/>
        <v>0</v>
      </c>
      <c r="P141" s="69">
        <f t="shared" si="291"/>
        <v>0</v>
      </c>
      <c r="Q141" s="69">
        <f t="shared" si="291"/>
        <v>0</v>
      </c>
      <c r="R141" s="69">
        <f t="shared" si="250"/>
        <v>1</v>
      </c>
      <c r="S141" s="620"/>
      <c r="T141" s="620"/>
      <c r="U141" s="620"/>
      <c r="V141" s="620"/>
      <c r="W141" s="620"/>
      <c r="AE141" s="69">
        <f t="shared" si="292"/>
        <v>0</v>
      </c>
      <c r="AF141" s="69">
        <f t="shared" si="292"/>
        <v>0</v>
      </c>
      <c r="AG141" s="69">
        <f t="shared" si="292"/>
        <v>0</v>
      </c>
      <c r="AH141" s="69">
        <f t="shared" si="292"/>
        <v>0</v>
      </c>
      <c r="AI141" s="69">
        <f t="shared" si="292"/>
        <v>0</v>
      </c>
      <c r="AK141" s="436">
        <f t="shared" si="239"/>
        <v>0</v>
      </c>
      <c r="AL141" s="436">
        <f t="shared" si="219"/>
        <v>0</v>
      </c>
      <c r="AM141" s="436">
        <f t="shared" si="293"/>
        <v>0</v>
      </c>
      <c r="AN141" s="436">
        <f t="shared" si="294"/>
        <v>0</v>
      </c>
      <c r="AO141" s="436">
        <f t="shared" si="295"/>
        <v>0</v>
      </c>
      <c r="AW141" s="448"/>
      <c r="AX141" s="583"/>
      <c r="AY141" s="583"/>
      <c r="AZ141" s="583"/>
      <c r="BA141" s="583"/>
      <c r="BB141" s="583"/>
      <c r="BC141" s="140"/>
      <c r="BD141" s="589"/>
      <c r="BE141" s="54"/>
      <c r="BF141" s="54"/>
      <c r="BG141" s="54"/>
      <c r="BH141" s="54"/>
      <c r="BI141" s="54"/>
      <c r="BL141" s="279">
        <f t="shared" si="296"/>
        <v>0</v>
      </c>
      <c r="BM141" s="279">
        <f t="shared" si="297"/>
        <v>0</v>
      </c>
      <c r="BN141" s="279">
        <f t="shared" si="75"/>
        <v>0</v>
      </c>
      <c r="BO141" s="279">
        <f t="shared" si="76"/>
        <v>0</v>
      </c>
      <c r="BP141" s="279">
        <f t="shared" si="77"/>
        <v>0</v>
      </c>
      <c r="BR141" s="54">
        <f t="shared" si="298"/>
        <v>0</v>
      </c>
      <c r="BS141" s="54">
        <f t="shared" si="298"/>
        <v>0</v>
      </c>
      <c r="BT141" s="54">
        <f t="shared" si="298"/>
        <v>0</v>
      </c>
      <c r="BU141" s="54">
        <f t="shared" si="298"/>
        <v>0</v>
      </c>
      <c r="BV141" s="54">
        <f t="shared" si="298"/>
        <v>0</v>
      </c>
      <c r="BZ141" s="578"/>
      <c r="CA141" s="578"/>
    </row>
    <row r="142" spans="2:79" ht="12.75">
      <c r="B142"/>
      <c r="C142"/>
      <c r="E142" s="74">
        <f>E140+E141</f>
        <v>32627</v>
      </c>
      <c r="I142" s="616" t="s">
        <v>128</v>
      </c>
      <c r="J142" s="616" t="s">
        <v>110</v>
      </c>
      <c r="K142" s="621" t="s">
        <v>147</v>
      </c>
      <c r="L142" s="622">
        <v>833</v>
      </c>
      <c r="M142" s="69">
        <f t="shared" si="291"/>
        <v>0</v>
      </c>
      <c r="N142" s="69">
        <f t="shared" si="291"/>
        <v>0</v>
      </c>
      <c r="O142" s="69">
        <f t="shared" si="291"/>
        <v>0</v>
      </c>
      <c r="P142" s="69">
        <f t="shared" si="291"/>
        <v>0</v>
      </c>
      <c r="Q142" s="69">
        <f t="shared" si="291"/>
        <v>0</v>
      </c>
      <c r="R142" s="69">
        <f t="shared" si="250"/>
        <v>1</v>
      </c>
      <c r="S142" s="620"/>
      <c r="T142" s="620"/>
      <c r="U142" s="620"/>
      <c r="V142" s="620"/>
      <c r="W142" s="620"/>
      <c r="AE142" s="69">
        <f t="shared" si="292"/>
        <v>0</v>
      </c>
      <c r="AF142" s="69">
        <f t="shared" si="292"/>
        <v>0</v>
      </c>
      <c r="AG142" s="69">
        <f t="shared" si="292"/>
        <v>0</v>
      </c>
      <c r="AH142" s="69">
        <f t="shared" si="292"/>
        <v>0</v>
      </c>
      <c r="AI142" s="69">
        <f t="shared" si="292"/>
        <v>0</v>
      </c>
      <c r="AK142" s="436">
        <f t="shared" si="239"/>
        <v>0</v>
      </c>
      <c r="AL142" s="436">
        <f t="shared" si="219"/>
        <v>0</v>
      </c>
      <c r="AM142" s="436">
        <f t="shared" si="293"/>
        <v>0</v>
      </c>
      <c r="AN142" s="436">
        <f t="shared" si="294"/>
        <v>0</v>
      </c>
      <c r="AO142" s="436">
        <f t="shared" si="295"/>
        <v>0</v>
      </c>
      <c r="AW142" s="448"/>
      <c r="AX142" s="583"/>
      <c r="AY142" s="583"/>
      <c r="AZ142" s="583"/>
      <c r="BA142" s="583"/>
      <c r="BB142" s="583"/>
      <c r="BC142" s="140"/>
      <c r="BD142" s="589"/>
      <c r="BE142" s="54"/>
      <c r="BF142" s="54"/>
      <c r="BG142" s="54"/>
      <c r="BH142" s="54"/>
      <c r="BI142" s="54"/>
      <c r="BL142" s="279">
        <f t="shared" si="296"/>
        <v>0</v>
      </c>
      <c r="BM142" s="279">
        <f t="shared" si="297"/>
        <v>0</v>
      </c>
      <c r="BN142" s="279">
        <f t="shared" si="75"/>
        <v>0</v>
      </c>
      <c r="BO142" s="279">
        <f t="shared" si="76"/>
        <v>0</v>
      </c>
      <c r="BP142" s="279">
        <f t="shared" si="77"/>
        <v>0</v>
      </c>
      <c r="BR142" s="54">
        <f t="shared" si="298"/>
        <v>0</v>
      </c>
      <c r="BS142" s="54">
        <f t="shared" si="298"/>
        <v>0</v>
      </c>
      <c r="BT142" s="54">
        <f t="shared" si="298"/>
        <v>0</v>
      </c>
      <c r="BU142" s="54">
        <f t="shared" si="298"/>
        <v>0</v>
      </c>
      <c r="BV142" s="54">
        <f t="shared" si="298"/>
        <v>0</v>
      </c>
      <c r="BW142" s="578"/>
      <c r="BX142" s="578"/>
      <c r="BY142" s="578"/>
      <c r="BZ142" s="578"/>
      <c r="CA142" s="578"/>
    </row>
    <row r="143" spans="2:79" ht="12.75">
      <c r="B143"/>
      <c r="C143"/>
      <c r="E143" s="73">
        <f>E138+'Area Lts'!E96-E142</f>
        <v>393</v>
      </c>
      <c r="I143" s="616" t="s">
        <v>720</v>
      </c>
      <c r="J143" s="616" t="s">
        <v>107</v>
      </c>
      <c r="K143" s="621" t="s">
        <v>602</v>
      </c>
      <c r="L143" s="622" t="s">
        <v>598</v>
      </c>
      <c r="M143" s="638">
        <f t="shared" si="291"/>
        <v>0</v>
      </c>
      <c r="N143" s="638">
        <f t="shared" si="291"/>
        <v>0</v>
      </c>
      <c r="O143" s="638">
        <f t="shared" si="291"/>
        <v>0</v>
      </c>
      <c r="P143" s="638">
        <f t="shared" si="291"/>
        <v>0</v>
      </c>
      <c r="Q143" s="638">
        <f t="shared" si="291"/>
        <v>0</v>
      </c>
      <c r="R143" s="638">
        <f>IF(SUM(M143:Q143)&gt;0,0,1)</f>
        <v>1</v>
      </c>
      <c r="S143" s="639">
        <v>0</v>
      </c>
      <c r="T143" s="639"/>
      <c r="U143" s="639">
        <v>0</v>
      </c>
      <c r="V143" s="639"/>
      <c r="W143" s="639"/>
      <c r="X143" s="616"/>
      <c r="Y143" s="616"/>
      <c r="Z143" s="616"/>
      <c r="AA143" s="616"/>
      <c r="AB143" s="616"/>
      <c r="AC143" s="616"/>
      <c r="AD143" s="616"/>
      <c r="AE143" s="638">
        <f t="shared" si="292"/>
        <v>0</v>
      </c>
      <c r="AF143" s="638">
        <f t="shared" si="292"/>
        <v>0</v>
      </c>
      <c r="AG143" s="638">
        <f t="shared" si="292"/>
        <v>0</v>
      </c>
      <c r="AH143" s="638">
        <f t="shared" si="292"/>
        <v>0</v>
      </c>
      <c r="AI143" s="638">
        <f t="shared" si="292"/>
        <v>0</v>
      </c>
      <c r="AJ143" s="616"/>
      <c r="AK143" s="640">
        <f>ROUND(S143*(1+AK$1),2)</f>
        <v>0</v>
      </c>
      <c r="AL143" s="640"/>
      <c r="AM143" s="586">
        <f>ROUND(U143*(1+AM$1),2)</f>
        <v>0</v>
      </c>
      <c r="AN143" s="586">
        <f>ROUND(V143*(1+AN$1),2)</f>
        <v>0</v>
      </c>
      <c r="AO143" s="586">
        <f>ROUND(W143*(1+AO$1),2)</f>
        <v>0</v>
      </c>
      <c r="AP143" s="578"/>
      <c r="AQ143" s="578"/>
      <c r="AR143" s="578"/>
      <c r="AS143" s="578"/>
      <c r="AT143" s="578"/>
      <c r="AU143" s="578"/>
      <c r="AV143" s="578"/>
      <c r="AW143" s="593">
        <v>26</v>
      </c>
      <c r="AX143" s="583"/>
      <c r="AY143" s="583">
        <v>0</v>
      </c>
      <c r="AZ143" s="583"/>
      <c r="BA143" s="583"/>
      <c r="BB143" s="583"/>
      <c r="BC143" s="583"/>
      <c r="BD143" s="589">
        <f>ROUND(AW143*$BD$2,2)+ROUND(AW143*$BD$1,2)</f>
        <v>0.06</v>
      </c>
      <c r="BE143" s="579"/>
      <c r="BF143" s="579">
        <f>ROUND((T143*$BE$2)+$BD143-AY143,2)</f>
        <v>0.06</v>
      </c>
      <c r="BG143" s="579"/>
      <c r="BH143" s="579"/>
      <c r="BI143" s="579"/>
      <c r="BJ143" s="578"/>
      <c r="BK143" s="578"/>
      <c r="BL143" s="587">
        <f>AK143*$BL$1</f>
        <v>0</v>
      </c>
      <c r="BM143" s="587">
        <f>AL143*$BL$1</f>
        <v>0</v>
      </c>
      <c r="BN143" s="587">
        <f>AM143*$BL$1</f>
        <v>0</v>
      </c>
      <c r="BO143" s="587">
        <f>AN143*$BL$1</f>
        <v>0</v>
      </c>
      <c r="BP143" s="587">
        <f>AO143*$BL$1</f>
        <v>0</v>
      </c>
      <c r="BQ143" s="578"/>
      <c r="BR143" s="579">
        <f>BL143-AX143</f>
        <v>0</v>
      </c>
      <c r="BS143" s="579">
        <f>BM143-AY143</f>
        <v>0</v>
      </c>
      <c r="BT143" s="579">
        <f>BN143-AZ143</f>
        <v>0</v>
      </c>
      <c r="BU143" s="579">
        <f>BO143-BA143</f>
        <v>0</v>
      </c>
      <c r="BV143" s="579">
        <f>BP143-BB143</f>
        <v>0</v>
      </c>
      <c r="BW143" s="578"/>
      <c r="BX143" s="578"/>
      <c r="BY143" s="578"/>
      <c r="BZ143" s="578"/>
      <c r="CA143" s="578"/>
    </row>
    <row r="144" spans="2:38" ht="12.75">
      <c r="B144"/>
      <c r="C144"/>
      <c r="I144" s="19" t="s">
        <v>717</v>
      </c>
      <c r="J144" s="19" t="s">
        <v>136</v>
      </c>
      <c r="K144" s="86" t="s">
        <v>615</v>
      </c>
      <c r="L144" s="321" t="s">
        <v>811</v>
      </c>
      <c r="T144" s="620">
        <v>47.26</v>
      </c>
      <c r="AL144" s="586">
        <f>ROUND(T144*(1+AL$1),2)</f>
        <v>47.26</v>
      </c>
    </row>
    <row r="145" spans="2:79" ht="12.75">
      <c r="B145"/>
      <c r="C145"/>
      <c r="I145" s="435" t="s">
        <v>713</v>
      </c>
      <c r="J145" s="578" t="s">
        <v>109</v>
      </c>
      <c r="K145" s="580" t="s">
        <v>615</v>
      </c>
      <c r="L145" s="582" t="s">
        <v>605</v>
      </c>
      <c r="M145" s="581">
        <f aca="true" t="shared" si="299" ref="M145:Q149">SUMIF($G:$G,TEXT(M$3,"000")&amp;TEXT($L145,"000"),$E:$E)</f>
        <v>0</v>
      </c>
      <c r="N145" s="581">
        <f t="shared" si="299"/>
        <v>0</v>
      </c>
      <c r="O145" s="581">
        <f t="shared" si="299"/>
        <v>0</v>
      </c>
      <c r="P145" s="581">
        <f t="shared" si="299"/>
        <v>0</v>
      </c>
      <c r="Q145" s="581">
        <f t="shared" si="299"/>
        <v>0</v>
      </c>
      <c r="R145" s="581">
        <f aca="true" t="shared" si="300" ref="R145:R152">IF(SUM(M145:Q145)&gt;0,0,1)</f>
        <v>1</v>
      </c>
      <c r="S145" s="620">
        <v>0</v>
      </c>
      <c r="T145" s="620">
        <v>59.28</v>
      </c>
      <c r="U145" s="620">
        <v>0</v>
      </c>
      <c r="V145" s="620"/>
      <c r="W145" s="620"/>
      <c r="X145" s="578"/>
      <c r="Y145" s="578"/>
      <c r="Z145" s="578"/>
      <c r="AA145" s="578"/>
      <c r="AB145" s="578"/>
      <c r="AC145" s="578"/>
      <c r="AD145" s="578"/>
      <c r="AE145" s="581">
        <f aca="true" t="shared" si="301" ref="AE145:AI149">SUMIF($G:$G,TEXT(AE$3,"000")&amp;TEXT($L145,"000"),$E:$E)</f>
        <v>0</v>
      </c>
      <c r="AF145" s="581">
        <f t="shared" si="301"/>
        <v>0</v>
      </c>
      <c r="AG145" s="581">
        <f t="shared" si="301"/>
        <v>0</v>
      </c>
      <c r="AH145" s="581">
        <f t="shared" si="301"/>
        <v>0</v>
      </c>
      <c r="AI145" s="581">
        <f t="shared" si="301"/>
        <v>0</v>
      </c>
      <c r="AJ145" s="578"/>
      <c r="AK145" s="586">
        <f aca="true" t="shared" si="302" ref="AK145:AK152">ROUND(S145*(1+AK$1),2)</f>
        <v>0</v>
      </c>
      <c r="AL145" s="586">
        <f>AL116</f>
        <v>0</v>
      </c>
      <c r="AM145" s="586">
        <f aca="true" t="shared" si="303" ref="AM145:AO152">ROUND(U145*(1+AM$1),2)</f>
        <v>0</v>
      </c>
      <c r="AN145" s="586">
        <f t="shared" si="303"/>
        <v>0</v>
      </c>
      <c r="AO145" s="586">
        <f t="shared" si="303"/>
        <v>0</v>
      </c>
      <c r="AP145" s="578"/>
      <c r="AQ145" s="578"/>
      <c r="AR145" s="578"/>
      <c r="AS145" s="578"/>
      <c r="AT145" s="578"/>
      <c r="AU145" s="578"/>
      <c r="AV145" s="578"/>
      <c r="AW145" s="593">
        <v>39</v>
      </c>
      <c r="AX145" s="583"/>
      <c r="AY145" s="583">
        <v>59.13</v>
      </c>
      <c r="AZ145" s="583"/>
      <c r="BA145" s="583"/>
      <c r="BB145" s="583"/>
      <c r="BC145" s="583"/>
      <c r="BD145" s="589">
        <f>ROUND(AW145*$BD$2,2)+ROUND(AW145*$BD$1,2)</f>
        <v>0.08000000000000002</v>
      </c>
      <c r="BE145" s="579"/>
      <c r="BF145" s="579">
        <f>ROUND((T145*$BE$2)+$BD145-AY145,2)</f>
        <v>1.13</v>
      </c>
      <c r="BG145" s="579"/>
      <c r="BH145" s="579"/>
      <c r="BI145" s="579"/>
      <c r="BJ145" s="578"/>
      <c r="BK145" s="578"/>
      <c r="BL145" s="587">
        <f aca="true" t="shared" si="304" ref="BL145:BM149">AK145*$BL$1</f>
        <v>0</v>
      </c>
      <c r="BM145" s="587">
        <f t="shared" si="304"/>
        <v>0</v>
      </c>
      <c r="BN145" s="587">
        <f aca="true" t="shared" si="305" ref="BN145:BP149">AM145*$BL$1</f>
        <v>0</v>
      </c>
      <c r="BO145" s="587">
        <f t="shared" si="305"/>
        <v>0</v>
      </c>
      <c r="BP145" s="587">
        <f t="shared" si="305"/>
        <v>0</v>
      </c>
      <c r="BQ145" s="578"/>
      <c r="BR145" s="579">
        <f aca="true" t="shared" si="306" ref="BR145:BV149">BL145-AX145</f>
        <v>0</v>
      </c>
      <c r="BS145" s="579">
        <f t="shared" si="306"/>
        <v>-59.13</v>
      </c>
      <c r="BT145" s="579">
        <f t="shared" si="306"/>
        <v>0</v>
      </c>
      <c r="BU145" s="579">
        <f t="shared" si="306"/>
        <v>0</v>
      </c>
      <c r="BV145" s="579">
        <f t="shared" si="306"/>
        <v>0</v>
      </c>
      <c r="BW145" s="578"/>
      <c r="BX145" s="578"/>
      <c r="BY145" s="578"/>
      <c r="BZ145" s="578"/>
      <c r="CA145" s="578"/>
    </row>
    <row r="146" spans="2:74" ht="12.75">
      <c r="B146"/>
      <c r="C146"/>
      <c r="I146" s="435" t="s">
        <v>717</v>
      </c>
      <c r="J146" s="596" t="s">
        <v>109</v>
      </c>
      <c r="K146" s="580" t="s">
        <v>132</v>
      </c>
      <c r="L146" s="582" t="s">
        <v>613</v>
      </c>
      <c r="M146" s="581">
        <f t="shared" si="299"/>
        <v>0</v>
      </c>
      <c r="N146" s="581">
        <f t="shared" si="299"/>
        <v>0</v>
      </c>
      <c r="O146" s="581">
        <f t="shared" si="299"/>
        <v>0</v>
      </c>
      <c r="P146" s="581">
        <f t="shared" si="299"/>
        <v>0</v>
      </c>
      <c r="Q146" s="581">
        <f t="shared" si="299"/>
        <v>0</v>
      </c>
      <c r="R146" s="581">
        <f t="shared" si="300"/>
        <v>1</v>
      </c>
      <c r="S146" s="620">
        <v>0</v>
      </c>
      <c r="T146" s="620">
        <v>40.7</v>
      </c>
      <c r="U146" s="620">
        <v>0</v>
      </c>
      <c r="V146" s="620">
        <v>0</v>
      </c>
      <c r="W146" s="620"/>
      <c r="X146" s="596"/>
      <c r="Y146" s="596"/>
      <c r="Z146" s="596"/>
      <c r="AA146" s="596"/>
      <c r="AB146" s="596"/>
      <c r="AC146" s="596"/>
      <c r="AD146" s="596"/>
      <c r="AE146" s="581">
        <f t="shared" si="301"/>
        <v>0</v>
      </c>
      <c r="AF146" s="581">
        <f t="shared" si="301"/>
        <v>0</v>
      </c>
      <c r="AG146" s="581">
        <f t="shared" si="301"/>
        <v>0</v>
      </c>
      <c r="AH146" s="581">
        <f t="shared" si="301"/>
        <v>0</v>
      </c>
      <c r="AI146" s="581">
        <f t="shared" si="301"/>
        <v>0</v>
      </c>
      <c r="AJ146" s="596"/>
      <c r="AK146" s="586">
        <f t="shared" si="302"/>
        <v>0</v>
      </c>
      <c r="AL146" s="586">
        <f>AL115</f>
        <v>0</v>
      </c>
      <c r="AM146" s="586">
        <f t="shared" si="303"/>
        <v>0</v>
      </c>
      <c r="AN146" s="586">
        <f t="shared" si="303"/>
        <v>0</v>
      </c>
      <c r="AO146" s="586">
        <f t="shared" si="303"/>
        <v>0</v>
      </c>
      <c r="AP146" s="596"/>
      <c r="AQ146" s="596"/>
      <c r="AR146" s="596"/>
      <c r="AS146" s="596"/>
      <c r="AT146" s="596"/>
      <c r="AU146" s="596"/>
      <c r="AV146" s="596"/>
      <c r="AW146" s="593">
        <f>26+26</f>
        <v>52</v>
      </c>
      <c r="AX146" s="583"/>
      <c r="AY146" s="583">
        <v>40.98</v>
      </c>
      <c r="AZ146" s="583"/>
      <c r="BA146" s="583"/>
      <c r="BB146" s="583"/>
      <c r="BC146" s="583"/>
      <c r="BD146" s="589">
        <f>ROUND(AW146*$BD$2,2)+ROUND(AW146*$BD$1,2)</f>
        <v>0.10999999999999999</v>
      </c>
      <c r="BE146" s="579"/>
      <c r="BF146" s="579">
        <f>ROUND((T146*$BE$2)+$BD146-AY146,2)</f>
        <v>0.44</v>
      </c>
      <c r="BG146" s="579"/>
      <c r="BH146" s="579"/>
      <c r="BI146" s="579"/>
      <c r="BJ146" s="596"/>
      <c r="BK146" s="596"/>
      <c r="BL146" s="587">
        <f t="shared" si="304"/>
        <v>0</v>
      </c>
      <c r="BM146" s="587">
        <f t="shared" si="304"/>
        <v>0</v>
      </c>
      <c r="BN146" s="587">
        <f t="shared" si="305"/>
        <v>0</v>
      </c>
      <c r="BO146" s="587">
        <f t="shared" si="305"/>
        <v>0</v>
      </c>
      <c r="BP146" s="587">
        <f t="shared" si="305"/>
        <v>0</v>
      </c>
      <c r="BQ146" s="596"/>
      <c r="BR146" s="579">
        <f t="shared" si="306"/>
        <v>0</v>
      </c>
      <c r="BS146" s="579">
        <f t="shared" si="306"/>
        <v>-40.98</v>
      </c>
      <c r="BT146" s="579">
        <f t="shared" si="306"/>
        <v>0</v>
      </c>
      <c r="BU146" s="579">
        <f t="shared" si="306"/>
        <v>0</v>
      </c>
      <c r="BV146" s="579">
        <f t="shared" si="306"/>
        <v>0</v>
      </c>
    </row>
    <row r="147" spans="9:74" ht="12.75">
      <c r="I147" s="435" t="s">
        <v>720</v>
      </c>
      <c r="J147" s="596" t="s">
        <v>107</v>
      </c>
      <c r="K147" s="580" t="s">
        <v>132</v>
      </c>
      <c r="L147" s="582" t="s">
        <v>614</v>
      </c>
      <c r="M147" s="581">
        <f t="shared" si="299"/>
        <v>0</v>
      </c>
      <c r="N147" s="581">
        <f t="shared" si="299"/>
        <v>0</v>
      </c>
      <c r="O147" s="581">
        <f t="shared" si="299"/>
        <v>0</v>
      </c>
      <c r="P147" s="581">
        <f t="shared" si="299"/>
        <v>0</v>
      </c>
      <c r="Q147" s="581">
        <f t="shared" si="299"/>
        <v>0</v>
      </c>
      <c r="R147" s="581">
        <f t="shared" si="300"/>
        <v>1</v>
      </c>
      <c r="S147" s="620">
        <v>0</v>
      </c>
      <c r="T147" s="620">
        <v>19.71</v>
      </c>
      <c r="U147" s="620">
        <v>0</v>
      </c>
      <c r="V147" s="620">
        <v>0</v>
      </c>
      <c r="W147" s="620"/>
      <c r="X147" s="596"/>
      <c r="Y147" s="596"/>
      <c r="Z147" s="596"/>
      <c r="AA147" s="596"/>
      <c r="AB147" s="596"/>
      <c r="AC147" s="596"/>
      <c r="AD147" s="596"/>
      <c r="AE147" s="581">
        <f t="shared" si="301"/>
        <v>0</v>
      </c>
      <c r="AF147" s="581">
        <f t="shared" si="301"/>
        <v>0</v>
      </c>
      <c r="AG147" s="581">
        <f t="shared" si="301"/>
        <v>0</v>
      </c>
      <c r="AH147" s="581">
        <f t="shared" si="301"/>
        <v>0</v>
      </c>
      <c r="AI147" s="581">
        <f t="shared" si="301"/>
        <v>0</v>
      </c>
      <c r="AJ147" s="596"/>
      <c r="AK147" s="586">
        <f t="shared" si="302"/>
        <v>0</v>
      </c>
      <c r="AL147" s="586">
        <f>AL54</f>
        <v>19.71</v>
      </c>
      <c r="AM147" s="586">
        <f t="shared" si="303"/>
        <v>0</v>
      </c>
      <c r="AN147" s="586">
        <f t="shared" si="303"/>
        <v>0</v>
      </c>
      <c r="AO147" s="586">
        <f t="shared" si="303"/>
        <v>0</v>
      </c>
      <c r="AP147" s="596"/>
      <c r="AQ147" s="596"/>
      <c r="AR147" s="596"/>
      <c r="AS147" s="596"/>
      <c r="AT147" s="596"/>
      <c r="AU147" s="596"/>
      <c r="AV147" s="596"/>
      <c r="AW147" s="593">
        <v>26</v>
      </c>
      <c r="AX147" s="583"/>
      <c r="AY147" s="583">
        <v>19.86</v>
      </c>
      <c r="AZ147" s="583"/>
      <c r="BA147" s="583"/>
      <c r="BB147" s="583"/>
      <c r="BC147" s="583"/>
      <c r="BD147" s="589">
        <f>ROUND(AW147*$BD$2,2)+ROUND(AW147*$BD$1,2)</f>
        <v>0.06</v>
      </c>
      <c r="BE147" s="579"/>
      <c r="BF147" s="579">
        <f>ROUND((T147*$BE$2)+$BD147-AY147,2)</f>
        <v>0.21</v>
      </c>
      <c r="BG147" s="579"/>
      <c r="BH147" s="579"/>
      <c r="BI147" s="579"/>
      <c r="BJ147" s="596"/>
      <c r="BK147" s="596"/>
      <c r="BL147" s="587">
        <f t="shared" si="304"/>
        <v>0</v>
      </c>
      <c r="BM147" s="587">
        <f t="shared" si="304"/>
        <v>20.007621</v>
      </c>
      <c r="BN147" s="587">
        <f t="shared" si="305"/>
        <v>0</v>
      </c>
      <c r="BO147" s="587">
        <f t="shared" si="305"/>
        <v>0</v>
      </c>
      <c r="BP147" s="587">
        <f t="shared" si="305"/>
        <v>0</v>
      </c>
      <c r="BQ147" s="596"/>
      <c r="BR147" s="579">
        <f t="shared" si="306"/>
        <v>0</v>
      </c>
      <c r="BS147" s="579">
        <f t="shared" si="306"/>
        <v>0.1476210000000009</v>
      </c>
      <c r="BT147" s="579">
        <f t="shared" si="306"/>
        <v>0</v>
      </c>
      <c r="BU147" s="579">
        <f t="shared" si="306"/>
        <v>0</v>
      </c>
      <c r="BV147" s="579">
        <f t="shared" si="306"/>
        <v>0</v>
      </c>
    </row>
    <row r="148" spans="9:84" ht="12.75">
      <c r="I148" s="691" t="s">
        <v>453</v>
      </c>
      <c r="J148" s="691" t="s">
        <v>131</v>
      </c>
      <c r="K148" s="580" t="s">
        <v>825</v>
      </c>
      <c r="L148" s="582" t="s">
        <v>827</v>
      </c>
      <c r="M148" s="581">
        <f t="shared" si="299"/>
        <v>0</v>
      </c>
      <c r="N148" s="581">
        <f t="shared" si="299"/>
        <v>0</v>
      </c>
      <c r="O148" s="581">
        <f t="shared" si="299"/>
        <v>0</v>
      </c>
      <c r="P148" s="581">
        <f t="shared" si="299"/>
        <v>0</v>
      </c>
      <c r="Q148" s="581">
        <f t="shared" si="299"/>
        <v>0</v>
      </c>
      <c r="R148" s="581">
        <f t="shared" si="300"/>
        <v>1</v>
      </c>
      <c r="S148" s="620">
        <v>0</v>
      </c>
      <c r="T148" s="620">
        <v>0</v>
      </c>
      <c r="U148" s="620">
        <v>0</v>
      </c>
      <c r="V148" s="620">
        <v>0</v>
      </c>
      <c r="W148" s="620"/>
      <c r="X148" s="691"/>
      <c r="Y148" s="70">
        <f aca="true" t="shared" si="307" ref="Y148:Y149">IF(AND(M148&lt;&gt;0,S148=0),#VALUE!,M148*S148)</f>
        <v>0</v>
      </c>
      <c r="Z148" s="70">
        <f aca="true" t="shared" si="308" ref="Z148:Z149">IF(AND(N148&lt;&gt;0,T148=0),#VALUE!,N148*T148)</f>
        <v>0</v>
      </c>
      <c r="AA148" s="70">
        <f aca="true" t="shared" si="309" ref="AA148:AA149">IF(AND(O148&lt;&gt;0,U148=0),#VALUE!,O148*U148)</f>
        <v>0</v>
      </c>
      <c r="AB148" s="70">
        <f aca="true" t="shared" si="310" ref="AB148:AB149">IF(AND(P148&lt;&gt;0,V148=0),#VALUE!,P148*V148)</f>
        <v>0</v>
      </c>
      <c r="AC148" s="70">
        <f aca="true" t="shared" si="311" ref="AC148:AC149">IF(AND(Q148&lt;&gt;0,W148=0),#VALUE!,Q148*W148)</f>
        <v>0</v>
      </c>
      <c r="AD148" s="691"/>
      <c r="AE148" s="581">
        <f t="shared" si="301"/>
        <v>0</v>
      </c>
      <c r="AF148" s="581">
        <f t="shared" si="301"/>
        <v>0</v>
      </c>
      <c r="AG148" s="581">
        <f t="shared" si="301"/>
        <v>0</v>
      </c>
      <c r="AH148" s="581">
        <f t="shared" si="301"/>
        <v>0</v>
      </c>
      <c r="AI148" s="581">
        <f t="shared" si="301"/>
        <v>0</v>
      </c>
      <c r="AJ148" s="691"/>
      <c r="AK148" s="586">
        <f t="shared" si="302"/>
        <v>0</v>
      </c>
      <c r="AL148" s="586"/>
      <c r="AM148" s="586">
        <f t="shared" si="303"/>
        <v>0</v>
      </c>
      <c r="AN148" s="586">
        <f t="shared" si="303"/>
        <v>0</v>
      </c>
      <c r="AO148" s="640">
        <f t="shared" si="303"/>
        <v>0</v>
      </c>
      <c r="AP148" s="691"/>
      <c r="AQ148" s="70">
        <f aca="true" t="shared" si="312" ref="AQ148:AQ149">IF(AND(AE148&lt;&gt;0,AK148=0),#VALUE!,AE148*AK148)</f>
        <v>0</v>
      </c>
      <c r="AR148" s="70">
        <f aca="true" t="shared" si="313" ref="AR148:AR149">IF(AND(AF148&lt;&gt;0,AL148=0),#VALUE!,AF148*AL148)</f>
        <v>0</v>
      </c>
      <c r="AS148" s="70">
        <f aca="true" t="shared" si="314" ref="AS148:AS149">IF(AND(AG148&lt;&gt;0,AM148=0),#VALUE!,AG148*AM148)</f>
        <v>0</v>
      </c>
      <c r="AT148" s="70">
        <f aca="true" t="shared" si="315" ref="AT148:AT149">IF(AND(AH148&lt;&gt;0,AN148=0),#VALUE!,AH148*AN148)</f>
        <v>0</v>
      </c>
      <c r="AU148" s="70">
        <f aca="true" t="shared" si="316" ref="AU148:AU149">IF(AND(AI148&lt;&gt;0,AO148=0),#VALUE!,AI148*AO148)</f>
        <v>0</v>
      </c>
      <c r="AV148" s="691"/>
      <c r="AW148" s="593">
        <v>6</v>
      </c>
      <c r="AX148" s="583"/>
      <c r="AY148" s="583"/>
      <c r="AZ148" s="583"/>
      <c r="BA148" s="583"/>
      <c r="BB148" s="583"/>
      <c r="BC148" s="583"/>
      <c r="BD148" s="589">
        <f aca="true" t="shared" si="317" ref="BD148:BD149">ROUND(AW148*$BD$2,2)+ROUND(AW148*$BD$1,2)</f>
        <v>0.009999999999999995</v>
      </c>
      <c r="BE148" s="579"/>
      <c r="BF148" s="579"/>
      <c r="BG148" s="579"/>
      <c r="BH148" s="579"/>
      <c r="BI148" s="579">
        <f>ROUND((W148*$BE$2)+$BD148-BB148,2)</f>
        <v>0.01</v>
      </c>
      <c r="BJ148" s="691"/>
      <c r="BK148" s="691"/>
      <c r="BL148" s="587">
        <f t="shared" si="304"/>
        <v>0</v>
      </c>
      <c r="BM148" s="587">
        <f t="shared" si="304"/>
        <v>0</v>
      </c>
      <c r="BN148" s="587">
        <f t="shared" si="305"/>
        <v>0</v>
      </c>
      <c r="BO148" s="587">
        <f t="shared" si="305"/>
        <v>0</v>
      </c>
      <c r="BP148" s="587">
        <f>AO148*$BL$1</f>
        <v>0</v>
      </c>
      <c r="BQ148" s="691"/>
      <c r="BR148" s="579">
        <f t="shared" si="306"/>
        <v>0</v>
      </c>
      <c r="BS148" s="579">
        <f t="shared" si="306"/>
        <v>0</v>
      </c>
      <c r="BT148" s="579">
        <f t="shared" si="306"/>
        <v>0</v>
      </c>
      <c r="BU148" s="579">
        <f t="shared" si="306"/>
        <v>0</v>
      </c>
      <c r="BV148" s="579">
        <f>BP148-BB148</f>
        <v>0</v>
      </c>
      <c r="BW148" s="691"/>
      <c r="BX148" s="691"/>
      <c r="BY148" s="691"/>
      <c r="BZ148" s="691"/>
      <c r="CA148" s="691"/>
      <c r="CB148" s="691"/>
      <c r="CC148" s="691"/>
      <c r="CD148" s="691"/>
      <c r="CE148" s="691"/>
      <c r="CF148" s="691"/>
    </row>
    <row r="149" spans="9:84" ht="12.75">
      <c r="I149" s="691" t="s">
        <v>453</v>
      </c>
      <c r="J149" s="691" t="s">
        <v>131</v>
      </c>
      <c r="K149" s="580" t="s">
        <v>826</v>
      </c>
      <c r="L149" s="582" t="s">
        <v>828</v>
      </c>
      <c r="M149" s="581">
        <f t="shared" si="299"/>
        <v>0</v>
      </c>
      <c r="N149" s="581">
        <f t="shared" si="299"/>
        <v>0</v>
      </c>
      <c r="O149" s="581">
        <f t="shared" si="299"/>
        <v>0</v>
      </c>
      <c r="P149" s="581">
        <f t="shared" si="299"/>
        <v>0</v>
      </c>
      <c r="Q149" s="581">
        <f t="shared" si="299"/>
        <v>0</v>
      </c>
      <c r="R149" s="581">
        <f t="shared" si="300"/>
        <v>1</v>
      </c>
      <c r="S149" s="620">
        <v>0</v>
      </c>
      <c r="T149" s="620">
        <v>0</v>
      </c>
      <c r="U149" s="620">
        <v>0</v>
      </c>
      <c r="V149" s="620">
        <v>0</v>
      </c>
      <c r="W149" s="620"/>
      <c r="X149" s="691"/>
      <c r="Y149" s="70">
        <f t="shared" si="307"/>
        <v>0</v>
      </c>
      <c r="Z149" s="70">
        <f t="shared" si="308"/>
        <v>0</v>
      </c>
      <c r="AA149" s="70">
        <f t="shared" si="309"/>
        <v>0</v>
      </c>
      <c r="AB149" s="70">
        <f t="shared" si="310"/>
        <v>0</v>
      </c>
      <c r="AC149" s="70">
        <f t="shared" si="311"/>
        <v>0</v>
      </c>
      <c r="AD149" s="691"/>
      <c r="AE149" s="581">
        <f t="shared" si="301"/>
        <v>0</v>
      </c>
      <c r="AF149" s="581">
        <f t="shared" si="301"/>
        <v>0</v>
      </c>
      <c r="AG149" s="581">
        <f t="shared" si="301"/>
        <v>0</v>
      </c>
      <c r="AH149" s="581">
        <f t="shared" si="301"/>
        <v>0</v>
      </c>
      <c r="AI149" s="581">
        <f t="shared" si="301"/>
        <v>0</v>
      </c>
      <c r="AJ149" s="691"/>
      <c r="AK149" s="586">
        <f t="shared" si="302"/>
        <v>0</v>
      </c>
      <c r="AL149" s="586"/>
      <c r="AM149" s="586">
        <f t="shared" si="303"/>
        <v>0</v>
      </c>
      <c r="AN149" s="586">
        <f t="shared" si="303"/>
        <v>0</v>
      </c>
      <c r="AO149" s="640">
        <f t="shared" si="303"/>
        <v>0</v>
      </c>
      <c r="AP149" s="691"/>
      <c r="AQ149" s="70">
        <f t="shared" si="312"/>
        <v>0</v>
      </c>
      <c r="AR149" s="70">
        <f t="shared" si="313"/>
        <v>0</v>
      </c>
      <c r="AS149" s="70">
        <f t="shared" si="314"/>
        <v>0</v>
      </c>
      <c r="AT149" s="70">
        <f t="shared" si="315"/>
        <v>0</v>
      </c>
      <c r="AU149" s="70">
        <f t="shared" si="316"/>
        <v>0</v>
      </c>
      <c r="AV149" s="691"/>
      <c r="AW149" s="593">
        <v>9</v>
      </c>
      <c r="AX149" s="583"/>
      <c r="AY149" s="583"/>
      <c r="AZ149" s="583"/>
      <c r="BA149" s="583"/>
      <c r="BB149" s="583"/>
      <c r="BC149" s="583"/>
      <c r="BD149" s="589">
        <f t="shared" si="317"/>
        <v>0.020000000000000004</v>
      </c>
      <c r="BE149" s="579"/>
      <c r="BF149" s="579"/>
      <c r="BG149" s="579"/>
      <c r="BH149" s="579"/>
      <c r="BI149" s="579">
        <f>ROUND((W149*$BE$2)+$BD149-BB149,2)</f>
        <v>0.02</v>
      </c>
      <c r="BJ149" s="691"/>
      <c r="BK149" s="691"/>
      <c r="BL149" s="587">
        <f t="shared" si="304"/>
        <v>0</v>
      </c>
      <c r="BM149" s="587">
        <f t="shared" si="304"/>
        <v>0</v>
      </c>
      <c r="BN149" s="587">
        <f t="shared" si="305"/>
        <v>0</v>
      </c>
      <c r="BO149" s="587">
        <f t="shared" si="305"/>
        <v>0</v>
      </c>
      <c r="BP149" s="587">
        <f t="shared" si="305"/>
        <v>0</v>
      </c>
      <c r="BQ149" s="691"/>
      <c r="BR149" s="579">
        <f t="shared" si="306"/>
        <v>0</v>
      </c>
      <c r="BS149" s="579">
        <f t="shared" si="306"/>
        <v>0</v>
      </c>
      <c r="BT149" s="579">
        <f t="shared" si="306"/>
        <v>0</v>
      </c>
      <c r="BU149" s="579">
        <f t="shared" si="306"/>
        <v>0</v>
      </c>
      <c r="BV149" s="579">
        <f t="shared" si="306"/>
        <v>0</v>
      </c>
      <c r="BW149" s="691"/>
      <c r="BX149" s="691"/>
      <c r="BY149" s="691"/>
      <c r="BZ149" s="691"/>
      <c r="CA149" s="691"/>
      <c r="CB149" s="691"/>
      <c r="CC149" s="691"/>
      <c r="CD149" s="691"/>
      <c r="CE149" s="691"/>
      <c r="CF149" s="691"/>
    </row>
    <row r="151" spans="9:58" ht="12.75">
      <c r="I151" s="435" t="s">
        <v>713</v>
      </c>
      <c r="J151" s="637" t="s">
        <v>136</v>
      </c>
      <c r="K151" s="580" t="s">
        <v>640</v>
      </c>
      <c r="L151" s="582" t="s">
        <v>644</v>
      </c>
      <c r="M151" s="581">
        <f aca="true" t="shared" si="318" ref="M151:Q152">SUMIF($G:$G,TEXT(M$3,"000")&amp;TEXT($L151,"000"),$E:$E)</f>
        <v>0</v>
      </c>
      <c r="N151" s="581">
        <f t="shared" si="318"/>
        <v>0</v>
      </c>
      <c r="O151" s="581">
        <f t="shared" si="318"/>
        <v>0</v>
      </c>
      <c r="P151" s="581">
        <f t="shared" si="318"/>
        <v>0</v>
      </c>
      <c r="Q151" s="581">
        <f t="shared" si="318"/>
        <v>0</v>
      </c>
      <c r="R151" s="581">
        <f t="shared" si="300"/>
        <v>1</v>
      </c>
      <c r="S151" s="620">
        <v>0</v>
      </c>
      <c r="T151" s="620">
        <v>35.29</v>
      </c>
      <c r="U151" s="620">
        <v>0</v>
      </c>
      <c r="V151" s="620">
        <v>0</v>
      </c>
      <c r="W151" s="620"/>
      <c r="X151" s="637"/>
      <c r="Y151" s="637"/>
      <c r="Z151" s="637"/>
      <c r="AA151" s="637"/>
      <c r="AB151" s="637"/>
      <c r="AC151" s="637"/>
      <c r="AD151" s="637"/>
      <c r="AE151" s="581">
        <f aca="true" t="shared" si="319" ref="AE151:AI152">SUMIF($G:$G,TEXT(AE$3,"000")&amp;TEXT($L151,"000"),$E:$E)</f>
        <v>0</v>
      </c>
      <c r="AF151" s="581">
        <f t="shared" si="319"/>
        <v>0</v>
      </c>
      <c r="AG151" s="581">
        <f t="shared" si="319"/>
        <v>0</v>
      </c>
      <c r="AH151" s="581">
        <f t="shared" si="319"/>
        <v>0</v>
      </c>
      <c r="AI151" s="581">
        <f t="shared" si="319"/>
        <v>0</v>
      </c>
      <c r="AJ151" s="637"/>
      <c r="AK151" s="586">
        <f t="shared" si="302"/>
        <v>0</v>
      </c>
      <c r="AL151" s="586">
        <f>ROUND(T151*(1+AL$1),2)</f>
        <v>35.29</v>
      </c>
      <c r="AM151" s="586">
        <f t="shared" si="303"/>
        <v>0</v>
      </c>
      <c r="AN151" s="586">
        <f t="shared" si="303"/>
        <v>0</v>
      </c>
      <c r="AO151" s="586">
        <f t="shared" si="303"/>
        <v>0</v>
      </c>
      <c r="AP151" s="637"/>
      <c r="AW151" s="446">
        <v>83</v>
      </c>
      <c r="AY151">
        <v>36.1</v>
      </c>
      <c r="BD151" s="589">
        <f>ROUND(AW151*$BD$2,2)+ROUND(AW151*$BD$1,2)</f>
        <v>0.18999999999999995</v>
      </c>
      <c r="BE151" s="579"/>
      <c r="BF151" s="579">
        <f>ROUND((T151*$BE$2)+$BD151-AY151,2)</f>
        <v>-0.09</v>
      </c>
    </row>
    <row r="152" spans="9:58" ht="12.75">
      <c r="I152" s="435" t="s">
        <v>717</v>
      </c>
      <c r="J152" s="637" t="s">
        <v>109</v>
      </c>
      <c r="K152" s="580" t="s">
        <v>640</v>
      </c>
      <c r="L152" s="582" t="s">
        <v>645</v>
      </c>
      <c r="M152" s="581">
        <f t="shared" si="318"/>
        <v>0</v>
      </c>
      <c r="N152" s="581">
        <f t="shared" si="318"/>
        <v>0</v>
      </c>
      <c r="O152" s="581">
        <f t="shared" si="318"/>
        <v>0</v>
      </c>
      <c r="P152" s="581">
        <f t="shared" si="318"/>
        <v>0</v>
      </c>
      <c r="Q152" s="581">
        <f t="shared" si="318"/>
        <v>0</v>
      </c>
      <c r="R152" s="581">
        <f t="shared" si="300"/>
        <v>1</v>
      </c>
      <c r="S152" s="620">
        <v>0</v>
      </c>
      <c r="T152" s="620">
        <v>92.5</v>
      </c>
      <c r="U152" s="620">
        <v>0</v>
      </c>
      <c r="V152" s="620">
        <v>0</v>
      </c>
      <c r="W152" s="620"/>
      <c r="X152" s="637"/>
      <c r="Y152" s="637"/>
      <c r="Z152" s="637"/>
      <c r="AA152" s="637"/>
      <c r="AB152" s="637"/>
      <c r="AC152" s="637"/>
      <c r="AD152" s="637"/>
      <c r="AE152" s="581">
        <f t="shared" si="319"/>
        <v>0</v>
      </c>
      <c r="AF152" s="581">
        <f t="shared" si="319"/>
        <v>0</v>
      </c>
      <c r="AG152" s="581">
        <f t="shared" si="319"/>
        <v>0</v>
      </c>
      <c r="AH152" s="581">
        <f t="shared" si="319"/>
        <v>0</v>
      </c>
      <c r="AI152" s="581">
        <f t="shared" si="319"/>
        <v>0</v>
      </c>
      <c r="AJ152" s="637"/>
      <c r="AK152" s="586">
        <f t="shared" si="302"/>
        <v>0</v>
      </c>
      <c r="AL152" s="586">
        <f>AL98</f>
        <v>92.5</v>
      </c>
      <c r="AM152" s="586">
        <f t="shared" si="303"/>
        <v>0</v>
      </c>
      <c r="AN152" s="586">
        <f t="shared" si="303"/>
        <v>0</v>
      </c>
      <c r="AO152" s="586">
        <f t="shared" si="303"/>
        <v>0</v>
      </c>
      <c r="AP152" s="637"/>
      <c r="AW152" s="446">
        <v>166</v>
      </c>
      <c r="AY152">
        <v>93.85</v>
      </c>
      <c r="BD152" s="589">
        <f>ROUND(AW152*$BD$2,2)+ROUND(AW152*$BD$1,2)</f>
        <v>0.3600000000000001</v>
      </c>
      <c r="BE152" s="579"/>
      <c r="BF152" s="579">
        <f>ROUND((T152*$BE$2)+$BD152-AY152,2)</f>
        <v>0.41</v>
      </c>
    </row>
  </sheetData>
  <conditionalFormatting sqref="AI106 Q106">
    <cfRule type="cellIs" priority="26" dxfId="0" operator="notEqual" stopIfTrue="1">
      <formula>0</formula>
    </cfRule>
  </conditionalFormatting>
  <conditionalFormatting sqref="R109 R151:R152 R145:R149 R111:R120 R123:R143 R4 R27:R103">
    <cfRule type="cellIs" priority="27" dxfId="0" operator="equal" stopIfTrue="1">
      <formula>1</formula>
    </cfRule>
  </conditionalFormatting>
  <conditionalFormatting sqref="BE145:BI147 BE78:BI78 BE94:BI95 BE98:BI109 BE124:BI128 BE61:BI76 BE130:BI143 BE111:BI120 BE4:BI4 BE27:BI58 BE80:BI91">
    <cfRule type="expression" priority="28" dxfId="0" stopIfTrue="1">
      <formula>ABS(BE4)&gt;0.005</formula>
    </cfRule>
  </conditionalFormatting>
  <conditionalFormatting sqref="BE123:BI123">
    <cfRule type="expression" priority="23" dxfId="0" stopIfTrue="1">
      <formula>ABS(BE123)&gt;0.005</formula>
    </cfRule>
  </conditionalFormatting>
  <conditionalFormatting sqref="BE77:BI77">
    <cfRule type="expression" priority="21" dxfId="0" stopIfTrue="1">
      <formula>ABS(BE77)&gt;0.005</formula>
    </cfRule>
  </conditionalFormatting>
  <conditionalFormatting sqref="BE79:BI79">
    <cfRule type="expression" priority="19" dxfId="0" stopIfTrue="1">
      <formula>ABS(BE79)&gt;0.005</formula>
    </cfRule>
  </conditionalFormatting>
  <conditionalFormatting sqref="BE97:BI97">
    <cfRule type="expression" priority="16" dxfId="0" stopIfTrue="1">
      <formula>ABS(BE97)&gt;0.005</formula>
    </cfRule>
  </conditionalFormatting>
  <conditionalFormatting sqref="BE151:BF151">
    <cfRule type="expression" priority="14" dxfId="0" stopIfTrue="1">
      <formula>ABS(BE151)&gt;0.005</formula>
    </cfRule>
  </conditionalFormatting>
  <conditionalFormatting sqref="BE152:BF152">
    <cfRule type="expression" priority="13" dxfId="0" stopIfTrue="1">
      <formula>ABS(BE152)&gt;0.005</formula>
    </cfRule>
  </conditionalFormatting>
  <conditionalFormatting sqref="BE148:BI148">
    <cfRule type="expression" priority="12" dxfId="0" stopIfTrue="1">
      <formula>ABS(BE148)&gt;0.005</formula>
    </cfRule>
  </conditionalFormatting>
  <conditionalFormatting sqref="BE149:BI149">
    <cfRule type="expression" priority="10" dxfId="0" stopIfTrue="1">
      <formula>ABS(BE149)&gt;0.005</formula>
    </cfRule>
  </conditionalFormatting>
  <conditionalFormatting sqref="BE59:BI59">
    <cfRule type="expression" priority="7" dxfId="0" stopIfTrue="1">
      <formula>ABS(BE59)&gt;0.005</formula>
    </cfRule>
  </conditionalFormatting>
  <conditionalFormatting sqref="BE60:BI60">
    <cfRule type="expression" priority="6" dxfId="0" stopIfTrue="1">
      <formula>ABS(BE60)&gt;0.005</formula>
    </cfRule>
  </conditionalFormatting>
  <conditionalFormatting sqref="R121:R122">
    <cfRule type="cellIs" priority="4" dxfId="0" operator="equal" stopIfTrue="1">
      <formula>1</formula>
    </cfRule>
  </conditionalFormatting>
  <conditionalFormatting sqref="BE122:BI122">
    <cfRule type="expression" priority="5" dxfId="0" stopIfTrue="1">
      <formula>ABS(BE122)&gt;0.005</formula>
    </cfRule>
  </conditionalFormatting>
  <conditionalFormatting sqref="BE121:BI121">
    <cfRule type="expression" priority="3" dxfId="0" stopIfTrue="1">
      <formula>ABS(BE121)&gt;0.005</formula>
    </cfRule>
  </conditionalFormatting>
  <conditionalFormatting sqref="R5:R26">
    <cfRule type="cellIs" priority="2" dxfId="0" operator="equal" stopIfTrue="1">
      <formula>1</formula>
    </cfRule>
  </conditionalFormatting>
  <conditionalFormatting sqref="BE5:BI26">
    <cfRule type="expression" priority="1" dxfId="0" stopIfTrue="1">
      <formula>ABS(BE5)&gt;0.005</formula>
    </cfRule>
  </conditionalFormatting>
  <printOptions/>
  <pageMargins left="0.19" right="0" top="0.5" bottom="0" header="0.5" footer="0"/>
  <pageSetup fitToHeight="1" fitToWidth="1" horizontalDpi="600" verticalDpi="600" orientation="portrait" scale="43"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O96"/>
  <sheetViews>
    <sheetView showGridLines="0" zoomScale="80" zoomScaleNormal="80" workbookViewId="0" topLeftCell="A1">
      <pane xSplit="12" ySplit="3" topLeftCell="S4" activePane="bottomRight" state="frozen"/>
      <selection pane="topLeft" activeCell="I62" sqref="I62"/>
      <selection pane="topRight" activeCell="I62" sqref="I62"/>
      <selection pane="bottomLeft" activeCell="I62" sqref="I62"/>
      <selection pane="bottomRight" activeCell="Z27" sqref="Z27"/>
    </sheetView>
  </sheetViews>
  <sheetFormatPr defaultColWidth="9.140625" defaultRowHeight="12.75"/>
  <cols>
    <col min="1" max="1" width="12.57421875" style="0" customWidth="1"/>
    <col min="2" max="2" width="6.7109375" style="35" customWidth="1"/>
    <col min="3" max="3" width="7.57421875" style="35" customWidth="1"/>
    <col min="4" max="4" width="10.421875" style="35" customWidth="1"/>
    <col min="5" max="5" width="12.28125" style="0" customWidth="1"/>
    <col min="6" max="6" width="1.7109375" style="0" customWidth="1"/>
    <col min="7" max="7" width="9.7109375" style="0" customWidth="1"/>
    <col min="8" max="8" width="4.7109375" style="0" customWidth="1"/>
    <col min="9" max="9" width="15.7109375" style="0" customWidth="1"/>
    <col min="10" max="10" width="26.7109375" style="0" customWidth="1"/>
    <col min="11" max="11" width="6.7109375" style="59" customWidth="1"/>
    <col min="12" max="12" width="7.57421875" style="0" customWidth="1"/>
    <col min="13" max="14" width="6.7109375" style="0" customWidth="1"/>
    <col min="15" max="15" width="2.7109375" style="0" customWidth="1"/>
    <col min="16" max="17" width="7.57421875" style="0" bestFit="1" customWidth="1"/>
    <col min="18" max="18" width="2.7109375" style="0" customWidth="1"/>
    <col min="19" max="19" width="10.28125" style="0" customWidth="1"/>
    <col min="20" max="20" width="9.421875" style="0" customWidth="1"/>
    <col min="21" max="21" width="8.28125" style="380" customWidth="1"/>
    <col min="22" max="23" width="6.7109375" style="380" customWidth="1"/>
    <col min="24" max="24" width="25.28125" style="380" customWidth="1"/>
    <col min="25" max="25" width="8.28125" style="380" customWidth="1"/>
    <col min="26" max="26" width="10.7109375" style="0" customWidth="1"/>
    <col min="27" max="27" width="6.7109375" style="0" customWidth="1"/>
    <col min="28" max="28" width="6.421875" style="0" customWidth="1"/>
    <col min="29" max="29" width="7.00390625" style="0" customWidth="1"/>
    <col min="30" max="31" width="7.57421875" style="0" bestFit="1" customWidth="1"/>
    <col min="32" max="32" width="2.7109375" style="0" customWidth="1"/>
    <col min="33" max="33" width="13.7109375" style="0" bestFit="1" customWidth="1"/>
    <col min="34" max="34" width="9.421875" style="0" bestFit="1" customWidth="1"/>
  </cols>
  <sheetData>
    <row r="1" spans="1:34" ht="18">
      <c r="A1" s="61" t="s">
        <v>152</v>
      </c>
      <c r="I1" s="747" t="s">
        <v>946</v>
      </c>
      <c r="S1" s="81" t="s">
        <v>153</v>
      </c>
      <c r="T1" s="55"/>
      <c r="U1" s="55"/>
      <c r="Y1" s="55"/>
      <c r="Z1" s="84">
        <f>SL_RateIncr</f>
        <v>0</v>
      </c>
      <c r="AC1" s="59" t="s">
        <v>423</v>
      </c>
      <c r="AD1" s="182">
        <f>'Lighting summary'!L16</f>
        <v>0</v>
      </c>
      <c r="AE1" s="182"/>
      <c r="AG1" s="81" t="s">
        <v>153</v>
      </c>
      <c r="AH1" s="55"/>
    </row>
    <row r="2" spans="1:34" ht="15">
      <c r="A2" s="63" t="str">
        <f>'St Lts'!A2</f>
        <v>MDM-10069 Report as of 3/31/20</v>
      </c>
      <c r="M2" s="64" t="s">
        <v>383</v>
      </c>
      <c r="N2" s="65"/>
      <c r="P2" s="64" t="s">
        <v>154</v>
      </c>
      <c r="Q2" s="65"/>
      <c r="S2" s="64" t="s">
        <v>155</v>
      </c>
      <c r="T2" s="65"/>
      <c r="U2" s="65"/>
      <c r="V2" s="64" t="s">
        <v>383</v>
      </c>
      <c r="W2" s="65"/>
      <c r="Y2" s="384"/>
      <c r="AA2" s="64" t="s">
        <v>127</v>
      </c>
      <c r="AB2" s="65"/>
      <c r="AD2" s="64" t="s">
        <v>209</v>
      </c>
      <c r="AE2" s="65"/>
      <c r="AG2" s="64" t="s">
        <v>210</v>
      </c>
      <c r="AH2" s="65"/>
    </row>
    <row r="3" spans="1:34" ht="12.75" customHeight="1" thickBot="1">
      <c r="A3" s="63"/>
      <c r="I3" s="66" t="s">
        <v>115</v>
      </c>
      <c r="J3" s="66" t="s">
        <v>116</v>
      </c>
      <c r="K3" s="67" t="s">
        <v>117</v>
      </c>
      <c r="L3" s="66" t="s">
        <v>118</v>
      </c>
      <c r="M3" s="68" t="s">
        <v>156</v>
      </c>
      <c r="N3" s="68" t="s">
        <v>157</v>
      </c>
      <c r="P3" s="68" t="s">
        <v>156</v>
      </c>
      <c r="Q3" s="68" t="s">
        <v>157</v>
      </c>
      <c r="S3" s="68" t="s">
        <v>156</v>
      </c>
      <c r="T3" s="68" t="s">
        <v>157</v>
      </c>
      <c r="U3" s="68"/>
      <c r="V3" s="68" t="s">
        <v>156</v>
      </c>
      <c r="W3" s="68" t="s">
        <v>157</v>
      </c>
      <c r="Y3" s="385"/>
      <c r="AA3" s="68" t="s">
        <v>156</v>
      </c>
      <c r="AB3" s="68" t="s">
        <v>157</v>
      </c>
      <c r="AD3" s="68" t="s">
        <v>156</v>
      </c>
      <c r="AE3" s="68" t="s">
        <v>157</v>
      </c>
      <c r="AG3" s="68" t="s">
        <v>156</v>
      </c>
      <c r="AH3" s="68" t="s">
        <v>157</v>
      </c>
    </row>
    <row r="4" spans="8:34" ht="12.75" customHeight="1">
      <c r="H4" s="552"/>
      <c r="I4" s="616" t="s">
        <v>111</v>
      </c>
      <c r="J4" s="616" t="s">
        <v>158</v>
      </c>
      <c r="K4" s="621" t="s">
        <v>134</v>
      </c>
      <c r="L4" s="622" t="s">
        <v>159</v>
      </c>
      <c r="M4" s="638">
        <f aca="true" t="shared" si="0" ref="M4:N23">SUMIF($G:$G,TEXT(M$3,"000")&amp;TEXT($L4,"000"),$E:$E)</f>
        <v>0</v>
      </c>
      <c r="N4" s="638">
        <f t="shared" si="0"/>
        <v>0</v>
      </c>
      <c r="O4" s="616"/>
      <c r="P4" s="697"/>
      <c r="Q4" s="698">
        <f>P4</f>
        <v>0</v>
      </c>
      <c r="R4" s="616"/>
      <c r="S4" s="696">
        <f aca="true" t="shared" si="1" ref="S4:S59">IF(AND(M4&lt;&gt;0,P4=0),#VALUE!,M4*P4)</f>
        <v>0</v>
      </c>
      <c r="T4" s="696">
        <f aca="true" t="shared" si="2" ref="T4:T59">IF(AND(N4&lt;&gt;0,Q4=0),#VALUE!,N4*Q4)</f>
        <v>0</v>
      </c>
      <c r="U4" s="696"/>
      <c r="V4" s="638">
        <f aca="true" t="shared" si="3" ref="V4:W23">SUMIF($G:$G,TEXT(V$3,"000")&amp;TEXT($L4,"000"),$E:$E)</f>
        <v>0</v>
      </c>
      <c r="W4" s="638">
        <f t="shared" si="3"/>
        <v>0</v>
      </c>
      <c r="X4" s="616"/>
      <c r="Y4" s="696"/>
      <c r="Z4" s="616"/>
      <c r="AA4" s="638">
        <f>M4</f>
        <v>0</v>
      </c>
      <c r="AB4" s="638">
        <f>N4</f>
        <v>0</v>
      </c>
      <c r="AC4" s="616"/>
      <c r="AD4" s="640">
        <f aca="true" t="shared" si="4" ref="AD4:AD35">ROUND(P4*(1+AD$1),2)</f>
        <v>0</v>
      </c>
      <c r="AE4" s="699">
        <f>AD4</f>
        <v>0</v>
      </c>
      <c r="AF4" s="616"/>
      <c r="AG4" s="696">
        <f aca="true" t="shared" si="5" ref="AG4:AG59">IF(AND(AA4&lt;&gt;0,AD4=0),#VALUE!,AA4*AD4)</f>
        <v>0</v>
      </c>
      <c r="AH4" s="696">
        <f aca="true" t="shared" si="6" ref="AH4:AH59">IF(AND(AB4&lt;&gt;0,AE4=0),#VALUE!,AB4*AE4)</f>
        <v>0</v>
      </c>
    </row>
    <row r="5" spans="2:34" ht="12.75" customHeight="1">
      <c r="B5" s="45" t="s">
        <v>125</v>
      </c>
      <c r="C5" s="45" t="s">
        <v>118</v>
      </c>
      <c r="D5" s="45" t="s">
        <v>126</v>
      </c>
      <c r="E5" s="71" t="s">
        <v>127</v>
      </c>
      <c r="F5" s="59"/>
      <c r="G5" s="59"/>
      <c r="H5" s="552"/>
      <c r="I5" t="s">
        <v>111</v>
      </c>
      <c r="J5" t="s">
        <v>160</v>
      </c>
      <c r="K5" s="59" t="s">
        <v>143</v>
      </c>
      <c r="L5" s="97" t="s">
        <v>161</v>
      </c>
      <c r="M5" s="69">
        <f t="shared" si="0"/>
        <v>101</v>
      </c>
      <c r="N5" s="69">
        <f t="shared" si="0"/>
        <v>3</v>
      </c>
      <c r="P5" s="592">
        <v>22.77</v>
      </c>
      <c r="Q5" s="314">
        <f aca="true" t="shared" si="7" ref="Q5:Q46">P5</f>
        <v>22.77</v>
      </c>
      <c r="S5" s="70">
        <f>IF(AND(M5&lt;&gt;0,P5=0),#VALUE!,M5*P5)</f>
        <v>2299.77</v>
      </c>
      <c r="T5" s="70">
        <f t="shared" si="2"/>
        <v>68.31</v>
      </c>
      <c r="U5" s="70"/>
      <c r="V5" s="69">
        <f t="shared" si="3"/>
        <v>101</v>
      </c>
      <c r="W5" s="69">
        <f t="shared" si="3"/>
        <v>3</v>
      </c>
      <c r="Y5" s="70"/>
      <c r="AA5" s="69">
        <f aca="true" t="shared" si="8" ref="AA5:AB59">M5</f>
        <v>101</v>
      </c>
      <c r="AB5" s="69">
        <f t="shared" si="8"/>
        <v>3</v>
      </c>
      <c r="AD5" s="436">
        <f t="shared" si="4"/>
        <v>22.77</v>
      </c>
      <c r="AE5" s="83">
        <f>AD5</f>
        <v>22.77</v>
      </c>
      <c r="AG5" s="70">
        <f t="shared" si="5"/>
        <v>2299.77</v>
      </c>
      <c r="AH5" s="70">
        <f t="shared" si="6"/>
        <v>68.31</v>
      </c>
    </row>
    <row r="6" spans="9:34" ht="12.75" customHeight="1">
      <c r="I6" t="s">
        <v>111</v>
      </c>
      <c r="J6" t="s">
        <v>162</v>
      </c>
      <c r="K6" s="59" t="s">
        <v>134</v>
      </c>
      <c r="L6" s="97" t="s">
        <v>163</v>
      </c>
      <c r="M6" s="69">
        <f t="shared" si="0"/>
        <v>17</v>
      </c>
      <c r="N6" s="69">
        <f t="shared" si="0"/>
        <v>2</v>
      </c>
      <c r="P6" s="592">
        <v>29.74</v>
      </c>
      <c r="Q6" s="314">
        <f t="shared" si="7"/>
        <v>29.74</v>
      </c>
      <c r="S6" s="70">
        <f t="shared" si="1"/>
        <v>505.58</v>
      </c>
      <c r="T6" s="70">
        <f t="shared" si="2"/>
        <v>59.48</v>
      </c>
      <c r="U6" s="70"/>
      <c r="V6" s="69">
        <f t="shared" si="3"/>
        <v>17</v>
      </c>
      <c r="W6" s="69">
        <f t="shared" si="3"/>
        <v>2</v>
      </c>
      <c r="Y6" s="70"/>
      <c r="AA6" s="69">
        <f t="shared" si="8"/>
        <v>17</v>
      </c>
      <c r="AB6" s="69">
        <f t="shared" si="8"/>
        <v>2</v>
      </c>
      <c r="AD6" s="436">
        <f t="shared" si="4"/>
        <v>29.74</v>
      </c>
      <c r="AE6" s="83">
        <f aca="true" t="shared" si="9" ref="AE6:AE36">AD6</f>
        <v>29.74</v>
      </c>
      <c r="AG6" s="70">
        <f t="shared" si="5"/>
        <v>505.58</v>
      </c>
      <c r="AH6" s="70">
        <f t="shared" si="6"/>
        <v>59.48</v>
      </c>
    </row>
    <row r="7" spans="2:34" ht="12.75" customHeight="1">
      <c r="B7" s="35" t="s">
        <v>164</v>
      </c>
      <c r="C7" s="72" t="s">
        <v>156</v>
      </c>
      <c r="D7" s="585" t="s">
        <v>631</v>
      </c>
      <c r="E7" s="563">
        <v>3</v>
      </c>
      <c r="F7" s="73"/>
      <c r="G7" s="73" t="str">
        <f aca="true" t="shared" si="10" ref="G7:G49">IF(OR(ISBLANK(C7),ISBLANK(D7)),"",TEXT(C7,"000")&amp;TEXT(D7,"000"))</f>
        <v>047HAGL</v>
      </c>
      <c r="H7" s="419"/>
      <c r="I7" s="616" t="s">
        <v>111</v>
      </c>
      <c r="J7" s="616" t="s">
        <v>165</v>
      </c>
      <c r="K7" s="621" t="s">
        <v>134</v>
      </c>
      <c r="L7" s="622" t="s">
        <v>166</v>
      </c>
      <c r="M7" s="638">
        <f t="shared" si="0"/>
        <v>0</v>
      </c>
      <c r="N7" s="638">
        <f t="shared" si="0"/>
        <v>0</v>
      </c>
      <c r="O7" s="616"/>
      <c r="P7" s="697"/>
      <c r="Q7" s="698">
        <f t="shared" si="7"/>
        <v>0</v>
      </c>
      <c r="R7" s="616"/>
      <c r="S7" s="696">
        <f t="shared" si="1"/>
        <v>0</v>
      </c>
      <c r="T7" s="696">
        <f t="shared" si="2"/>
        <v>0</v>
      </c>
      <c r="U7" s="696"/>
      <c r="V7" s="638">
        <f t="shared" si="3"/>
        <v>0</v>
      </c>
      <c r="W7" s="638">
        <f t="shared" si="3"/>
        <v>0</v>
      </c>
      <c r="X7" s="616"/>
      <c r="Y7" s="696"/>
      <c r="Z7" s="616"/>
      <c r="AA7" s="638">
        <f t="shared" si="8"/>
        <v>0</v>
      </c>
      <c r="AB7" s="638">
        <f t="shared" si="8"/>
        <v>0</v>
      </c>
      <c r="AC7" s="616"/>
      <c r="AD7" s="640">
        <f t="shared" si="4"/>
        <v>0</v>
      </c>
      <c r="AE7" s="699">
        <f t="shared" si="9"/>
        <v>0</v>
      </c>
      <c r="AF7" s="616"/>
      <c r="AG7" s="696">
        <f t="shared" si="5"/>
        <v>0</v>
      </c>
      <c r="AH7" s="696">
        <f t="shared" si="6"/>
        <v>0</v>
      </c>
    </row>
    <row r="8" spans="1:34" ht="12.75" customHeight="1">
      <c r="A8" s="656"/>
      <c r="B8" s="541" t="s">
        <v>164</v>
      </c>
      <c r="C8" s="72" t="s">
        <v>156</v>
      </c>
      <c r="D8" s="541" t="s">
        <v>161</v>
      </c>
      <c r="E8" s="564">
        <v>101</v>
      </c>
      <c r="F8" s="73"/>
      <c r="G8" s="73" t="str">
        <f>IF(OR(ISBLANK(C8),ISBLANK(D8)),"",TEXT(C8,"000")&amp;TEXT(D8,"000"))</f>
        <v>047HAH</v>
      </c>
      <c r="H8" s="419"/>
      <c r="I8" t="s">
        <v>111</v>
      </c>
      <c r="J8" t="s">
        <v>168</v>
      </c>
      <c r="K8" s="59" t="s">
        <v>134</v>
      </c>
      <c r="L8" s="97" t="s">
        <v>167</v>
      </c>
      <c r="M8" s="69">
        <f t="shared" si="0"/>
        <v>386</v>
      </c>
      <c r="N8" s="69">
        <f t="shared" si="0"/>
        <v>491</v>
      </c>
      <c r="P8" s="592">
        <v>14.12</v>
      </c>
      <c r="Q8" s="314">
        <f t="shared" si="7"/>
        <v>14.12</v>
      </c>
      <c r="S8" s="70">
        <f t="shared" si="1"/>
        <v>5450.32</v>
      </c>
      <c r="T8" s="70">
        <f>IF(AND(N8&lt;&gt;0,Q8=0),#VALUE!,N8*Q8)</f>
        <v>6932.919999999999</v>
      </c>
      <c r="U8" s="70"/>
      <c r="V8" s="69">
        <f t="shared" si="3"/>
        <v>386</v>
      </c>
      <c r="W8" s="69">
        <f t="shared" si="3"/>
        <v>491</v>
      </c>
      <c r="Y8" s="70"/>
      <c r="AA8" s="69">
        <f t="shared" si="8"/>
        <v>386</v>
      </c>
      <c r="AB8" s="69">
        <f t="shared" si="8"/>
        <v>491</v>
      </c>
      <c r="AD8" s="436">
        <f t="shared" si="4"/>
        <v>14.12</v>
      </c>
      <c r="AE8" s="83">
        <f t="shared" si="9"/>
        <v>14.12</v>
      </c>
      <c r="AG8" s="70">
        <f t="shared" si="5"/>
        <v>5450.32</v>
      </c>
      <c r="AH8" s="70">
        <f t="shared" si="6"/>
        <v>6932.919999999999</v>
      </c>
    </row>
    <row r="9" spans="2:34" ht="12.75">
      <c r="B9" s="35" t="s">
        <v>164</v>
      </c>
      <c r="C9" s="72" t="s">
        <v>156</v>
      </c>
      <c r="D9" s="35" t="s">
        <v>163</v>
      </c>
      <c r="E9" s="563">
        <v>17</v>
      </c>
      <c r="F9" s="73"/>
      <c r="G9" s="73" t="str">
        <f>IF(OR(ISBLANK(C9),ISBLANK(D9)),"",TEXT(C9,"000")&amp;TEXT(D9,"000"))</f>
        <v>047HAI</v>
      </c>
      <c r="H9" s="419"/>
      <c r="I9" t="s">
        <v>111</v>
      </c>
      <c r="J9" t="s">
        <v>168</v>
      </c>
      <c r="K9" s="59" t="s">
        <v>142</v>
      </c>
      <c r="L9" s="97" t="s">
        <v>169</v>
      </c>
      <c r="M9" s="69">
        <f t="shared" si="0"/>
        <v>860</v>
      </c>
      <c r="N9" s="69">
        <f t="shared" si="0"/>
        <v>398</v>
      </c>
      <c r="P9" s="592">
        <v>20.05</v>
      </c>
      <c r="Q9" s="314">
        <f t="shared" si="7"/>
        <v>20.05</v>
      </c>
      <c r="S9" s="70">
        <f t="shared" si="1"/>
        <v>17243</v>
      </c>
      <c r="T9" s="70">
        <f t="shared" si="2"/>
        <v>7979.900000000001</v>
      </c>
      <c r="U9" s="70"/>
      <c r="V9" s="69">
        <f t="shared" si="3"/>
        <v>860</v>
      </c>
      <c r="W9" s="69">
        <f t="shared" si="3"/>
        <v>398</v>
      </c>
      <c r="Y9" s="70"/>
      <c r="AA9" s="69">
        <f t="shared" si="8"/>
        <v>860</v>
      </c>
      <c r="AB9" s="69">
        <f t="shared" si="8"/>
        <v>398</v>
      </c>
      <c r="AD9" s="436">
        <f t="shared" si="4"/>
        <v>20.05</v>
      </c>
      <c r="AE9" s="83">
        <f t="shared" si="9"/>
        <v>20.05</v>
      </c>
      <c r="AG9" s="70">
        <f t="shared" si="5"/>
        <v>17243</v>
      </c>
      <c r="AH9" s="70">
        <f t="shared" si="6"/>
        <v>7979.900000000001</v>
      </c>
    </row>
    <row r="10" spans="2:34" ht="12.75">
      <c r="B10" s="35" t="s">
        <v>164</v>
      </c>
      <c r="C10" s="72" t="s">
        <v>156</v>
      </c>
      <c r="D10" s="35" t="s">
        <v>167</v>
      </c>
      <c r="E10" s="563">
        <v>386</v>
      </c>
      <c r="F10" s="73"/>
      <c r="G10" s="73" t="str">
        <f t="shared" si="10"/>
        <v>047HPA</v>
      </c>
      <c r="H10" s="419"/>
      <c r="I10" t="s">
        <v>111</v>
      </c>
      <c r="J10" t="s">
        <v>168</v>
      </c>
      <c r="K10" s="59" t="s">
        <v>147</v>
      </c>
      <c r="L10" s="97" t="s">
        <v>170</v>
      </c>
      <c r="M10" s="69">
        <f t="shared" si="0"/>
        <v>119</v>
      </c>
      <c r="N10" s="69">
        <f t="shared" si="0"/>
        <v>8</v>
      </c>
      <c r="P10" s="592">
        <v>27.7</v>
      </c>
      <c r="Q10" s="314">
        <f t="shared" si="7"/>
        <v>27.7</v>
      </c>
      <c r="S10" s="70">
        <f t="shared" si="1"/>
        <v>3296.2999999999997</v>
      </c>
      <c r="T10" s="70">
        <f t="shared" si="2"/>
        <v>221.6</v>
      </c>
      <c r="U10" s="70"/>
      <c r="V10" s="69">
        <f t="shared" si="3"/>
        <v>119</v>
      </c>
      <c r="W10" s="69">
        <f t="shared" si="3"/>
        <v>8</v>
      </c>
      <c r="Y10" s="70"/>
      <c r="AA10" s="69">
        <f t="shared" si="8"/>
        <v>119</v>
      </c>
      <c r="AB10" s="69">
        <f t="shared" si="8"/>
        <v>8</v>
      </c>
      <c r="AD10" s="436">
        <f>ROUND(P10*(1+AD$1),2)</f>
        <v>27.7</v>
      </c>
      <c r="AE10" s="83">
        <f t="shared" si="9"/>
        <v>27.7</v>
      </c>
      <c r="AG10" s="70">
        <f t="shared" si="5"/>
        <v>3296.2999999999997</v>
      </c>
      <c r="AH10" s="70">
        <f t="shared" si="6"/>
        <v>221.6</v>
      </c>
    </row>
    <row r="11" spans="2:34" ht="12.75">
      <c r="B11" s="35" t="s">
        <v>164</v>
      </c>
      <c r="C11" s="72" t="s">
        <v>156</v>
      </c>
      <c r="D11" s="35" t="s">
        <v>169</v>
      </c>
      <c r="E11" s="563">
        <v>860</v>
      </c>
      <c r="F11" s="73"/>
      <c r="G11" s="73" t="str">
        <f t="shared" si="10"/>
        <v>047HPB</v>
      </c>
      <c r="H11" s="419"/>
      <c r="I11" t="s">
        <v>111</v>
      </c>
      <c r="J11" s="637" t="s">
        <v>648</v>
      </c>
      <c r="K11" s="59" t="s">
        <v>142</v>
      </c>
      <c r="L11" s="97" t="s">
        <v>171</v>
      </c>
      <c r="M11" s="69">
        <f t="shared" si="0"/>
        <v>560</v>
      </c>
      <c r="N11" s="69">
        <f t="shared" si="0"/>
        <v>175</v>
      </c>
      <c r="P11" s="592">
        <v>27.86</v>
      </c>
      <c r="Q11" s="314">
        <f t="shared" si="7"/>
        <v>27.86</v>
      </c>
      <c r="S11" s="70">
        <f t="shared" si="1"/>
        <v>15601.6</v>
      </c>
      <c r="T11" s="70">
        <f t="shared" si="2"/>
        <v>4875.5</v>
      </c>
      <c r="U11" s="70"/>
      <c r="V11" s="69">
        <f t="shared" si="3"/>
        <v>560</v>
      </c>
      <c r="W11" s="69">
        <f t="shared" si="3"/>
        <v>175</v>
      </c>
      <c r="Y11" s="70"/>
      <c r="AA11" s="69">
        <f t="shared" si="8"/>
        <v>560</v>
      </c>
      <c r="AB11" s="69">
        <f t="shared" si="8"/>
        <v>175</v>
      </c>
      <c r="AD11" s="436">
        <f t="shared" si="4"/>
        <v>27.86</v>
      </c>
      <c r="AE11" s="83">
        <f t="shared" si="9"/>
        <v>27.86</v>
      </c>
      <c r="AG11" s="70">
        <f t="shared" si="5"/>
        <v>15601.6</v>
      </c>
      <c r="AH11" s="70">
        <f t="shared" si="6"/>
        <v>4875.5</v>
      </c>
    </row>
    <row r="12" spans="2:34" ht="12.75">
      <c r="B12" s="35" t="s">
        <v>164</v>
      </c>
      <c r="C12" s="72" t="s">
        <v>156</v>
      </c>
      <c r="D12" s="35" t="s">
        <v>170</v>
      </c>
      <c r="E12" s="563">
        <v>119</v>
      </c>
      <c r="F12" s="73"/>
      <c r="G12" s="73" t="str">
        <f t="shared" si="10"/>
        <v>047HPC</v>
      </c>
      <c r="H12" s="419"/>
      <c r="I12" t="s">
        <v>111</v>
      </c>
      <c r="J12" s="637" t="s">
        <v>648</v>
      </c>
      <c r="K12" s="59" t="s">
        <v>134</v>
      </c>
      <c r="L12" s="97" t="s">
        <v>173</v>
      </c>
      <c r="M12" s="69">
        <f t="shared" si="0"/>
        <v>280</v>
      </c>
      <c r="N12" s="69">
        <f t="shared" si="0"/>
        <v>202</v>
      </c>
      <c r="P12" s="592">
        <v>20.68</v>
      </c>
      <c r="Q12" s="314">
        <f t="shared" si="7"/>
        <v>20.68</v>
      </c>
      <c r="S12" s="70">
        <f t="shared" si="1"/>
        <v>5790.4</v>
      </c>
      <c r="T12" s="70">
        <f t="shared" si="2"/>
        <v>4177.36</v>
      </c>
      <c r="U12" s="70"/>
      <c r="V12" s="69">
        <f t="shared" si="3"/>
        <v>280</v>
      </c>
      <c r="W12" s="69">
        <f t="shared" si="3"/>
        <v>202</v>
      </c>
      <c r="Y12" s="70"/>
      <c r="AA12" s="69">
        <f t="shared" si="8"/>
        <v>280</v>
      </c>
      <c r="AB12" s="69">
        <f t="shared" si="8"/>
        <v>202</v>
      </c>
      <c r="AD12" s="436">
        <f t="shared" si="4"/>
        <v>20.68</v>
      </c>
      <c r="AE12" s="83">
        <f t="shared" si="9"/>
        <v>20.68</v>
      </c>
      <c r="AG12" s="70">
        <f t="shared" si="5"/>
        <v>5790.4</v>
      </c>
      <c r="AH12" s="70">
        <f t="shared" si="6"/>
        <v>4177.36</v>
      </c>
    </row>
    <row r="13" spans="2:34" ht="12.75">
      <c r="B13" s="35" t="s">
        <v>164</v>
      </c>
      <c r="C13" s="72" t="s">
        <v>156</v>
      </c>
      <c r="D13" s="35" t="s">
        <v>171</v>
      </c>
      <c r="E13" s="563">
        <v>560</v>
      </c>
      <c r="F13" s="75"/>
      <c r="G13" s="73" t="str">
        <f t="shared" si="10"/>
        <v>047HPD</v>
      </c>
      <c r="H13" s="419"/>
      <c r="I13" t="s">
        <v>111</v>
      </c>
      <c r="J13" s="637" t="s">
        <v>648</v>
      </c>
      <c r="K13" s="59" t="s">
        <v>147</v>
      </c>
      <c r="L13" s="97" t="s">
        <v>174</v>
      </c>
      <c r="M13" s="69">
        <f t="shared" si="0"/>
        <v>45</v>
      </c>
      <c r="N13" s="69">
        <f t="shared" si="0"/>
        <v>4</v>
      </c>
      <c r="P13" s="592">
        <v>35.6</v>
      </c>
      <c r="Q13" s="314">
        <f t="shared" si="7"/>
        <v>35.6</v>
      </c>
      <c r="S13" s="70">
        <f t="shared" si="1"/>
        <v>1602</v>
      </c>
      <c r="T13" s="70">
        <f t="shared" si="2"/>
        <v>142.4</v>
      </c>
      <c r="U13" s="70"/>
      <c r="V13" s="69">
        <f t="shared" si="3"/>
        <v>45</v>
      </c>
      <c r="W13" s="69">
        <f t="shared" si="3"/>
        <v>4</v>
      </c>
      <c r="Y13" s="70"/>
      <c r="AA13" s="69">
        <f t="shared" si="8"/>
        <v>45</v>
      </c>
      <c r="AB13" s="69">
        <f t="shared" si="8"/>
        <v>4</v>
      </c>
      <c r="AD13" s="436">
        <f t="shared" si="4"/>
        <v>35.6</v>
      </c>
      <c r="AE13" s="83">
        <f t="shared" si="9"/>
        <v>35.6</v>
      </c>
      <c r="AG13" s="70">
        <f t="shared" si="5"/>
        <v>1602</v>
      </c>
      <c r="AH13" s="70">
        <f t="shared" si="6"/>
        <v>142.4</v>
      </c>
    </row>
    <row r="14" spans="2:34" ht="12.75">
      <c r="B14" s="35" t="s">
        <v>164</v>
      </c>
      <c r="C14" s="72" t="s">
        <v>156</v>
      </c>
      <c r="D14" s="35" t="s">
        <v>173</v>
      </c>
      <c r="E14" s="563">
        <v>280</v>
      </c>
      <c r="F14" s="73"/>
      <c r="G14" s="73" t="str">
        <f t="shared" si="10"/>
        <v>047HPE</v>
      </c>
      <c r="H14" s="419"/>
      <c r="I14" t="s">
        <v>111</v>
      </c>
      <c r="J14" s="637" t="s">
        <v>772</v>
      </c>
      <c r="K14" s="59" t="s">
        <v>142</v>
      </c>
      <c r="L14" s="97" t="s">
        <v>175</v>
      </c>
      <c r="M14" s="69">
        <f t="shared" si="0"/>
        <v>41</v>
      </c>
      <c r="N14" s="69">
        <f t="shared" si="0"/>
        <v>7</v>
      </c>
      <c r="P14" s="592">
        <v>34.98</v>
      </c>
      <c r="Q14" s="314">
        <f t="shared" si="7"/>
        <v>34.98</v>
      </c>
      <c r="S14" s="70">
        <f t="shared" si="1"/>
        <v>1434.1799999999998</v>
      </c>
      <c r="T14" s="70">
        <f t="shared" si="2"/>
        <v>244.85999999999999</v>
      </c>
      <c r="U14" s="70"/>
      <c r="V14" s="69">
        <f t="shared" si="3"/>
        <v>41</v>
      </c>
      <c r="W14" s="69">
        <f t="shared" si="3"/>
        <v>7</v>
      </c>
      <c r="Y14" s="70"/>
      <c r="AA14" s="69">
        <f t="shared" si="8"/>
        <v>41</v>
      </c>
      <c r="AB14" s="69">
        <f t="shared" si="8"/>
        <v>7</v>
      </c>
      <c r="AD14" s="436">
        <f t="shared" si="4"/>
        <v>34.98</v>
      </c>
      <c r="AE14" s="83">
        <f t="shared" si="9"/>
        <v>34.98</v>
      </c>
      <c r="AG14" s="70">
        <f t="shared" si="5"/>
        <v>1434.1799999999998</v>
      </c>
      <c r="AH14" s="70">
        <f t="shared" si="6"/>
        <v>244.85999999999999</v>
      </c>
    </row>
    <row r="15" spans="2:34" ht="12.75">
      <c r="B15" s="35" t="s">
        <v>164</v>
      </c>
      <c r="C15" s="72" t="s">
        <v>156</v>
      </c>
      <c r="D15" s="35" t="s">
        <v>174</v>
      </c>
      <c r="E15" s="563">
        <v>45</v>
      </c>
      <c r="F15" s="73"/>
      <c r="G15" s="73" t="str">
        <f t="shared" si="10"/>
        <v>047HPG</v>
      </c>
      <c r="H15" s="419"/>
      <c r="I15" t="s">
        <v>111</v>
      </c>
      <c r="J15" t="s">
        <v>177</v>
      </c>
      <c r="K15" s="59" t="s">
        <v>142</v>
      </c>
      <c r="L15" s="97" t="s">
        <v>178</v>
      </c>
      <c r="M15" s="69">
        <f t="shared" si="0"/>
        <v>1</v>
      </c>
      <c r="N15" s="69">
        <f t="shared" si="0"/>
        <v>1</v>
      </c>
      <c r="P15" s="592">
        <v>30.3</v>
      </c>
      <c r="Q15" s="314">
        <f t="shared" si="7"/>
        <v>30.3</v>
      </c>
      <c r="S15" s="70">
        <f t="shared" si="1"/>
        <v>30.3</v>
      </c>
      <c r="T15" s="70">
        <f t="shared" si="2"/>
        <v>30.3</v>
      </c>
      <c r="U15" s="70"/>
      <c r="V15" s="69">
        <f t="shared" si="3"/>
        <v>1</v>
      </c>
      <c r="W15" s="69">
        <f t="shared" si="3"/>
        <v>1</v>
      </c>
      <c r="Y15" s="70"/>
      <c r="AA15" s="69">
        <f t="shared" si="8"/>
        <v>1</v>
      </c>
      <c r="AB15" s="69">
        <f t="shared" si="8"/>
        <v>1</v>
      </c>
      <c r="AD15" s="436">
        <f t="shared" si="4"/>
        <v>30.3</v>
      </c>
      <c r="AE15" s="83">
        <f t="shared" si="9"/>
        <v>30.3</v>
      </c>
      <c r="AG15" s="70">
        <f t="shared" si="5"/>
        <v>30.3</v>
      </c>
      <c r="AH15" s="70">
        <f t="shared" si="6"/>
        <v>30.3</v>
      </c>
    </row>
    <row r="16" spans="2:34" ht="12.75">
      <c r="B16" s="35" t="s">
        <v>164</v>
      </c>
      <c r="C16" s="72" t="s">
        <v>156</v>
      </c>
      <c r="D16" s="35" t="s">
        <v>175</v>
      </c>
      <c r="E16" s="563">
        <v>41</v>
      </c>
      <c r="F16" s="73"/>
      <c r="G16" s="73" t="str">
        <f t="shared" si="10"/>
        <v>047HPL</v>
      </c>
      <c r="H16" s="419"/>
      <c r="I16" t="s">
        <v>111</v>
      </c>
      <c r="J16" t="s">
        <v>180</v>
      </c>
      <c r="K16" s="59" t="s">
        <v>134</v>
      </c>
      <c r="L16" s="97" t="s">
        <v>176</v>
      </c>
      <c r="M16" s="69">
        <f t="shared" si="0"/>
        <v>96</v>
      </c>
      <c r="N16" s="69">
        <f t="shared" si="0"/>
        <v>135</v>
      </c>
      <c r="P16" s="592">
        <v>20.68</v>
      </c>
      <c r="Q16" s="314">
        <f t="shared" si="7"/>
        <v>20.68</v>
      </c>
      <c r="S16" s="70">
        <f t="shared" si="1"/>
        <v>1985.28</v>
      </c>
      <c r="T16" s="70">
        <f t="shared" si="2"/>
        <v>2791.8</v>
      </c>
      <c r="U16" s="70"/>
      <c r="V16" s="69">
        <f t="shared" si="3"/>
        <v>96</v>
      </c>
      <c r="W16" s="69">
        <f t="shared" si="3"/>
        <v>135</v>
      </c>
      <c r="Y16" s="70"/>
      <c r="AA16" s="69">
        <f t="shared" si="8"/>
        <v>96</v>
      </c>
      <c r="AB16" s="69">
        <f t="shared" si="8"/>
        <v>135</v>
      </c>
      <c r="AD16" s="436">
        <f t="shared" si="4"/>
        <v>20.68</v>
      </c>
      <c r="AE16" s="83">
        <f t="shared" si="9"/>
        <v>20.68</v>
      </c>
      <c r="AG16" s="70">
        <f t="shared" si="5"/>
        <v>1985.28</v>
      </c>
      <c r="AH16" s="70">
        <f t="shared" si="6"/>
        <v>2791.8</v>
      </c>
    </row>
    <row r="17" spans="2:34" ht="12.75">
      <c r="B17" s="35" t="s">
        <v>164</v>
      </c>
      <c r="C17" s="72" t="s">
        <v>156</v>
      </c>
      <c r="D17" s="35" t="s">
        <v>178</v>
      </c>
      <c r="E17" s="563">
        <v>1</v>
      </c>
      <c r="F17" s="73"/>
      <c r="G17" s="73" t="str">
        <f>IF(OR(ISBLANK(C17),ISBLANK(D17)),"",TEXT(C17,"000")&amp;TEXT(D17,"000"))</f>
        <v>047HPO</v>
      </c>
      <c r="H17" s="419"/>
      <c r="I17" t="s">
        <v>111</v>
      </c>
      <c r="J17" t="s">
        <v>182</v>
      </c>
      <c r="K17" s="59" t="s">
        <v>142</v>
      </c>
      <c r="L17" s="97" t="s">
        <v>179</v>
      </c>
      <c r="M17" s="69">
        <f t="shared" si="0"/>
        <v>13</v>
      </c>
      <c r="N17" s="69">
        <f t="shared" si="0"/>
        <v>0</v>
      </c>
      <c r="P17" s="592">
        <v>59.28</v>
      </c>
      <c r="Q17" s="314">
        <f t="shared" si="7"/>
        <v>59.28</v>
      </c>
      <c r="S17" s="70">
        <f t="shared" si="1"/>
        <v>770.64</v>
      </c>
      <c r="T17" s="70">
        <f t="shared" si="2"/>
        <v>0</v>
      </c>
      <c r="U17" s="70"/>
      <c r="V17" s="69">
        <f t="shared" si="3"/>
        <v>13</v>
      </c>
      <c r="W17" s="69">
        <f t="shared" si="3"/>
        <v>0</v>
      </c>
      <c r="Y17" s="70"/>
      <c r="AA17" s="69">
        <f t="shared" si="8"/>
        <v>13</v>
      </c>
      <c r="AB17" s="69">
        <f t="shared" si="8"/>
        <v>0</v>
      </c>
      <c r="AD17" s="436">
        <f t="shared" si="4"/>
        <v>59.28</v>
      </c>
      <c r="AE17" s="83">
        <f t="shared" si="9"/>
        <v>59.28</v>
      </c>
      <c r="AG17" s="70">
        <f t="shared" si="5"/>
        <v>770.64</v>
      </c>
      <c r="AH17" s="70">
        <f t="shared" si="6"/>
        <v>0</v>
      </c>
    </row>
    <row r="18" spans="2:34" ht="12.75">
      <c r="B18" s="35" t="s">
        <v>164</v>
      </c>
      <c r="C18" s="72" t="s">
        <v>156</v>
      </c>
      <c r="D18" s="35" t="s">
        <v>176</v>
      </c>
      <c r="E18" s="563">
        <v>96</v>
      </c>
      <c r="F18" s="73"/>
      <c r="G18" s="73" t="str">
        <f t="shared" si="10"/>
        <v>047HPS</v>
      </c>
      <c r="H18" s="419"/>
      <c r="I18" t="s">
        <v>133</v>
      </c>
      <c r="J18" t="s">
        <v>168</v>
      </c>
      <c r="K18" s="59">
        <v>7000</v>
      </c>
      <c r="L18" s="97" t="s">
        <v>181</v>
      </c>
      <c r="M18" s="69">
        <f t="shared" si="0"/>
        <v>92</v>
      </c>
      <c r="N18" s="69">
        <f t="shared" si="0"/>
        <v>198</v>
      </c>
      <c r="P18" s="592">
        <v>16.24</v>
      </c>
      <c r="Q18" s="314">
        <f t="shared" si="7"/>
        <v>16.24</v>
      </c>
      <c r="S18" s="70">
        <f t="shared" si="1"/>
        <v>1494.08</v>
      </c>
      <c r="T18" s="70">
        <f t="shared" si="2"/>
        <v>3215.5199999999995</v>
      </c>
      <c r="U18" s="70"/>
      <c r="V18" s="69">
        <f t="shared" si="3"/>
        <v>92</v>
      </c>
      <c r="W18" s="69">
        <f t="shared" si="3"/>
        <v>198</v>
      </c>
      <c r="Y18" s="70"/>
      <c r="AA18" s="69">
        <f t="shared" si="8"/>
        <v>92</v>
      </c>
      <c r="AB18" s="69">
        <f t="shared" si="8"/>
        <v>198</v>
      </c>
      <c r="AD18" s="436">
        <f t="shared" si="4"/>
        <v>16.24</v>
      </c>
      <c r="AE18" s="83">
        <f t="shared" si="9"/>
        <v>16.24</v>
      </c>
      <c r="AG18" s="70">
        <f t="shared" si="5"/>
        <v>1494.08</v>
      </c>
      <c r="AH18" s="70">
        <f t="shared" si="6"/>
        <v>3215.5199999999995</v>
      </c>
    </row>
    <row r="19" spans="2:34" ht="12.75">
      <c r="B19" s="35" t="s">
        <v>164</v>
      </c>
      <c r="C19" s="72" t="s">
        <v>156</v>
      </c>
      <c r="D19" s="35" t="s">
        <v>179</v>
      </c>
      <c r="E19" s="563">
        <v>13</v>
      </c>
      <c r="F19" s="73"/>
      <c r="G19" s="73" t="str">
        <f t="shared" si="10"/>
        <v>047HPY</v>
      </c>
      <c r="H19" s="419"/>
      <c r="I19" t="s">
        <v>133</v>
      </c>
      <c r="J19" t="s">
        <v>168</v>
      </c>
      <c r="K19" s="59">
        <v>10000</v>
      </c>
      <c r="L19" s="97" t="s">
        <v>183</v>
      </c>
      <c r="M19" s="69">
        <f t="shared" si="0"/>
        <v>134</v>
      </c>
      <c r="N19" s="69">
        <f t="shared" si="0"/>
        <v>209</v>
      </c>
      <c r="P19" s="592">
        <v>19.46</v>
      </c>
      <c r="Q19" s="314">
        <f t="shared" si="7"/>
        <v>19.46</v>
      </c>
      <c r="S19" s="70">
        <f t="shared" si="1"/>
        <v>2607.6400000000003</v>
      </c>
      <c r="T19" s="70">
        <f t="shared" si="2"/>
        <v>4067.1400000000003</v>
      </c>
      <c r="U19" s="70"/>
      <c r="V19" s="69">
        <f t="shared" si="3"/>
        <v>134</v>
      </c>
      <c r="W19" s="69">
        <f t="shared" si="3"/>
        <v>209</v>
      </c>
      <c r="Y19" s="70"/>
      <c r="AA19" s="69">
        <f t="shared" si="8"/>
        <v>134</v>
      </c>
      <c r="AB19" s="69">
        <f t="shared" si="8"/>
        <v>209</v>
      </c>
      <c r="AD19" s="436">
        <f t="shared" si="4"/>
        <v>19.46</v>
      </c>
      <c r="AE19" s="83">
        <f t="shared" si="9"/>
        <v>19.46</v>
      </c>
      <c r="AG19" s="70">
        <f t="shared" si="5"/>
        <v>2607.6400000000003</v>
      </c>
      <c r="AH19" s="70">
        <f t="shared" si="6"/>
        <v>4067.1400000000003</v>
      </c>
    </row>
    <row r="20" spans="2:34" ht="12.75">
      <c r="B20" s="541" t="s">
        <v>164</v>
      </c>
      <c r="C20" s="403" t="s">
        <v>156</v>
      </c>
      <c r="D20" s="585" t="s">
        <v>853</v>
      </c>
      <c r="E20" s="564">
        <v>1</v>
      </c>
      <c r="F20" s="73"/>
      <c r="G20" s="73" t="str">
        <f aca="true" t="shared" si="11" ref="G20">IF(OR(ISBLANK(C20),ISBLANK(D20)),"",TEXT(C20,"000")&amp;TEXT(D20,"000"))</f>
        <v>047HAIL</v>
      </c>
      <c r="H20" s="419"/>
      <c r="I20" t="s">
        <v>133</v>
      </c>
      <c r="J20" t="s">
        <v>168</v>
      </c>
      <c r="K20" s="59">
        <v>20000</v>
      </c>
      <c r="L20" s="97" t="s">
        <v>184</v>
      </c>
      <c r="M20" s="69">
        <f t="shared" si="0"/>
        <v>247</v>
      </c>
      <c r="N20" s="69">
        <f t="shared" si="0"/>
        <v>15</v>
      </c>
      <c r="P20" s="592">
        <v>27.67</v>
      </c>
      <c r="Q20" s="314">
        <f t="shared" si="7"/>
        <v>27.67</v>
      </c>
      <c r="S20" s="70">
        <f t="shared" si="1"/>
        <v>6834.490000000001</v>
      </c>
      <c r="T20" s="70">
        <f t="shared" si="2"/>
        <v>415.05</v>
      </c>
      <c r="U20" s="70"/>
      <c r="V20" s="69">
        <f t="shared" si="3"/>
        <v>247</v>
      </c>
      <c r="W20" s="69">
        <f t="shared" si="3"/>
        <v>15</v>
      </c>
      <c r="Y20" s="70"/>
      <c r="AA20" s="69">
        <f t="shared" si="8"/>
        <v>247</v>
      </c>
      <c r="AB20" s="69">
        <f t="shared" si="8"/>
        <v>15</v>
      </c>
      <c r="AD20" s="436">
        <f t="shared" si="4"/>
        <v>27.67</v>
      </c>
      <c r="AE20" s="83">
        <f t="shared" si="9"/>
        <v>27.67</v>
      </c>
      <c r="AG20" s="70">
        <f t="shared" si="5"/>
        <v>6834.490000000001</v>
      </c>
      <c r="AH20" s="70">
        <f t="shared" si="6"/>
        <v>415.05</v>
      </c>
    </row>
    <row r="21" spans="2:34" ht="12.75">
      <c r="B21" s="541" t="s">
        <v>164</v>
      </c>
      <c r="C21" s="72" t="s">
        <v>156</v>
      </c>
      <c r="D21" s="541" t="s">
        <v>814</v>
      </c>
      <c r="E21" s="564">
        <v>60</v>
      </c>
      <c r="F21" s="73"/>
      <c r="G21" s="73" t="str">
        <f t="shared" si="10"/>
        <v>047HAML</v>
      </c>
      <c r="H21" s="419"/>
      <c r="I21" t="s">
        <v>133</v>
      </c>
      <c r="J21" t="s">
        <v>172</v>
      </c>
      <c r="K21" s="59">
        <v>7000</v>
      </c>
      <c r="L21" s="97" t="s">
        <v>185</v>
      </c>
      <c r="M21" s="69">
        <f t="shared" si="0"/>
        <v>35</v>
      </c>
      <c r="N21" s="69">
        <f t="shared" si="0"/>
        <v>87</v>
      </c>
      <c r="P21" s="592">
        <v>20.27</v>
      </c>
      <c r="Q21" s="314">
        <f t="shared" si="7"/>
        <v>20.27</v>
      </c>
      <c r="S21" s="70">
        <f t="shared" si="1"/>
        <v>709.4499999999999</v>
      </c>
      <c r="T21" s="70">
        <f t="shared" si="2"/>
        <v>1763.49</v>
      </c>
      <c r="U21" s="70"/>
      <c r="V21" s="69">
        <f t="shared" si="3"/>
        <v>35</v>
      </c>
      <c r="W21" s="69">
        <f t="shared" si="3"/>
        <v>87</v>
      </c>
      <c r="Y21" s="70"/>
      <c r="AA21" s="69">
        <f t="shared" si="8"/>
        <v>35</v>
      </c>
      <c r="AB21" s="69">
        <f t="shared" si="8"/>
        <v>87</v>
      </c>
      <c r="AD21" s="436">
        <f t="shared" si="4"/>
        <v>20.27</v>
      </c>
      <c r="AE21" s="83">
        <f t="shared" si="9"/>
        <v>20.27</v>
      </c>
      <c r="AG21" s="70">
        <f t="shared" si="5"/>
        <v>709.4499999999999</v>
      </c>
      <c r="AH21" s="70">
        <f t="shared" si="6"/>
        <v>1763.49</v>
      </c>
    </row>
    <row r="22" spans="2:34" ht="12.75">
      <c r="B22" s="541" t="s">
        <v>164</v>
      </c>
      <c r="C22" s="72" t="s">
        <v>156</v>
      </c>
      <c r="D22" s="541" t="s">
        <v>815</v>
      </c>
      <c r="E22" s="564">
        <v>16</v>
      </c>
      <c r="F22" s="73"/>
      <c r="G22" s="73" t="str">
        <f t="shared" si="10"/>
        <v>047HANL</v>
      </c>
      <c r="H22" s="419"/>
      <c r="I22" t="s">
        <v>133</v>
      </c>
      <c r="J22" t="s">
        <v>172</v>
      </c>
      <c r="K22" s="59">
        <v>10000</v>
      </c>
      <c r="L22" s="97" t="s">
        <v>186</v>
      </c>
      <c r="M22" s="69">
        <f t="shared" si="0"/>
        <v>45</v>
      </c>
      <c r="N22" s="69">
        <f t="shared" si="0"/>
        <v>43</v>
      </c>
      <c r="P22" s="592">
        <v>23.53</v>
      </c>
      <c r="Q22" s="314">
        <f t="shared" si="7"/>
        <v>23.53</v>
      </c>
      <c r="S22" s="70">
        <f t="shared" si="1"/>
        <v>1058.8500000000001</v>
      </c>
      <c r="T22" s="70">
        <f t="shared" si="2"/>
        <v>1011.7900000000001</v>
      </c>
      <c r="U22" s="70"/>
      <c r="V22" s="69">
        <f t="shared" si="3"/>
        <v>45</v>
      </c>
      <c r="W22" s="69">
        <f t="shared" si="3"/>
        <v>43</v>
      </c>
      <c r="Y22" s="70"/>
      <c r="AA22" s="69">
        <f t="shared" si="8"/>
        <v>45</v>
      </c>
      <c r="AB22" s="69">
        <f t="shared" si="8"/>
        <v>43</v>
      </c>
      <c r="AD22" s="436">
        <f t="shared" si="4"/>
        <v>23.53</v>
      </c>
      <c r="AE22" s="83">
        <f t="shared" si="9"/>
        <v>23.53</v>
      </c>
      <c r="AG22" s="70">
        <f t="shared" si="5"/>
        <v>1058.8500000000001</v>
      </c>
      <c r="AH22" s="70">
        <f t="shared" si="6"/>
        <v>1011.7900000000001</v>
      </c>
    </row>
    <row r="23" spans="2:34" ht="12.75">
      <c r="B23" s="541" t="s">
        <v>164</v>
      </c>
      <c r="C23" s="403" t="s">
        <v>156</v>
      </c>
      <c r="D23" s="585" t="s">
        <v>854</v>
      </c>
      <c r="E23" s="564">
        <v>2</v>
      </c>
      <c r="F23" s="73"/>
      <c r="G23" s="73" t="str">
        <f aca="true" t="shared" si="12" ref="G23">IF(OR(ISBLANK(C23),ISBLANK(D23)),"",TEXT(C23,"000")&amp;TEXT(D23,"000"))</f>
        <v>047HAOL</v>
      </c>
      <c r="H23" s="419"/>
      <c r="I23" t="s">
        <v>133</v>
      </c>
      <c r="J23" t="s">
        <v>172</v>
      </c>
      <c r="K23" s="59">
        <v>20000</v>
      </c>
      <c r="L23" s="97" t="s">
        <v>187</v>
      </c>
      <c r="M23" s="69">
        <f t="shared" si="0"/>
        <v>120</v>
      </c>
      <c r="N23" s="69">
        <f t="shared" si="0"/>
        <v>17</v>
      </c>
      <c r="P23" s="592">
        <v>31.77</v>
      </c>
      <c r="Q23" s="314">
        <f t="shared" si="7"/>
        <v>31.77</v>
      </c>
      <c r="S23" s="70">
        <f t="shared" si="1"/>
        <v>3812.4</v>
      </c>
      <c r="T23" s="70">
        <f t="shared" si="2"/>
        <v>540.09</v>
      </c>
      <c r="U23" s="70"/>
      <c r="V23" s="69">
        <f t="shared" si="3"/>
        <v>120</v>
      </c>
      <c r="W23" s="69">
        <f t="shared" si="3"/>
        <v>17</v>
      </c>
      <c r="Y23" s="70"/>
      <c r="AA23" s="69">
        <f t="shared" si="8"/>
        <v>120</v>
      </c>
      <c r="AB23" s="69">
        <f t="shared" si="8"/>
        <v>17</v>
      </c>
      <c r="AD23" s="436">
        <f t="shared" si="4"/>
        <v>31.77</v>
      </c>
      <c r="AE23" s="83">
        <f t="shared" si="9"/>
        <v>31.77</v>
      </c>
      <c r="AG23" s="70">
        <f t="shared" si="5"/>
        <v>3812.4</v>
      </c>
      <c r="AH23" s="70">
        <f t="shared" si="6"/>
        <v>540.09</v>
      </c>
    </row>
    <row r="24" spans="2:34" ht="12.75">
      <c r="B24" s="541" t="s">
        <v>164</v>
      </c>
      <c r="C24" s="72" t="s">
        <v>156</v>
      </c>
      <c r="D24" s="541" t="s">
        <v>632</v>
      </c>
      <c r="E24" s="564">
        <v>5</v>
      </c>
      <c r="F24" s="73"/>
      <c r="G24" s="73" t="str">
        <f>IF(OR(ISBLANK(C24),ISBLANK(D24)),"",TEXT(C24,"000")&amp;TEXT(D24,"000"))</f>
        <v>047HAPL</v>
      </c>
      <c r="H24" s="419"/>
      <c r="I24" s="616" t="s">
        <v>133</v>
      </c>
      <c r="J24" s="616" t="s">
        <v>190</v>
      </c>
      <c r="K24" s="621">
        <v>7000</v>
      </c>
      <c r="L24" s="622" t="s">
        <v>191</v>
      </c>
      <c r="M24" s="638">
        <f aca="true" t="shared" si="13" ref="M24:N43">SUMIF($G:$G,TEXT(M$3,"000")&amp;TEXT($L24,"000"),$E:$E)</f>
        <v>0</v>
      </c>
      <c r="N24" s="638">
        <f t="shared" si="13"/>
        <v>0</v>
      </c>
      <c r="O24" s="616"/>
      <c r="P24" s="697"/>
      <c r="Q24" s="698">
        <f t="shared" si="7"/>
        <v>0</v>
      </c>
      <c r="R24" s="616"/>
      <c r="S24" s="696">
        <f t="shared" si="1"/>
        <v>0</v>
      </c>
      <c r="T24" s="696">
        <f t="shared" si="2"/>
        <v>0</v>
      </c>
      <c r="U24" s="696"/>
      <c r="V24" s="638">
        <f aca="true" t="shared" si="14" ref="V24:W43">SUMIF($G:$G,TEXT(V$3,"000")&amp;TEXT($L24,"000"),$E:$E)</f>
        <v>0</v>
      </c>
      <c r="W24" s="638">
        <f t="shared" si="14"/>
        <v>0</v>
      </c>
      <c r="X24" s="616"/>
      <c r="Y24" s="696"/>
      <c r="Z24" s="616"/>
      <c r="AA24" s="638">
        <f t="shared" si="8"/>
        <v>0</v>
      </c>
      <c r="AB24" s="638">
        <f t="shared" si="8"/>
        <v>0</v>
      </c>
      <c r="AC24" s="616"/>
      <c r="AD24" s="640">
        <f t="shared" si="4"/>
        <v>0</v>
      </c>
      <c r="AE24" s="699">
        <f t="shared" si="9"/>
        <v>0</v>
      </c>
      <c r="AF24" s="616"/>
      <c r="AG24" s="696">
        <f t="shared" si="5"/>
        <v>0</v>
      </c>
      <c r="AH24" s="696">
        <f t="shared" si="6"/>
        <v>0</v>
      </c>
    </row>
    <row r="25" spans="2:34" ht="12.75">
      <c r="B25" s="541" t="s">
        <v>164</v>
      </c>
      <c r="C25" s="403" t="s">
        <v>156</v>
      </c>
      <c r="D25" s="585" t="s">
        <v>981</v>
      </c>
      <c r="E25" s="564">
        <v>19</v>
      </c>
      <c r="F25" s="73"/>
      <c r="G25" s="73" t="str">
        <f>IF(OR(ISBLANK(C25),ISBLANK(D25)),"",TEXT(C25,"000")&amp;TEXT(D25,"000"))</f>
        <v>047HARL</v>
      </c>
      <c r="H25" s="419"/>
      <c r="I25" t="s">
        <v>133</v>
      </c>
      <c r="J25" t="s">
        <v>190</v>
      </c>
      <c r="K25" s="59">
        <v>10000</v>
      </c>
      <c r="L25" s="97" t="s">
        <v>188</v>
      </c>
      <c r="M25" s="69">
        <f t="shared" si="13"/>
        <v>0</v>
      </c>
      <c r="N25" s="69">
        <f t="shared" si="13"/>
        <v>5</v>
      </c>
      <c r="P25" s="592">
        <v>29.71</v>
      </c>
      <c r="Q25" s="314">
        <f t="shared" si="7"/>
        <v>29.71</v>
      </c>
      <c r="S25" s="70">
        <f t="shared" si="1"/>
        <v>0</v>
      </c>
      <c r="T25" s="70">
        <f t="shared" si="2"/>
        <v>148.55</v>
      </c>
      <c r="U25" s="70"/>
      <c r="V25" s="69">
        <f t="shared" si="14"/>
        <v>0</v>
      </c>
      <c r="W25" s="69">
        <f t="shared" si="14"/>
        <v>5</v>
      </c>
      <c r="Y25" s="70"/>
      <c r="AA25" s="69">
        <f t="shared" si="8"/>
        <v>0</v>
      </c>
      <c r="AB25" s="69">
        <f t="shared" si="8"/>
        <v>5</v>
      </c>
      <c r="AD25" s="436">
        <f t="shared" si="4"/>
        <v>29.71</v>
      </c>
      <c r="AE25" s="83">
        <f t="shared" si="9"/>
        <v>29.71</v>
      </c>
      <c r="AG25" s="70">
        <f t="shared" si="5"/>
        <v>0</v>
      </c>
      <c r="AH25" s="70">
        <f t="shared" si="6"/>
        <v>148.55</v>
      </c>
    </row>
    <row r="26" spans="2:34" ht="12.75">
      <c r="B26" s="541" t="s">
        <v>164</v>
      </c>
      <c r="C26" s="72" t="s">
        <v>156</v>
      </c>
      <c r="D26" s="541" t="s">
        <v>623</v>
      </c>
      <c r="E26" s="564">
        <v>517</v>
      </c>
      <c r="F26" s="73"/>
      <c r="G26" s="73" t="str">
        <f t="shared" si="10"/>
        <v>047HPAL</v>
      </c>
      <c r="H26" s="419"/>
      <c r="I26" t="s">
        <v>133</v>
      </c>
      <c r="J26" t="s">
        <v>190</v>
      </c>
      <c r="K26" s="59">
        <v>20000</v>
      </c>
      <c r="L26" s="97" t="s">
        <v>189</v>
      </c>
      <c r="M26" s="69">
        <f t="shared" si="13"/>
        <v>1</v>
      </c>
      <c r="N26" s="69">
        <f t="shared" si="13"/>
        <v>0</v>
      </c>
      <c r="P26" s="592">
        <v>37.89</v>
      </c>
      <c r="Q26" s="314">
        <f t="shared" si="7"/>
        <v>37.89</v>
      </c>
      <c r="S26" s="70">
        <f t="shared" si="1"/>
        <v>37.89</v>
      </c>
      <c r="T26" s="70">
        <f t="shared" si="2"/>
        <v>0</v>
      </c>
      <c r="U26" s="70"/>
      <c r="V26" s="69">
        <f t="shared" si="14"/>
        <v>1</v>
      </c>
      <c r="W26" s="69">
        <f t="shared" si="14"/>
        <v>0</v>
      </c>
      <c r="Y26" s="70"/>
      <c r="AA26" s="69">
        <f t="shared" si="8"/>
        <v>1</v>
      </c>
      <c r="AB26" s="69">
        <f t="shared" si="8"/>
        <v>0</v>
      </c>
      <c r="AD26" s="436">
        <f t="shared" si="4"/>
        <v>37.89</v>
      </c>
      <c r="AE26" s="83">
        <f t="shared" si="9"/>
        <v>37.89</v>
      </c>
      <c r="AG26" s="70">
        <f t="shared" si="5"/>
        <v>37.89</v>
      </c>
      <c r="AH26" s="70">
        <f t="shared" si="6"/>
        <v>0</v>
      </c>
    </row>
    <row r="27" spans="2:34" ht="12.75">
      <c r="B27" s="541" t="s">
        <v>164</v>
      </c>
      <c r="C27" s="72" t="s">
        <v>156</v>
      </c>
      <c r="D27" s="541" t="s">
        <v>624</v>
      </c>
      <c r="E27" s="564">
        <v>470</v>
      </c>
      <c r="F27" s="73"/>
      <c r="G27" s="73" t="str">
        <f t="shared" si="10"/>
        <v>047HPBL</v>
      </c>
      <c r="H27" s="419"/>
      <c r="I27" t="s">
        <v>133</v>
      </c>
      <c r="J27" t="s">
        <v>195</v>
      </c>
      <c r="K27" s="59">
        <v>7000</v>
      </c>
      <c r="L27" s="97" t="s">
        <v>192</v>
      </c>
      <c r="M27" s="69">
        <f t="shared" si="13"/>
        <v>2</v>
      </c>
      <c r="N27" s="69">
        <f t="shared" si="13"/>
        <v>0</v>
      </c>
      <c r="P27" s="592">
        <v>27.71</v>
      </c>
      <c r="Q27" s="314">
        <f t="shared" si="7"/>
        <v>27.71</v>
      </c>
      <c r="S27" s="70">
        <f t="shared" si="1"/>
        <v>55.42</v>
      </c>
      <c r="T27" s="70">
        <f t="shared" si="2"/>
        <v>0</v>
      </c>
      <c r="U27" s="70"/>
      <c r="V27" s="69">
        <f t="shared" si="14"/>
        <v>2</v>
      </c>
      <c r="W27" s="69">
        <f t="shared" si="14"/>
        <v>0</v>
      </c>
      <c r="Y27" s="70"/>
      <c r="AA27" s="69">
        <f t="shared" si="8"/>
        <v>2</v>
      </c>
      <c r="AB27" s="69">
        <f t="shared" si="8"/>
        <v>0</v>
      </c>
      <c r="AD27" s="436">
        <f t="shared" si="4"/>
        <v>27.71</v>
      </c>
      <c r="AE27" s="83">
        <f t="shared" si="9"/>
        <v>27.71</v>
      </c>
      <c r="AG27" s="70">
        <f t="shared" si="5"/>
        <v>55.42</v>
      </c>
      <c r="AH27" s="70">
        <f t="shared" si="6"/>
        <v>0</v>
      </c>
    </row>
    <row r="28" spans="2:34" ht="12.75">
      <c r="B28" s="541" t="s">
        <v>164</v>
      </c>
      <c r="C28" s="72" t="s">
        <v>156</v>
      </c>
      <c r="D28" s="541" t="s">
        <v>646</v>
      </c>
      <c r="E28" s="564">
        <v>115</v>
      </c>
      <c r="F28" s="73"/>
      <c r="G28" s="73" t="str">
        <f t="shared" si="10"/>
        <v>047HPCL</v>
      </c>
      <c r="H28" s="419"/>
      <c r="I28" t="s">
        <v>133</v>
      </c>
      <c r="J28" t="s">
        <v>195</v>
      </c>
      <c r="K28" s="59">
        <v>10000</v>
      </c>
      <c r="L28" s="97" t="s">
        <v>193</v>
      </c>
      <c r="M28" s="69">
        <f t="shared" si="13"/>
        <v>0</v>
      </c>
      <c r="N28" s="69">
        <f t="shared" si="13"/>
        <v>25</v>
      </c>
      <c r="P28" s="592">
        <v>30.97</v>
      </c>
      <c r="Q28" s="314">
        <f t="shared" si="7"/>
        <v>30.97</v>
      </c>
      <c r="S28" s="70">
        <f t="shared" si="1"/>
        <v>0</v>
      </c>
      <c r="T28" s="70">
        <f t="shared" si="2"/>
        <v>774.25</v>
      </c>
      <c r="U28" s="70"/>
      <c r="V28" s="69">
        <f t="shared" si="14"/>
        <v>0</v>
      </c>
      <c r="W28" s="69">
        <f t="shared" si="14"/>
        <v>25</v>
      </c>
      <c r="Y28" s="70"/>
      <c r="AA28" s="69">
        <f t="shared" si="8"/>
        <v>0</v>
      </c>
      <c r="AB28" s="69">
        <f t="shared" si="8"/>
        <v>25</v>
      </c>
      <c r="AD28" s="436">
        <f t="shared" si="4"/>
        <v>30.97</v>
      </c>
      <c r="AE28" s="83">
        <f t="shared" si="9"/>
        <v>30.97</v>
      </c>
      <c r="AG28" s="70">
        <f t="shared" si="5"/>
        <v>0</v>
      </c>
      <c r="AH28" s="70">
        <f t="shared" si="6"/>
        <v>774.25</v>
      </c>
    </row>
    <row r="29" spans="2:34" ht="12.75">
      <c r="B29" s="541" t="s">
        <v>164</v>
      </c>
      <c r="C29" s="72" t="s">
        <v>156</v>
      </c>
      <c r="D29" s="541" t="s">
        <v>627</v>
      </c>
      <c r="E29" s="564">
        <v>428</v>
      </c>
      <c r="F29" s="73"/>
      <c r="G29" s="73" t="str">
        <f t="shared" si="10"/>
        <v>047HPDL</v>
      </c>
      <c r="H29" s="419"/>
      <c r="I29" t="s">
        <v>133</v>
      </c>
      <c r="J29" t="s">
        <v>195</v>
      </c>
      <c r="K29" s="59">
        <v>20000</v>
      </c>
      <c r="L29" s="97" t="s">
        <v>194</v>
      </c>
      <c r="M29" s="69">
        <f t="shared" si="13"/>
        <v>2</v>
      </c>
      <c r="N29" s="69">
        <f t="shared" si="13"/>
        <v>0</v>
      </c>
      <c r="P29" s="592">
        <v>39.17</v>
      </c>
      <c r="Q29" s="314">
        <f t="shared" si="7"/>
        <v>39.17</v>
      </c>
      <c r="S29" s="70">
        <f t="shared" si="1"/>
        <v>78.34</v>
      </c>
      <c r="T29" s="70">
        <f t="shared" si="2"/>
        <v>0</v>
      </c>
      <c r="U29" s="70"/>
      <c r="V29" s="69">
        <f t="shared" si="14"/>
        <v>2</v>
      </c>
      <c r="W29" s="69">
        <f t="shared" si="14"/>
        <v>0</v>
      </c>
      <c r="Y29" s="70"/>
      <c r="AA29" s="69">
        <f t="shared" si="8"/>
        <v>2</v>
      </c>
      <c r="AB29" s="69">
        <f t="shared" si="8"/>
        <v>0</v>
      </c>
      <c r="AD29" s="436">
        <f t="shared" si="4"/>
        <v>39.17</v>
      </c>
      <c r="AE29" s="83">
        <f t="shared" si="9"/>
        <v>39.17</v>
      </c>
      <c r="AG29" s="70">
        <f t="shared" si="5"/>
        <v>78.34</v>
      </c>
      <c r="AH29" s="70">
        <f t="shared" si="6"/>
        <v>0</v>
      </c>
    </row>
    <row r="30" spans="2:34" ht="12.75">
      <c r="B30" s="541" t="s">
        <v>164</v>
      </c>
      <c r="C30" s="72" t="s">
        <v>156</v>
      </c>
      <c r="D30" s="541" t="s">
        <v>626</v>
      </c>
      <c r="E30" s="564">
        <v>376</v>
      </c>
      <c r="F30" s="73"/>
      <c r="G30" s="73" t="str">
        <f t="shared" si="10"/>
        <v>047HPEL</v>
      </c>
      <c r="H30" s="419"/>
      <c r="I30" s="616" t="s">
        <v>133</v>
      </c>
      <c r="J30" s="616" t="s">
        <v>198</v>
      </c>
      <c r="K30" s="621">
        <v>7000</v>
      </c>
      <c r="L30" s="622" t="s">
        <v>199</v>
      </c>
      <c r="M30" s="638">
        <f t="shared" si="13"/>
        <v>0</v>
      </c>
      <c r="N30" s="638">
        <f t="shared" si="13"/>
        <v>0</v>
      </c>
      <c r="O30" s="616"/>
      <c r="P30" s="697"/>
      <c r="Q30" s="698">
        <f t="shared" si="7"/>
        <v>0</v>
      </c>
      <c r="R30" s="616"/>
      <c r="S30" s="696">
        <f t="shared" si="1"/>
        <v>0</v>
      </c>
      <c r="T30" s="696">
        <f t="shared" si="2"/>
        <v>0</v>
      </c>
      <c r="U30" s="696"/>
      <c r="V30" s="638">
        <f t="shared" si="14"/>
        <v>0</v>
      </c>
      <c r="W30" s="638">
        <f t="shared" si="14"/>
        <v>0</v>
      </c>
      <c r="X30" s="616"/>
      <c r="Y30" s="696"/>
      <c r="Z30" s="616"/>
      <c r="AA30" s="638">
        <f t="shared" si="8"/>
        <v>0</v>
      </c>
      <c r="AB30" s="638">
        <f t="shared" si="8"/>
        <v>0</v>
      </c>
      <c r="AC30" s="616"/>
      <c r="AD30" s="640">
        <f t="shared" si="4"/>
        <v>0</v>
      </c>
      <c r="AE30" s="699">
        <f t="shared" si="9"/>
        <v>0</v>
      </c>
      <c r="AF30" s="616"/>
      <c r="AG30" s="696">
        <f t="shared" si="5"/>
        <v>0</v>
      </c>
      <c r="AH30" s="696">
        <f t="shared" si="6"/>
        <v>0</v>
      </c>
    </row>
    <row r="31" spans="2:34" ht="12.75">
      <c r="B31" s="541" t="s">
        <v>164</v>
      </c>
      <c r="C31" s="72" t="s">
        <v>156</v>
      </c>
      <c r="D31" s="541" t="s">
        <v>647</v>
      </c>
      <c r="E31" s="564">
        <v>90</v>
      </c>
      <c r="F31" s="73"/>
      <c r="G31" s="73" t="str">
        <f t="shared" si="10"/>
        <v>047HPGL</v>
      </c>
      <c r="H31" s="419"/>
      <c r="I31" s="616" t="s">
        <v>133</v>
      </c>
      <c r="J31" s="616" t="s">
        <v>198</v>
      </c>
      <c r="K31" s="621">
        <v>10000</v>
      </c>
      <c r="L31" s="622" t="s">
        <v>200</v>
      </c>
      <c r="M31" s="638">
        <f t="shared" si="13"/>
        <v>0</v>
      </c>
      <c r="N31" s="638">
        <f t="shared" si="13"/>
        <v>0</v>
      </c>
      <c r="O31" s="616"/>
      <c r="P31" s="697"/>
      <c r="Q31" s="698">
        <f t="shared" si="7"/>
        <v>0</v>
      </c>
      <c r="R31" s="616"/>
      <c r="S31" s="696">
        <f t="shared" si="1"/>
        <v>0</v>
      </c>
      <c r="T31" s="696">
        <f t="shared" si="2"/>
        <v>0</v>
      </c>
      <c r="U31" s="696"/>
      <c r="V31" s="638">
        <f t="shared" si="14"/>
        <v>0</v>
      </c>
      <c r="W31" s="638">
        <f t="shared" si="14"/>
        <v>0</v>
      </c>
      <c r="X31" s="616"/>
      <c r="Y31" s="696"/>
      <c r="Z31" s="616"/>
      <c r="AA31" s="638">
        <f t="shared" si="8"/>
        <v>0</v>
      </c>
      <c r="AB31" s="638">
        <f t="shared" si="8"/>
        <v>0</v>
      </c>
      <c r="AC31" s="616"/>
      <c r="AD31" s="640">
        <f t="shared" si="4"/>
        <v>0</v>
      </c>
      <c r="AE31" s="699">
        <f t="shared" si="9"/>
        <v>0</v>
      </c>
      <c r="AF31" s="616"/>
      <c r="AG31" s="696">
        <f t="shared" si="5"/>
        <v>0</v>
      </c>
      <c r="AH31" s="696">
        <f t="shared" si="6"/>
        <v>0</v>
      </c>
    </row>
    <row r="32" spans="2:34" ht="12.75">
      <c r="B32" s="541" t="s">
        <v>164</v>
      </c>
      <c r="C32" s="72" t="s">
        <v>156</v>
      </c>
      <c r="D32" s="541" t="s">
        <v>816</v>
      </c>
      <c r="E32" s="564">
        <v>1</v>
      </c>
      <c r="F32" s="73"/>
      <c r="G32" s="73" t="str">
        <f t="shared" si="10"/>
        <v>047HPKL</v>
      </c>
      <c r="H32" s="419"/>
      <c r="I32" s="616" t="s">
        <v>133</v>
      </c>
      <c r="J32" s="616" t="s">
        <v>198</v>
      </c>
      <c r="K32" s="621">
        <v>20000</v>
      </c>
      <c r="L32" s="622" t="s">
        <v>196</v>
      </c>
      <c r="M32" s="638">
        <f t="shared" si="13"/>
        <v>0</v>
      </c>
      <c r="N32" s="638">
        <f t="shared" si="13"/>
        <v>0</v>
      </c>
      <c r="O32" s="616"/>
      <c r="P32" s="697"/>
      <c r="Q32" s="698">
        <f t="shared" si="7"/>
        <v>0</v>
      </c>
      <c r="R32" s="616"/>
      <c r="S32" s="696">
        <f t="shared" si="1"/>
        <v>0</v>
      </c>
      <c r="T32" s="696">
        <f t="shared" si="2"/>
        <v>0</v>
      </c>
      <c r="U32" s="696"/>
      <c r="V32" s="638">
        <f t="shared" si="14"/>
        <v>0</v>
      </c>
      <c r="W32" s="638">
        <f t="shared" si="14"/>
        <v>0</v>
      </c>
      <c r="X32" s="616"/>
      <c r="Y32" s="696"/>
      <c r="Z32" s="616"/>
      <c r="AA32" s="638">
        <f t="shared" si="8"/>
        <v>0</v>
      </c>
      <c r="AB32" s="638">
        <f t="shared" si="8"/>
        <v>0</v>
      </c>
      <c r="AC32" s="616"/>
      <c r="AD32" s="640">
        <f t="shared" si="4"/>
        <v>0</v>
      </c>
      <c r="AE32" s="699">
        <f t="shared" si="9"/>
        <v>0</v>
      </c>
      <c r="AF32" s="616"/>
      <c r="AG32" s="696">
        <f t="shared" si="5"/>
        <v>0</v>
      </c>
      <c r="AH32" s="696">
        <f t="shared" si="6"/>
        <v>0</v>
      </c>
    </row>
    <row r="33" spans="2:35" ht="12.75">
      <c r="B33" s="541" t="s">
        <v>164</v>
      </c>
      <c r="C33" s="72" t="s">
        <v>156</v>
      </c>
      <c r="D33" s="541" t="s">
        <v>629</v>
      </c>
      <c r="E33" s="564">
        <v>12</v>
      </c>
      <c r="F33" s="73"/>
      <c r="G33" s="73" t="str">
        <f>IF(OR(ISBLANK(C33),ISBLANK(D33)),"",TEXT(C33,"000")&amp;TEXT(D33,"000"))</f>
        <v>047HPLL</v>
      </c>
      <c r="H33" s="419"/>
      <c r="I33" s="19" t="s">
        <v>133</v>
      </c>
      <c r="J33" s="19" t="s">
        <v>431</v>
      </c>
      <c r="K33" s="86">
        <v>7000</v>
      </c>
      <c r="L33" s="321" t="s">
        <v>430</v>
      </c>
      <c r="M33" s="69">
        <f t="shared" si="13"/>
        <v>0</v>
      </c>
      <c r="N33" s="69">
        <f t="shared" si="13"/>
        <v>2</v>
      </c>
      <c r="O33" s="320"/>
      <c r="P33" s="592">
        <v>8.12</v>
      </c>
      <c r="Q33" s="314">
        <f t="shared" si="7"/>
        <v>8.12</v>
      </c>
      <c r="R33" s="320"/>
      <c r="S33" s="70">
        <f t="shared" si="1"/>
        <v>0</v>
      </c>
      <c r="T33" s="70">
        <f t="shared" si="2"/>
        <v>16.24</v>
      </c>
      <c r="U33" s="70"/>
      <c r="V33" s="69">
        <f t="shared" si="14"/>
        <v>0</v>
      </c>
      <c r="W33" s="69">
        <f t="shared" si="14"/>
        <v>2</v>
      </c>
      <c r="Y33" s="70"/>
      <c r="Z33" s="320"/>
      <c r="AA33" s="69">
        <f t="shared" si="8"/>
        <v>0</v>
      </c>
      <c r="AB33" s="69">
        <f t="shared" si="8"/>
        <v>2</v>
      </c>
      <c r="AC33" s="320"/>
      <c r="AD33" s="436">
        <f>AD18/2</f>
        <v>8.12</v>
      </c>
      <c r="AE33" s="83">
        <f t="shared" si="9"/>
        <v>8.12</v>
      </c>
      <c r="AF33" s="320"/>
      <c r="AG33" s="70">
        <f t="shared" si="5"/>
        <v>0</v>
      </c>
      <c r="AH33" s="70">
        <f t="shared" si="6"/>
        <v>16.24</v>
      </c>
      <c r="AI33" s="320"/>
    </row>
    <row r="34" spans="2:34" ht="12.75">
      <c r="B34" s="541" t="s">
        <v>164</v>
      </c>
      <c r="C34" s="72" t="s">
        <v>156</v>
      </c>
      <c r="D34" s="541" t="s">
        <v>625</v>
      </c>
      <c r="E34" s="564">
        <v>16</v>
      </c>
      <c r="F34" s="73"/>
      <c r="G34" s="73" t="str">
        <f t="shared" si="10"/>
        <v>047HPSL</v>
      </c>
      <c r="H34" s="419"/>
      <c r="I34" t="s">
        <v>201</v>
      </c>
      <c r="J34" s="637" t="s">
        <v>648</v>
      </c>
      <c r="K34" s="59" t="s">
        <v>202</v>
      </c>
      <c r="L34" s="97" t="s">
        <v>197</v>
      </c>
      <c r="M34" s="69">
        <f t="shared" si="13"/>
        <v>53</v>
      </c>
      <c r="N34" s="69">
        <f t="shared" si="13"/>
        <v>2</v>
      </c>
      <c r="P34" s="592">
        <v>6.54</v>
      </c>
      <c r="Q34" s="314">
        <f t="shared" si="7"/>
        <v>6.54</v>
      </c>
      <c r="S34" s="70">
        <f t="shared" si="1"/>
        <v>346.62</v>
      </c>
      <c r="T34" s="70">
        <f t="shared" si="2"/>
        <v>13.08</v>
      </c>
      <c r="U34" s="70"/>
      <c r="V34" s="69">
        <f t="shared" si="14"/>
        <v>53</v>
      </c>
      <c r="W34" s="69">
        <f t="shared" si="14"/>
        <v>2</v>
      </c>
      <c r="Y34" s="70"/>
      <c r="AA34" s="69">
        <f t="shared" si="8"/>
        <v>53</v>
      </c>
      <c r="AB34" s="69">
        <f t="shared" si="8"/>
        <v>2</v>
      </c>
      <c r="AD34" s="436">
        <f t="shared" si="4"/>
        <v>6.54</v>
      </c>
      <c r="AE34" s="83">
        <f t="shared" si="9"/>
        <v>6.54</v>
      </c>
      <c r="AG34" s="70">
        <f t="shared" si="5"/>
        <v>346.62</v>
      </c>
      <c r="AH34" s="70">
        <f t="shared" si="6"/>
        <v>13.08</v>
      </c>
    </row>
    <row r="35" spans="2:35" ht="12.75">
      <c r="B35" s="541" t="s">
        <v>164</v>
      </c>
      <c r="C35" s="72" t="s">
        <v>156</v>
      </c>
      <c r="D35" s="541" t="s">
        <v>630</v>
      </c>
      <c r="E35" s="564">
        <v>5</v>
      </c>
      <c r="F35" s="73"/>
      <c r="G35" s="73" t="str">
        <f t="shared" si="10"/>
        <v>047HPYL</v>
      </c>
      <c r="H35" s="419"/>
      <c r="I35" s="616" t="s">
        <v>201</v>
      </c>
      <c r="J35" s="616" t="s">
        <v>203</v>
      </c>
      <c r="K35" s="621" t="s">
        <v>202</v>
      </c>
      <c r="L35" s="622" t="s">
        <v>204</v>
      </c>
      <c r="M35" s="638">
        <f t="shared" si="13"/>
        <v>0</v>
      </c>
      <c r="N35" s="638">
        <f t="shared" si="13"/>
        <v>0</v>
      </c>
      <c r="O35" s="616"/>
      <c r="P35" s="697"/>
      <c r="Q35" s="698">
        <f t="shared" si="7"/>
        <v>0</v>
      </c>
      <c r="R35" s="616"/>
      <c r="S35" s="696">
        <f aca="true" t="shared" si="15" ref="S35:S46">IF(AND(M35&lt;&gt;0,P35=0),#VALUE!,M35*P35)</f>
        <v>0</v>
      </c>
      <c r="T35" s="696">
        <f aca="true" t="shared" si="16" ref="T35:T46">IF(AND(N35&lt;&gt;0,Q35=0),#VALUE!,N35*Q35)</f>
        <v>0</v>
      </c>
      <c r="U35" s="696"/>
      <c r="V35" s="638">
        <f t="shared" si="14"/>
        <v>0</v>
      </c>
      <c r="W35" s="638">
        <f t="shared" si="14"/>
        <v>0</v>
      </c>
      <c r="X35" s="616"/>
      <c r="Y35" s="696"/>
      <c r="Z35" s="616"/>
      <c r="AA35" s="638">
        <f aca="true" t="shared" si="17" ref="AA35:AA46">M35</f>
        <v>0</v>
      </c>
      <c r="AB35" s="638">
        <f aca="true" t="shared" si="18" ref="AB35:AB56">N35</f>
        <v>0</v>
      </c>
      <c r="AC35" s="616"/>
      <c r="AD35" s="640">
        <f t="shared" si="4"/>
        <v>0</v>
      </c>
      <c r="AE35" s="699">
        <f t="shared" si="9"/>
        <v>0</v>
      </c>
      <c r="AF35" s="616"/>
      <c r="AG35" s="696">
        <f aca="true" t="shared" si="19" ref="AG35:AG45">IF(AND(AA35&lt;&gt;0,AD35=0),#VALUE!,AA35*AD35)</f>
        <v>0</v>
      </c>
      <c r="AH35" s="696">
        <f aca="true" t="shared" si="20" ref="AH35:AH46">IF(AND(AB35&lt;&gt;0,AE35=0),#VALUE!,AB35*AE35)</f>
        <v>0</v>
      </c>
      <c r="AI35" s="616"/>
    </row>
    <row r="36" spans="2:93" ht="12.75">
      <c r="B36" s="541" t="s">
        <v>164</v>
      </c>
      <c r="C36" s="403" t="s">
        <v>156</v>
      </c>
      <c r="D36" s="585" t="s">
        <v>982</v>
      </c>
      <c r="E36" s="558">
        <v>46</v>
      </c>
      <c r="F36" s="73"/>
      <c r="G36" s="73" t="str">
        <f t="shared" si="10"/>
        <v>047HPZL</v>
      </c>
      <c r="H36" s="419"/>
      <c r="I36" s="599" t="s">
        <v>618</v>
      </c>
      <c r="J36" s="599" t="str">
        <f>J8</f>
        <v>on existing standard</v>
      </c>
      <c r="K36" s="599" t="s">
        <v>132</v>
      </c>
      <c r="L36" s="582" t="s">
        <v>623</v>
      </c>
      <c r="M36" s="581">
        <f t="shared" si="13"/>
        <v>517</v>
      </c>
      <c r="N36" s="581">
        <f t="shared" si="13"/>
        <v>844</v>
      </c>
      <c r="O36" s="599"/>
      <c r="P36" s="623">
        <f>P8</f>
        <v>14.12</v>
      </c>
      <c r="Q36" s="314">
        <f t="shared" si="7"/>
        <v>14.12</v>
      </c>
      <c r="R36" s="599"/>
      <c r="S36" s="70">
        <f t="shared" si="15"/>
        <v>7300.04</v>
      </c>
      <c r="T36" s="70">
        <f t="shared" si="16"/>
        <v>11917.279999999999</v>
      </c>
      <c r="U36" s="70"/>
      <c r="V36" s="581">
        <f t="shared" si="14"/>
        <v>517</v>
      </c>
      <c r="W36" s="581">
        <f t="shared" si="14"/>
        <v>844</v>
      </c>
      <c r="X36" s="599"/>
      <c r="Y36" s="70"/>
      <c r="Z36" s="599"/>
      <c r="AA36" s="581">
        <f t="shared" si="17"/>
        <v>517</v>
      </c>
      <c r="AB36" s="581">
        <f t="shared" si="18"/>
        <v>844</v>
      </c>
      <c r="AC36" s="599"/>
      <c r="AD36" s="586">
        <f>AD8</f>
        <v>14.12</v>
      </c>
      <c r="AE36" s="83">
        <f t="shared" si="9"/>
        <v>14.12</v>
      </c>
      <c r="AF36" s="599"/>
      <c r="AG36" s="70">
        <f>IF(AND(AA36&lt;&gt;0,AD36=0),#VALUE!,AA36*AD36)</f>
        <v>7300.04</v>
      </c>
      <c r="AH36" s="70">
        <f>IF(AND(AB36&lt;&gt;0,AE36=0),#VALUE!,AB36*AE36)</f>
        <v>11917.279999999999</v>
      </c>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row>
    <row r="37" spans="1:93" ht="12.75">
      <c r="A37" s="656"/>
      <c r="B37" s="35" t="s">
        <v>164</v>
      </c>
      <c r="C37" s="72" t="s">
        <v>156</v>
      </c>
      <c r="D37" s="35" t="s">
        <v>181</v>
      </c>
      <c r="E37" s="563">
        <v>92</v>
      </c>
      <c r="F37" s="73"/>
      <c r="G37" s="73" t="str">
        <f t="shared" si="10"/>
        <v>047MVA</v>
      </c>
      <c r="H37" s="419"/>
      <c r="I37" s="599" t="s">
        <v>618</v>
      </c>
      <c r="J37" s="599" t="str">
        <f>J9</f>
        <v>on existing standard</v>
      </c>
      <c r="K37" s="599" t="s">
        <v>615</v>
      </c>
      <c r="L37" s="582" t="s">
        <v>624</v>
      </c>
      <c r="M37" s="581">
        <f t="shared" si="13"/>
        <v>470</v>
      </c>
      <c r="N37" s="581">
        <f t="shared" si="13"/>
        <v>114</v>
      </c>
      <c r="O37" s="599"/>
      <c r="P37" s="623">
        <f>P9</f>
        <v>20.05</v>
      </c>
      <c r="Q37" s="314">
        <f t="shared" si="7"/>
        <v>20.05</v>
      </c>
      <c r="R37" s="599"/>
      <c r="S37" s="70">
        <f t="shared" si="15"/>
        <v>9423.5</v>
      </c>
      <c r="T37" s="70">
        <f t="shared" si="16"/>
        <v>2285.7000000000003</v>
      </c>
      <c r="U37" s="70"/>
      <c r="V37" s="581">
        <f t="shared" si="14"/>
        <v>470</v>
      </c>
      <c r="W37" s="581">
        <f t="shared" si="14"/>
        <v>114</v>
      </c>
      <c r="X37" s="599"/>
      <c r="Y37" s="70"/>
      <c r="Z37" s="599"/>
      <c r="AA37" s="581">
        <f t="shared" si="17"/>
        <v>470</v>
      </c>
      <c r="AB37" s="581">
        <f t="shared" si="18"/>
        <v>114</v>
      </c>
      <c r="AC37" s="599"/>
      <c r="AD37" s="586">
        <f>AD9</f>
        <v>20.05</v>
      </c>
      <c r="AE37" s="586">
        <f>AE9</f>
        <v>20.05</v>
      </c>
      <c r="AF37" s="599"/>
      <c r="AG37" s="70">
        <f t="shared" si="19"/>
        <v>9423.5</v>
      </c>
      <c r="AH37" s="70">
        <f t="shared" si="20"/>
        <v>2285.7000000000003</v>
      </c>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row>
    <row r="38" spans="2:93" ht="12.75">
      <c r="B38" s="35" t="s">
        <v>164</v>
      </c>
      <c r="C38" s="72" t="s">
        <v>156</v>
      </c>
      <c r="D38" s="35" t="s">
        <v>183</v>
      </c>
      <c r="E38" s="563">
        <v>134</v>
      </c>
      <c r="F38" s="73"/>
      <c r="G38" s="73" t="str">
        <f t="shared" si="10"/>
        <v>047MVB</v>
      </c>
      <c r="H38" s="419"/>
      <c r="I38" s="685" t="s">
        <v>618</v>
      </c>
      <c r="J38" s="685" t="str">
        <f>J10</f>
        <v>on existing standard</v>
      </c>
      <c r="K38" s="685" t="s">
        <v>812</v>
      </c>
      <c r="L38" s="582" t="s">
        <v>646</v>
      </c>
      <c r="M38" s="581">
        <f t="shared" si="13"/>
        <v>115</v>
      </c>
      <c r="N38" s="581">
        <f t="shared" si="13"/>
        <v>6</v>
      </c>
      <c r="O38" s="685"/>
      <c r="P38" s="623">
        <f>P10</f>
        <v>27.7</v>
      </c>
      <c r="Q38" s="314">
        <f>P38</f>
        <v>27.7</v>
      </c>
      <c r="R38" s="685"/>
      <c r="S38" s="70">
        <f>IF(AND(M38&lt;&gt;0,P38=0),#VALUE!,M38*P38)</f>
        <v>3185.5</v>
      </c>
      <c r="T38" s="70">
        <f>IF(AND(N38&lt;&gt;0,Q38=0),#VALUE!,N38*Q38)</f>
        <v>166.2</v>
      </c>
      <c r="U38" s="70"/>
      <c r="V38" s="581">
        <f t="shared" si="14"/>
        <v>115</v>
      </c>
      <c r="W38" s="581">
        <f t="shared" si="14"/>
        <v>6</v>
      </c>
      <c r="X38" s="685"/>
      <c r="Y38" s="70"/>
      <c r="Z38" s="685"/>
      <c r="AA38" s="581">
        <f>M38</f>
        <v>115</v>
      </c>
      <c r="AB38" s="581">
        <f>N38</f>
        <v>6</v>
      </c>
      <c r="AC38" s="685"/>
      <c r="AD38" s="586">
        <f>AD10</f>
        <v>27.7</v>
      </c>
      <c r="AE38" s="586">
        <f>AE10</f>
        <v>27.7</v>
      </c>
      <c r="AF38" s="685"/>
      <c r="AG38" s="70">
        <f>IF(AND(AA38&lt;&gt;0,AD38=0),#VALUE!,AA38*AD38)</f>
        <v>3185.5</v>
      </c>
      <c r="AH38" s="70">
        <f>IF(AND(AB38&lt;&gt;0,AE38=0),#VALUE!,AB38*AE38)</f>
        <v>166.2</v>
      </c>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row>
    <row r="39" spans="1:93" ht="12.75">
      <c r="A39" s="678"/>
      <c r="B39" s="35" t="s">
        <v>164</v>
      </c>
      <c r="C39" s="72" t="s">
        <v>156</v>
      </c>
      <c r="D39" s="35" t="s">
        <v>184</v>
      </c>
      <c r="E39" s="563">
        <v>247</v>
      </c>
      <c r="F39" s="73"/>
      <c r="G39" s="73" t="str">
        <f t="shared" si="10"/>
        <v>047MVC</v>
      </c>
      <c r="H39" s="419"/>
      <c r="I39" s="599" t="s">
        <v>618</v>
      </c>
      <c r="J39" s="599" t="str">
        <f>J16</f>
        <v>20' fiberglass pole</v>
      </c>
      <c r="K39" s="599" t="s">
        <v>132</v>
      </c>
      <c r="L39" s="582" t="s">
        <v>625</v>
      </c>
      <c r="M39" s="581">
        <f t="shared" si="13"/>
        <v>16</v>
      </c>
      <c r="N39" s="581">
        <f t="shared" si="13"/>
        <v>105</v>
      </c>
      <c r="O39" s="599"/>
      <c r="P39" s="623">
        <f>P16</f>
        <v>20.68</v>
      </c>
      <c r="Q39" s="314">
        <f t="shared" si="7"/>
        <v>20.68</v>
      </c>
      <c r="R39" s="599"/>
      <c r="S39" s="70">
        <f t="shared" si="15"/>
        <v>330.88</v>
      </c>
      <c r="T39" s="70">
        <f t="shared" si="16"/>
        <v>2171.4</v>
      </c>
      <c r="U39" s="70"/>
      <c r="V39" s="581">
        <f t="shared" si="14"/>
        <v>16</v>
      </c>
      <c r="W39" s="581">
        <f t="shared" si="14"/>
        <v>105</v>
      </c>
      <c r="X39" s="599"/>
      <c r="Y39" s="70"/>
      <c r="Z39" s="599"/>
      <c r="AA39" s="581">
        <f t="shared" si="17"/>
        <v>16</v>
      </c>
      <c r="AB39" s="581">
        <f t="shared" si="18"/>
        <v>105</v>
      </c>
      <c r="AC39" s="599"/>
      <c r="AD39" s="586">
        <f>AD16</f>
        <v>20.68</v>
      </c>
      <c r="AE39" s="586">
        <f>AE16</f>
        <v>20.68</v>
      </c>
      <c r="AF39" s="599"/>
      <c r="AG39" s="70">
        <f t="shared" si="19"/>
        <v>330.88</v>
      </c>
      <c r="AH39" s="70">
        <f t="shared" si="20"/>
        <v>2171.4</v>
      </c>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row>
    <row r="40" spans="2:93" ht="12.75">
      <c r="B40" s="35" t="s">
        <v>164</v>
      </c>
      <c r="C40" s="72" t="s">
        <v>156</v>
      </c>
      <c r="D40" s="35" t="s">
        <v>185</v>
      </c>
      <c r="E40" s="563">
        <v>35</v>
      </c>
      <c r="F40" s="73"/>
      <c r="G40" s="73" t="str">
        <f t="shared" si="10"/>
        <v>047MVD</v>
      </c>
      <c r="H40" s="419"/>
      <c r="I40" s="599" t="s">
        <v>618</v>
      </c>
      <c r="J40" s="599" t="str">
        <f>J12</f>
        <v>35' wood pole</v>
      </c>
      <c r="K40" s="599" t="s">
        <v>132</v>
      </c>
      <c r="L40" s="582" t="s">
        <v>626</v>
      </c>
      <c r="M40" s="581">
        <f t="shared" si="13"/>
        <v>376</v>
      </c>
      <c r="N40" s="581">
        <f t="shared" si="13"/>
        <v>415</v>
      </c>
      <c r="O40" s="599"/>
      <c r="P40" s="623">
        <f>P12</f>
        <v>20.68</v>
      </c>
      <c r="Q40" s="314">
        <f t="shared" si="7"/>
        <v>20.68</v>
      </c>
      <c r="R40" s="599"/>
      <c r="S40" s="70">
        <f t="shared" si="15"/>
        <v>7775.68</v>
      </c>
      <c r="T40" s="70">
        <f t="shared" si="16"/>
        <v>8582.2</v>
      </c>
      <c r="U40" s="70"/>
      <c r="V40" s="581">
        <f t="shared" si="14"/>
        <v>376</v>
      </c>
      <c r="W40" s="581">
        <f t="shared" si="14"/>
        <v>415</v>
      </c>
      <c r="X40" s="599"/>
      <c r="Y40" s="70"/>
      <c r="Z40" s="599"/>
      <c r="AA40" s="581">
        <f t="shared" si="17"/>
        <v>376</v>
      </c>
      <c r="AB40" s="581">
        <f t="shared" si="18"/>
        <v>415</v>
      </c>
      <c r="AC40" s="599"/>
      <c r="AD40" s="586">
        <f>AD12</f>
        <v>20.68</v>
      </c>
      <c r="AE40" s="586">
        <f>AE12</f>
        <v>20.68</v>
      </c>
      <c r="AF40" s="599"/>
      <c r="AG40" s="70">
        <f t="shared" si="19"/>
        <v>7775.68</v>
      </c>
      <c r="AH40" s="70">
        <f t="shared" si="20"/>
        <v>8582.2</v>
      </c>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row>
    <row r="41" spans="1:93" ht="12.75">
      <c r="A41" s="678"/>
      <c r="B41" s="35" t="s">
        <v>164</v>
      </c>
      <c r="C41" s="72" t="s">
        <v>156</v>
      </c>
      <c r="D41" s="35" t="s">
        <v>186</v>
      </c>
      <c r="E41" s="563">
        <v>45</v>
      </c>
      <c r="F41" s="73"/>
      <c r="G41" s="73" t="str">
        <f t="shared" si="10"/>
        <v>047MVE</v>
      </c>
      <c r="H41" s="419"/>
      <c r="I41" s="599" t="s">
        <v>618</v>
      </c>
      <c r="J41" s="599" t="str">
        <f>J11</f>
        <v>35' wood pole</v>
      </c>
      <c r="K41" s="599" t="s">
        <v>615</v>
      </c>
      <c r="L41" s="582" t="s">
        <v>627</v>
      </c>
      <c r="M41" s="581">
        <f t="shared" si="13"/>
        <v>428</v>
      </c>
      <c r="N41" s="581">
        <f t="shared" si="13"/>
        <v>75</v>
      </c>
      <c r="O41" s="599"/>
      <c r="P41" s="623">
        <f>P11</f>
        <v>27.86</v>
      </c>
      <c r="Q41" s="314">
        <f t="shared" si="7"/>
        <v>27.86</v>
      </c>
      <c r="R41" s="599"/>
      <c r="S41" s="70">
        <f t="shared" si="15"/>
        <v>11924.08</v>
      </c>
      <c r="T41" s="70">
        <f t="shared" si="16"/>
        <v>2089.5</v>
      </c>
      <c r="U41" s="70"/>
      <c r="V41" s="581">
        <f t="shared" si="14"/>
        <v>428</v>
      </c>
      <c r="W41" s="581">
        <f t="shared" si="14"/>
        <v>75</v>
      </c>
      <c r="X41" s="599"/>
      <c r="Y41" s="70"/>
      <c r="Z41" s="599"/>
      <c r="AA41" s="581">
        <f t="shared" si="17"/>
        <v>428</v>
      </c>
      <c r="AB41" s="581">
        <f t="shared" si="18"/>
        <v>75</v>
      </c>
      <c r="AC41" s="599"/>
      <c r="AD41" s="586">
        <f>AD11</f>
        <v>27.86</v>
      </c>
      <c r="AE41" s="586">
        <f>AE11</f>
        <v>27.86</v>
      </c>
      <c r="AF41" s="599"/>
      <c r="AG41" s="70">
        <f t="shared" si="19"/>
        <v>11924.08</v>
      </c>
      <c r="AH41" s="70">
        <f t="shared" si="20"/>
        <v>2089.5</v>
      </c>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row>
    <row r="42" spans="2:93" ht="12.75">
      <c r="B42" s="35" t="s">
        <v>164</v>
      </c>
      <c r="C42" s="72" t="s">
        <v>156</v>
      </c>
      <c r="D42" s="35" t="s">
        <v>187</v>
      </c>
      <c r="E42" s="563">
        <v>120</v>
      </c>
      <c r="F42" s="73"/>
      <c r="G42" s="73" t="str">
        <f t="shared" si="10"/>
        <v>047MVF</v>
      </c>
      <c r="H42" s="419"/>
      <c r="I42" s="599" t="s">
        <v>618</v>
      </c>
      <c r="J42" s="599" t="str">
        <f>J15</f>
        <v>25' steel pole</v>
      </c>
      <c r="K42" s="599" t="s">
        <v>615</v>
      </c>
      <c r="L42" s="582" t="s">
        <v>628</v>
      </c>
      <c r="M42" s="581">
        <f t="shared" si="13"/>
        <v>0</v>
      </c>
      <c r="N42" s="581">
        <f t="shared" si="13"/>
        <v>5</v>
      </c>
      <c r="O42" s="599"/>
      <c r="P42" s="623">
        <f>P15</f>
        <v>30.3</v>
      </c>
      <c r="Q42" s="314">
        <f t="shared" si="7"/>
        <v>30.3</v>
      </c>
      <c r="R42" s="599"/>
      <c r="S42" s="70">
        <f t="shared" si="15"/>
        <v>0</v>
      </c>
      <c r="T42" s="70">
        <f t="shared" si="16"/>
        <v>151.5</v>
      </c>
      <c r="U42" s="70"/>
      <c r="V42" s="581">
        <f t="shared" si="14"/>
        <v>0</v>
      </c>
      <c r="W42" s="581">
        <f t="shared" si="14"/>
        <v>5</v>
      </c>
      <c r="X42" s="599"/>
      <c r="Y42" s="70"/>
      <c r="Z42" s="599"/>
      <c r="AA42" s="581">
        <f t="shared" si="17"/>
        <v>0</v>
      </c>
      <c r="AB42" s="581">
        <f t="shared" si="18"/>
        <v>5</v>
      </c>
      <c r="AC42" s="599"/>
      <c r="AD42" s="586">
        <f>AD15</f>
        <v>30.3</v>
      </c>
      <c r="AE42" s="586">
        <f>AE15</f>
        <v>30.3</v>
      </c>
      <c r="AF42" s="599"/>
      <c r="AG42" s="70">
        <f t="shared" si="19"/>
        <v>0</v>
      </c>
      <c r="AH42" s="70">
        <f t="shared" si="20"/>
        <v>151.5</v>
      </c>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row>
    <row r="43" spans="2:93" ht="12.75">
      <c r="B43" s="35" t="s">
        <v>164</v>
      </c>
      <c r="C43" s="72" t="s">
        <v>156</v>
      </c>
      <c r="D43" s="35" t="s">
        <v>188</v>
      </c>
      <c r="E43" s="712"/>
      <c r="F43" s="73"/>
      <c r="G43" s="73" t="str">
        <f t="shared" si="10"/>
        <v>047MVH</v>
      </c>
      <c r="H43" s="419"/>
      <c r="I43" s="599" t="s">
        <v>618</v>
      </c>
      <c r="J43" s="599" t="str">
        <f>J14</f>
        <v>30' steel pole</v>
      </c>
      <c r="K43" s="599" t="s">
        <v>615</v>
      </c>
      <c r="L43" s="582" t="s">
        <v>629</v>
      </c>
      <c r="M43" s="581">
        <f t="shared" si="13"/>
        <v>12</v>
      </c>
      <c r="N43" s="581">
        <f t="shared" si="13"/>
        <v>4</v>
      </c>
      <c r="O43" s="599"/>
      <c r="P43" s="623">
        <f>P14</f>
        <v>34.98</v>
      </c>
      <c r="Q43" s="314">
        <f t="shared" si="7"/>
        <v>34.98</v>
      </c>
      <c r="R43" s="599"/>
      <c r="S43" s="70">
        <f t="shared" si="15"/>
        <v>419.76</v>
      </c>
      <c r="T43" s="70">
        <f t="shared" si="16"/>
        <v>139.92</v>
      </c>
      <c r="U43" s="70"/>
      <c r="V43" s="581">
        <f t="shared" si="14"/>
        <v>12</v>
      </c>
      <c r="W43" s="581">
        <f t="shared" si="14"/>
        <v>4</v>
      </c>
      <c r="X43" s="599"/>
      <c r="Y43" s="70"/>
      <c r="Z43" s="599"/>
      <c r="AA43" s="581">
        <f t="shared" si="17"/>
        <v>12</v>
      </c>
      <c r="AB43" s="581">
        <f t="shared" si="18"/>
        <v>4</v>
      </c>
      <c r="AC43" s="599"/>
      <c r="AD43" s="586">
        <f>AD14</f>
        <v>34.98</v>
      </c>
      <c r="AE43" s="586">
        <f>AE14</f>
        <v>34.98</v>
      </c>
      <c r="AF43" s="599"/>
      <c r="AG43" s="70">
        <f t="shared" si="19"/>
        <v>419.76</v>
      </c>
      <c r="AH43" s="70">
        <f t="shared" si="20"/>
        <v>139.92</v>
      </c>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row>
    <row r="44" spans="1:93" ht="12.75">
      <c r="A44" s="678"/>
      <c r="B44" s="35" t="s">
        <v>164</v>
      </c>
      <c r="C44" s="72" t="s">
        <v>156</v>
      </c>
      <c r="D44" s="35" t="s">
        <v>189</v>
      </c>
      <c r="E44" s="563">
        <v>1</v>
      </c>
      <c r="F44" s="73"/>
      <c r="G44" s="73" t="str">
        <f t="shared" si="10"/>
        <v>047MVI</v>
      </c>
      <c r="H44" s="419"/>
      <c r="I44" s="599" t="s">
        <v>618</v>
      </c>
      <c r="J44" s="599" t="str">
        <f>J17</f>
        <v>30' steel pole w/2 arms</v>
      </c>
      <c r="K44" s="599" t="s">
        <v>615</v>
      </c>
      <c r="L44" s="582" t="s">
        <v>630</v>
      </c>
      <c r="M44" s="581">
        <f aca="true" t="shared" si="21" ref="M44:N59">SUMIF($G:$G,TEXT(M$3,"000")&amp;TEXT($L44,"000"),$E:$E)</f>
        <v>5</v>
      </c>
      <c r="N44" s="581">
        <f t="shared" si="21"/>
        <v>0</v>
      </c>
      <c r="O44" s="599"/>
      <c r="P44" s="623">
        <f>P17</f>
        <v>59.28</v>
      </c>
      <c r="Q44" s="314">
        <f t="shared" si="7"/>
        <v>59.28</v>
      </c>
      <c r="R44" s="599"/>
      <c r="S44" s="70">
        <f t="shared" si="15"/>
        <v>296.4</v>
      </c>
      <c r="T44" s="70">
        <f t="shared" si="16"/>
        <v>0</v>
      </c>
      <c r="U44" s="70"/>
      <c r="V44" s="581">
        <f aca="true" t="shared" si="22" ref="V44:W59">SUMIF($G:$G,TEXT(V$3,"000")&amp;TEXT($L44,"000"),$E:$E)</f>
        <v>5</v>
      </c>
      <c r="W44" s="581">
        <f t="shared" si="22"/>
        <v>0</v>
      </c>
      <c r="X44" s="599"/>
      <c r="Y44" s="70"/>
      <c r="Z44" s="599"/>
      <c r="AA44" s="581">
        <f t="shared" si="17"/>
        <v>5</v>
      </c>
      <c r="AB44" s="581">
        <f t="shared" si="18"/>
        <v>0</v>
      </c>
      <c r="AC44" s="599"/>
      <c r="AD44" s="586">
        <f>AD17</f>
        <v>59.28</v>
      </c>
      <c r="AE44" s="586">
        <f>AE17</f>
        <v>59.28</v>
      </c>
      <c r="AF44" s="599"/>
      <c r="AG44" s="70">
        <f t="shared" si="19"/>
        <v>296.4</v>
      </c>
      <c r="AH44" s="70">
        <f t="shared" si="20"/>
        <v>0</v>
      </c>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row>
    <row r="45" spans="2:93" ht="12.75">
      <c r="B45" s="35" t="s">
        <v>164</v>
      </c>
      <c r="C45" s="72" t="s">
        <v>156</v>
      </c>
      <c r="D45" s="35" t="s">
        <v>192</v>
      </c>
      <c r="E45" s="563">
        <v>2</v>
      </c>
      <c r="F45" s="73"/>
      <c r="G45" s="73" t="str">
        <f t="shared" si="10"/>
        <v>047MVJ</v>
      </c>
      <c r="H45" s="420"/>
      <c r="I45" s="599" t="s">
        <v>618</v>
      </c>
      <c r="J45" s="599" t="str">
        <f>J4</f>
        <v>Granville w/16' decorative pole</v>
      </c>
      <c r="K45" s="599" t="s">
        <v>132</v>
      </c>
      <c r="L45" s="582" t="s">
        <v>631</v>
      </c>
      <c r="M45" s="581">
        <f t="shared" si="21"/>
        <v>3</v>
      </c>
      <c r="N45" s="581">
        <f t="shared" si="21"/>
        <v>0</v>
      </c>
      <c r="O45" s="599"/>
      <c r="P45" s="592">
        <v>29.98</v>
      </c>
      <c r="Q45" s="314">
        <f t="shared" si="7"/>
        <v>29.98</v>
      </c>
      <c r="R45" s="599"/>
      <c r="S45" s="70">
        <f t="shared" si="15"/>
        <v>89.94</v>
      </c>
      <c r="T45" s="70">
        <f t="shared" si="16"/>
        <v>0</v>
      </c>
      <c r="U45" s="70"/>
      <c r="V45" s="581">
        <f t="shared" si="22"/>
        <v>3</v>
      </c>
      <c r="W45" s="581">
        <f t="shared" si="22"/>
        <v>0</v>
      </c>
      <c r="X45" s="599"/>
      <c r="Y45" s="70"/>
      <c r="Z45" s="599"/>
      <c r="AA45" s="581">
        <f t="shared" si="17"/>
        <v>3</v>
      </c>
      <c r="AB45" s="581">
        <f t="shared" si="18"/>
        <v>0</v>
      </c>
      <c r="AC45" s="599"/>
      <c r="AD45" s="586">
        <f aca="true" t="shared" si="23" ref="AD45:AD46">ROUND(P45*(1+AD$1),2)</f>
        <v>29.98</v>
      </c>
      <c r="AE45" s="83">
        <f aca="true" t="shared" si="24" ref="AE45:AE46">AD45</f>
        <v>29.98</v>
      </c>
      <c r="AF45" s="599"/>
      <c r="AG45" s="70">
        <f t="shared" si="19"/>
        <v>89.94</v>
      </c>
      <c r="AH45" s="70">
        <f t="shared" si="20"/>
        <v>0</v>
      </c>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row>
    <row r="46" spans="1:93" ht="12.75">
      <c r="A46" s="678"/>
      <c r="B46" s="35" t="s">
        <v>164</v>
      </c>
      <c r="C46" s="72" t="s">
        <v>156</v>
      </c>
      <c r="D46" s="35" t="s">
        <v>193</v>
      </c>
      <c r="E46" s="563"/>
      <c r="F46" s="73"/>
      <c r="G46" s="73" t="str">
        <f t="shared" si="10"/>
        <v>047MVK</v>
      </c>
      <c r="H46" s="419"/>
      <c r="I46" s="599" t="s">
        <v>618</v>
      </c>
      <c r="J46" s="599" t="str">
        <f>J7</f>
        <v>Post Top w/16' decorative pole</v>
      </c>
      <c r="K46" s="599" t="s">
        <v>132</v>
      </c>
      <c r="L46" s="582" t="s">
        <v>632</v>
      </c>
      <c r="M46" s="581">
        <f t="shared" si="21"/>
        <v>5</v>
      </c>
      <c r="N46" s="581">
        <f t="shared" si="21"/>
        <v>3</v>
      </c>
      <c r="O46" s="599"/>
      <c r="P46" s="592">
        <v>28.59</v>
      </c>
      <c r="Q46" s="314">
        <f t="shared" si="7"/>
        <v>28.59</v>
      </c>
      <c r="R46" s="599"/>
      <c r="S46" s="70">
        <f t="shared" si="15"/>
        <v>142.95</v>
      </c>
      <c r="T46" s="70">
        <f t="shared" si="16"/>
        <v>85.77</v>
      </c>
      <c r="U46" s="70"/>
      <c r="V46" s="581">
        <f t="shared" si="22"/>
        <v>5</v>
      </c>
      <c r="W46" s="581">
        <f t="shared" si="22"/>
        <v>3</v>
      </c>
      <c r="X46" s="599"/>
      <c r="Y46" s="70"/>
      <c r="Z46" s="599"/>
      <c r="AA46" s="581">
        <f t="shared" si="17"/>
        <v>5</v>
      </c>
      <c r="AB46" s="581">
        <f t="shared" si="18"/>
        <v>3</v>
      </c>
      <c r="AC46" s="599"/>
      <c r="AD46" s="586">
        <f t="shared" si="23"/>
        <v>28.59</v>
      </c>
      <c r="AE46" s="83">
        <f t="shared" si="24"/>
        <v>28.59</v>
      </c>
      <c r="AF46" s="599"/>
      <c r="AG46" s="70">
        <f>IF(AND(AA46&lt;&gt;0,AD46=0),#VALUE!,AA46*AD46)</f>
        <v>142.95</v>
      </c>
      <c r="AH46" s="70">
        <f t="shared" si="20"/>
        <v>85.77</v>
      </c>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row>
    <row r="47" spans="2:93" ht="12.75">
      <c r="B47" s="35" t="s">
        <v>164</v>
      </c>
      <c r="C47" s="72" t="s">
        <v>156</v>
      </c>
      <c r="D47" s="35" t="s">
        <v>194</v>
      </c>
      <c r="E47" s="563">
        <v>2</v>
      </c>
      <c r="F47" s="73"/>
      <c r="G47" s="73" t="str">
        <f t="shared" si="10"/>
        <v>047MVL</v>
      </c>
      <c r="H47" s="419"/>
      <c r="I47" s="685" t="s">
        <v>618</v>
      </c>
      <c r="J47" s="685" t="s">
        <v>817</v>
      </c>
      <c r="K47" s="685" t="s">
        <v>132</v>
      </c>
      <c r="L47" s="321" t="s">
        <v>813</v>
      </c>
      <c r="M47" s="581">
        <f t="shared" si="21"/>
        <v>0</v>
      </c>
      <c r="N47" s="581">
        <f t="shared" si="21"/>
        <v>8</v>
      </c>
      <c r="O47" s="685"/>
      <c r="P47" s="592">
        <v>29.05</v>
      </c>
      <c r="Q47" s="314">
        <f aca="true" t="shared" si="25" ref="Q47:Q54">P47</f>
        <v>29.05</v>
      </c>
      <c r="R47" s="685"/>
      <c r="S47" s="70">
        <f aca="true" t="shared" si="26" ref="S47:T56">IF(AND(M47&lt;&gt;0,P47=0),#VALUE!,M47*P47)</f>
        <v>0</v>
      </c>
      <c r="T47" s="70">
        <f t="shared" si="26"/>
        <v>232.4</v>
      </c>
      <c r="U47" s="70"/>
      <c r="V47" s="581">
        <f t="shared" si="22"/>
        <v>0</v>
      </c>
      <c r="W47" s="581">
        <f t="shared" si="22"/>
        <v>8</v>
      </c>
      <c r="X47" s="685"/>
      <c r="Y47" s="70"/>
      <c r="Z47" s="685"/>
      <c r="AA47" s="581">
        <f aca="true" t="shared" si="27" ref="AA47:AB56">M47</f>
        <v>0</v>
      </c>
      <c r="AB47" s="581">
        <f t="shared" si="27"/>
        <v>8</v>
      </c>
      <c r="AC47" s="685"/>
      <c r="AD47" s="586">
        <f aca="true" t="shared" si="28" ref="AD47">ROUND(P47*(1+AD$1),2)</f>
        <v>29.05</v>
      </c>
      <c r="AE47" s="83">
        <f aca="true" t="shared" si="29" ref="AE47">AD47</f>
        <v>29.05</v>
      </c>
      <c r="AF47" s="685"/>
      <c r="AG47" s="70">
        <f aca="true" t="shared" si="30" ref="AG47:AH56">IF(AND(AA47&lt;&gt;0,AD47=0),#VALUE!,AA47*AD47)</f>
        <v>0</v>
      </c>
      <c r="AH47" s="70">
        <f t="shared" si="30"/>
        <v>232.4</v>
      </c>
      <c r="AI47" s="685"/>
      <c r="AJ47" s="685"/>
      <c r="AK47" s="685"/>
      <c r="AL47" s="685"/>
      <c r="AM47" s="685"/>
      <c r="AN47" s="685"/>
      <c r="AO47" s="685"/>
      <c r="AP47" s="685"/>
      <c r="AQ47" s="685"/>
      <c r="AR47" s="685"/>
      <c r="AS47" s="685"/>
      <c r="AT47" s="685"/>
      <c r="AU47" s="685"/>
      <c r="AV47" s="685"/>
      <c r="AW47" s="685"/>
      <c r="AX47" s="685"/>
      <c r="AY47" s="685"/>
      <c r="AZ47" s="685"/>
      <c r="BA47" s="685"/>
      <c r="BB47" s="685"/>
      <c r="BC47" s="685"/>
      <c r="BD47" s="685"/>
      <c r="BE47" s="685"/>
      <c r="BF47" s="685"/>
      <c r="BG47" s="685"/>
      <c r="BH47" s="685"/>
      <c r="BI47" s="685"/>
      <c r="BJ47" s="685"/>
      <c r="BK47" s="685"/>
      <c r="BL47" s="685"/>
      <c r="BM47" s="685"/>
      <c r="BN47" s="685"/>
      <c r="BO47" s="685"/>
      <c r="BP47" s="685"/>
      <c r="BQ47" s="685"/>
      <c r="BR47" s="685"/>
      <c r="BS47" s="685"/>
      <c r="BT47" s="685"/>
      <c r="BU47" s="685"/>
      <c r="BV47" s="685"/>
      <c r="BW47" s="685"/>
      <c r="BX47" s="685"/>
      <c r="BY47" s="685"/>
      <c r="BZ47" s="685"/>
      <c r="CA47" s="685"/>
      <c r="CB47" s="685"/>
      <c r="CC47" s="685"/>
      <c r="CD47" s="685"/>
      <c r="CE47" s="685"/>
      <c r="CF47" s="685"/>
      <c r="CG47" s="685"/>
      <c r="CH47" s="685"/>
      <c r="CI47" s="685"/>
      <c r="CJ47" s="685"/>
      <c r="CK47" s="685"/>
      <c r="CN47" s="599"/>
      <c r="CO47" s="599"/>
    </row>
    <row r="48" spans="2:93" ht="12.75">
      <c r="B48" s="35" t="s">
        <v>164</v>
      </c>
      <c r="C48" s="72" t="s">
        <v>156</v>
      </c>
      <c r="D48" s="35" t="s">
        <v>196</v>
      </c>
      <c r="E48" s="558"/>
      <c r="F48" s="73"/>
      <c r="G48" s="73" t="str">
        <f t="shared" si="10"/>
        <v>047MVO</v>
      </c>
      <c r="H48" s="419"/>
      <c r="I48" s="685" t="s">
        <v>618</v>
      </c>
      <c r="J48" s="685" t="s">
        <v>160</v>
      </c>
      <c r="K48" s="685" t="s">
        <v>818</v>
      </c>
      <c r="L48" s="321" t="s">
        <v>814</v>
      </c>
      <c r="M48" s="581">
        <f t="shared" si="21"/>
        <v>60</v>
      </c>
      <c r="N48" s="581">
        <f t="shared" si="21"/>
        <v>12</v>
      </c>
      <c r="O48" s="685"/>
      <c r="P48" s="592">
        <v>15.67</v>
      </c>
      <c r="Q48" s="314">
        <f t="shared" si="25"/>
        <v>15.67</v>
      </c>
      <c r="R48" s="685"/>
      <c r="S48" s="70">
        <f t="shared" si="26"/>
        <v>940.2</v>
      </c>
      <c r="T48" s="70">
        <f t="shared" si="26"/>
        <v>188.04</v>
      </c>
      <c r="U48" s="70"/>
      <c r="V48" s="581">
        <f t="shared" si="22"/>
        <v>60</v>
      </c>
      <c r="W48" s="581">
        <f t="shared" si="22"/>
        <v>12</v>
      </c>
      <c r="X48" s="685"/>
      <c r="Y48" s="70"/>
      <c r="Z48" s="685"/>
      <c r="AA48" s="581">
        <f t="shared" si="27"/>
        <v>60</v>
      </c>
      <c r="AB48" s="581">
        <f t="shared" si="27"/>
        <v>12</v>
      </c>
      <c r="AC48" s="685"/>
      <c r="AD48" s="586">
        <f aca="true" t="shared" si="31" ref="AD48:AD54">ROUND(P48*(1+AD$1),2)</f>
        <v>15.67</v>
      </c>
      <c r="AE48" s="83">
        <f aca="true" t="shared" si="32" ref="AE48:AE54">AD48</f>
        <v>15.67</v>
      </c>
      <c r="AF48" s="685"/>
      <c r="AG48" s="70">
        <f>IF(AND(AA48&lt;&gt;0,AD48=0),#VALUE!,AA48*AD48)</f>
        <v>940.2</v>
      </c>
      <c r="AH48" s="70">
        <f t="shared" si="30"/>
        <v>188.04</v>
      </c>
      <c r="AI48" s="685"/>
      <c r="AJ48" s="685"/>
      <c r="AK48" s="685"/>
      <c r="AL48" s="685"/>
      <c r="AM48" s="685"/>
      <c r="AN48" s="685"/>
      <c r="AO48" s="685"/>
      <c r="AP48" s="685"/>
      <c r="AQ48" s="685"/>
      <c r="AR48" s="685"/>
      <c r="AS48" s="685"/>
      <c r="AT48" s="685"/>
      <c r="AU48" s="685"/>
      <c r="AV48" s="685"/>
      <c r="AW48" s="685"/>
      <c r="AX48" s="685"/>
      <c r="AY48" s="685"/>
      <c r="AZ48" s="685"/>
      <c r="BA48" s="685"/>
      <c r="BB48" s="685"/>
      <c r="BC48" s="685"/>
      <c r="BD48" s="685"/>
      <c r="BE48" s="685"/>
      <c r="BF48" s="685"/>
      <c r="BG48" s="685"/>
      <c r="BH48" s="685"/>
      <c r="BI48" s="685"/>
      <c r="BJ48" s="685"/>
      <c r="BK48" s="685"/>
      <c r="BL48" s="685"/>
      <c r="BM48" s="685"/>
      <c r="BN48" s="685"/>
      <c r="BO48" s="685"/>
      <c r="BP48" s="685"/>
      <c r="BQ48" s="685"/>
      <c r="BR48" s="685"/>
      <c r="BS48" s="685"/>
      <c r="BT48" s="685"/>
      <c r="BU48" s="685"/>
      <c r="BV48" s="685"/>
      <c r="BW48" s="685"/>
      <c r="BX48" s="685"/>
      <c r="BY48" s="685"/>
      <c r="BZ48" s="685"/>
      <c r="CA48" s="685"/>
      <c r="CB48" s="685"/>
      <c r="CC48" s="685"/>
      <c r="CD48" s="685"/>
      <c r="CE48" s="685"/>
      <c r="CF48" s="685"/>
      <c r="CG48" s="685"/>
      <c r="CH48" s="685"/>
      <c r="CI48" s="685"/>
      <c r="CJ48" s="685"/>
      <c r="CK48" s="685"/>
      <c r="CN48" s="599"/>
      <c r="CO48" s="599"/>
    </row>
    <row r="49" spans="1:89" ht="12.75">
      <c r="A49" s="678"/>
      <c r="B49" s="35" t="s">
        <v>164</v>
      </c>
      <c r="C49" s="72" t="s">
        <v>156</v>
      </c>
      <c r="D49" s="35" t="s">
        <v>197</v>
      </c>
      <c r="E49" s="563">
        <v>53</v>
      </c>
      <c r="F49" s="75"/>
      <c r="G49" s="73" t="str">
        <f t="shared" si="10"/>
        <v>047PA</v>
      </c>
      <c r="H49" s="419"/>
      <c r="I49" s="685" t="s">
        <v>618</v>
      </c>
      <c r="J49" s="685" t="s">
        <v>819</v>
      </c>
      <c r="K49" s="685" t="s">
        <v>818</v>
      </c>
      <c r="L49" s="321" t="s">
        <v>815</v>
      </c>
      <c r="M49" s="581">
        <f t="shared" si="21"/>
        <v>16</v>
      </c>
      <c r="N49" s="581">
        <f t="shared" si="21"/>
        <v>2</v>
      </c>
      <c r="O49" s="685"/>
      <c r="P49" s="592">
        <v>22.21</v>
      </c>
      <c r="Q49" s="314">
        <f t="shared" si="25"/>
        <v>22.21</v>
      </c>
      <c r="R49" s="685"/>
      <c r="S49" s="70">
        <f t="shared" si="26"/>
        <v>355.36</v>
      </c>
      <c r="T49" s="70">
        <f t="shared" si="26"/>
        <v>44.42</v>
      </c>
      <c r="U49" s="70"/>
      <c r="V49" s="581">
        <f t="shared" si="22"/>
        <v>16</v>
      </c>
      <c r="W49" s="581">
        <f t="shared" si="22"/>
        <v>2</v>
      </c>
      <c r="X49" s="685"/>
      <c r="Y49" s="70"/>
      <c r="Z49" s="685"/>
      <c r="AA49" s="581">
        <f>M49</f>
        <v>16</v>
      </c>
      <c r="AB49" s="581">
        <f t="shared" si="27"/>
        <v>2</v>
      </c>
      <c r="AC49" s="685"/>
      <c r="AD49" s="586">
        <f t="shared" si="31"/>
        <v>22.21</v>
      </c>
      <c r="AE49" s="83">
        <f t="shared" si="32"/>
        <v>22.21</v>
      </c>
      <c r="AF49" s="685"/>
      <c r="AG49" s="70">
        <f t="shared" si="30"/>
        <v>355.36</v>
      </c>
      <c r="AH49" s="70">
        <f t="shared" si="30"/>
        <v>44.42</v>
      </c>
      <c r="AI49" s="685"/>
      <c r="AJ49" s="685"/>
      <c r="AK49" s="685"/>
      <c r="AL49" s="685"/>
      <c r="AM49" s="685"/>
      <c r="AN49" s="685"/>
      <c r="AO49" s="685"/>
      <c r="AP49" s="685"/>
      <c r="AQ49" s="685"/>
      <c r="AR49" s="685"/>
      <c r="AS49" s="685"/>
      <c r="AT49" s="685"/>
      <c r="AU49" s="685"/>
      <c r="AV49" s="685"/>
      <c r="AW49" s="685"/>
      <c r="AX49" s="685"/>
      <c r="AY49" s="685"/>
      <c r="AZ49" s="685"/>
      <c r="BA49" s="685"/>
      <c r="BB49" s="685"/>
      <c r="BC49" s="685"/>
      <c r="BD49" s="685"/>
      <c r="BE49" s="685"/>
      <c r="BF49" s="685"/>
      <c r="BG49" s="685"/>
      <c r="BH49" s="685"/>
      <c r="BI49" s="685"/>
      <c r="BJ49" s="685"/>
      <c r="BK49" s="685"/>
      <c r="BL49" s="685"/>
      <c r="BM49" s="685"/>
      <c r="BN49" s="685"/>
      <c r="BO49" s="685"/>
      <c r="BP49" s="685"/>
      <c r="BQ49" s="685"/>
      <c r="BR49" s="685"/>
      <c r="BS49" s="685"/>
      <c r="BT49" s="685"/>
      <c r="BU49" s="685"/>
      <c r="BV49" s="685"/>
      <c r="BW49" s="685"/>
      <c r="BX49" s="685"/>
      <c r="BY49" s="685"/>
      <c r="BZ49" s="685"/>
      <c r="CA49" s="685"/>
      <c r="CB49" s="685"/>
      <c r="CC49" s="685"/>
      <c r="CD49" s="685"/>
      <c r="CE49" s="685"/>
      <c r="CF49" s="685"/>
      <c r="CG49" s="685"/>
      <c r="CH49" s="685"/>
      <c r="CI49" s="685"/>
      <c r="CJ49" s="685"/>
      <c r="CK49" s="685"/>
    </row>
    <row r="50" spans="5:89" ht="12.75">
      <c r="E50" s="74">
        <f>SUM(E7:E49)</f>
        <v>5432</v>
      </c>
      <c r="F50" s="73"/>
      <c r="G50" s="73" t="str">
        <f>IF(OR(ISBLANK(C51),ISBLANK(D51)),"",TEXT(C51,"000")&amp;TEXT(D51,"000"))</f>
        <v/>
      </c>
      <c r="H50" s="419"/>
      <c r="I50" s="694" t="s">
        <v>618</v>
      </c>
      <c r="J50" s="694" t="s">
        <v>856</v>
      </c>
      <c r="K50" s="694" t="s">
        <v>132</v>
      </c>
      <c r="L50" s="321" t="s">
        <v>853</v>
      </c>
      <c r="M50" s="581">
        <f t="shared" si="21"/>
        <v>1</v>
      </c>
      <c r="N50" s="581">
        <f t="shared" si="21"/>
        <v>0</v>
      </c>
      <c r="O50" s="694"/>
      <c r="P50" s="592">
        <v>29.74</v>
      </c>
      <c r="Q50" s="314">
        <f t="shared" si="25"/>
        <v>29.74</v>
      </c>
      <c r="R50" s="694"/>
      <c r="S50" s="70">
        <f t="shared" si="26"/>
        <v>29.74</v>
      </c>
      <c r="T50" s="70">
        <f t="shared" si="26"/>
        <v>0</v>
      </c>
      <c r="U50" s="70"/>
      <c r="V50" s="581">
        <f t="shared" si="22"/>
        <v>1</v>
      </c>
      <c r="W50" s="581">
        <f t="shared" si="22"/>
        <v>0</v>
      </c>
      <c r="X50" s="694"/>
      <c r="Y50" s="70"/>
      <c r="Z50" s="694"/>
      <c r="AA50" s="581">
        <f aca="true" t="shared" si="33" ref="AA50:AA53">M50</f>
        <v>1</v>
      </c>
      <c r="AB50" s="581">
        <f aca="true" t="shared" si="34" ref="AB50:AB53">N50</f>
        <v>0</v>
      </c>
      <c r="AC50" s="694"/>
      <c r="AD50" s="586">
        <f aca="true" t="shared" si="35" ref="AD50:AD53">ROUND(P50*(1+AD$1),2)</f>
        <v>29.74</v>
      </c>
      <c r="AE50" s="83">
        <f aca="true" t="shared" si="36" ref="AE50:AE53">AD50</f>
        <v>29.74</v>
      </c>
      <c r="AF50" s="694"/>
      <c r="AG50" s="70">
        <f aca="true" t="shared" si="37" ref="AG50:AG53">IF(AND(AA50&lt;&gt;0,AD50=0),#VALUE!,AA50*AD50)</f>
        <v>29.74</v>
      </c>
      <c r="AH50" s="70">
        <f aca="true" t="shared" si="38" ref="AH50:AH53">IF(AND(AB50&lt;&gt;0,AE50=0),#VALUE!,AB50*AE50)</f>
        <v>0</v>
      </c>
      <c r="AI50" s="694"/>
      <c r="AJ50" s="694"/>
      <c r="AK50" s="694"/>
      <c r="AL50" s="694"/>
      <c r="AM50" s="694"/>
      <c r="AN50" s="694"/>
      <c r="AO50" s="694"/>
      <c r="AP50" s="694"/>
      <c r="AQ50" s="694"/>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c r="BS50" s="694"/>
      <c r="BT50" s="694"/>
      <c r="BU50" s="694"/>
      <c r="BV50" s="694"/>
      <c r="BW50" s="694"/>
      <c r="BX50" s="694"/>
      <c r="BY50" s="694"/>
      <c r="BZ50" s="694"/>
      <c r="CA50" s="694"/>
      <c r="CB50" s="694"/>
      <c r="CC50" s="694"/>
      <c r="CD50" s="694"/>
      <c r="CE50" s="694"/>
      <c r="CF50" s="694"/>
      <c r="CG50" s="694"/>
      <c r="CH50" s="694"/>
      <c r="CI50" s="694"/>
      <c r="CJ50" s="694"/>
      <c r="CK50" s="694"/>
    </row>
    <row r="51" spans="1:89" ht="12.75">
      <c r="A51" s="678"/>
      <c r="E51" s="73"/>
      <c r="F51" s="73"/>
      <c r="G51" s="73"/>
      <c r="H51" s="419"/>
      <c r="I51" s="694" t="s">
        <v>618</v>
      </c>
      <c r="J51" s="694" t="s">
        <v>857</v>
      </c>
      <c r="K51" s="694" t="s">
        <v>132</v>
      </c>
      <c r="L51" s="321" t="s">
        <v>854</v>
      </c>
      <c r="M51" s="581">
        <f t="shared" si="21"/>
        <v>2</v>
      </c>
      <c r="N51" s="581">
        <f t="shared" si="21"/>
        <v>3</v>
      </c>
      <c r="O51" s="694"/>
      <c r="P51" s="592">
        <v>27.03</v>
      </c>
      <c r="Q51" s="314">
        <f t="shared" si="25"/>
        <v>27.03</v>
      </c>
      <c r="R51" s="694"/>
      <c r="S51" s="70">
        <f aca="true" t="shared" si="39" ref="S51:S53">IF(AND(M51&lt;&gt;0,P51=0),#VALUE!,M51*P51)</f>
        <v>54.06</v>
      </c>
      <c r="T51" s="70">
        <f aca="true" t="shared" si="40" ref="T51:T53">IF(AND(N51&lt;&gt;0,Q51=0),#VALUE!,N51*Q51)</f>
        <v>81.09</v>
      </c>
      <c r="U51" s="70"/>
      <c r="V51" s="581">
        <f t="shared" si="22"/>
        <v>2</v>
      </c>
      <c r="W51" s="581">
        <f t="shared" si="22"/>
        <v>3</v>
      </c>
      <c r="X51" s="694"/>
      <c r="Y51" s="70"/>
      <c r="Z51" s="694"/>
      <c r="AA51" s="581">
        <f t="shared" si="33"/>
        <v>2</v>
      </c>
      <c r="AB51" s="581">
        <f t="shared" si="34"/>
        <v>3</v>
      </c>
      <c r="AC51" s="694"/>
      <c r="AD51" s="586">
        <f t="shared" si="35"/>
        <v>27.03</v>
      </c>
      <c r="AE51" s="83">
        <f t="shared" si="36"/>
        <v>27.03</v>
      </c>
      <c r="AF51" s="694"/>
      <c r="AG51" s="70">
        <f t="shared" si="37"/>
        <v>54.06</v>
      </c>
      <c r="AH51" s="70">
        <f t="shared" si="38"/>
        <v>81.09</v>
      </c>
      <c r="AI51" s="694"/>
      <c r="AJ51" s="694"/>
      <c r="AK51" s="694"/>
      <c r="AL51" s="694"/>
      <c r="AM51" s="694"/>
      <c r="AN51" s="694"/>
      <c r="AO51" s="694"/>
      <c r="AP51" s="694"/>
      <c r="AQ51" s="694"/>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c r="BS51" s="694"/>
      <c r="BT51" s="694"/>
      <c r="BU51" s="694"/>
      <c r="BV51" s="694"/>
      <c r="BW51" s="694"/>
      <c r="BX51" s="694"/>
      <c r="BY51" s="694"/>
      <c r="BZ51" s="694"/>
      <c r="CA51" s="694"/>
      <c r="CB51" s="694"/>
      <c r="CC51" s="694"/>
      <c r="CD51" s="694"/>
      <c r="CE51" s="694"/>
      <c r="CF51" s="694"/>
      <c r="CG51" s="694"/>
      <c r="CH51" s="694"/>
      <c r="CI51" s="694"/>
      <c r="CJ51" s="694"/>
      <c r="CK51" s="694"/>
    </row>
    <row r="52" spans="2:89" ht="12.75">
      <c r="B52" s="35" t="s">
        <v>164</v>
      </c>
      <c r="C52" s="72" t="s">
        <v>157</v>
      </c>
      <c r="D52" s="35" t="s">
        <v>161</v>
      </c>
      <c r="E52" s="564">
        <v>3</v>
      </c>
      <c r="F52" s="73"/>
      <c r="G52" s="73" t="str">
        <f>IF(OR(ISBLANK(C52),ISBLANK(D52)),"",TEXT(C52,"000")&amp;TEXT(D52,"000"))</f>
        <v>048HAH</v>
      </c>
      <c r="H52" s="419"/>
      <c r="I52" s="770" t="s">
        <v>618</v>
      </c>
      <c r="J52" s="435" t="s">
        <v>984</v>
      </c>
      <c r="K52" s="435" t="s">
        <v>640</v>
      </c>
      <c r="L52" s="321" t="s">
        <v>981</v>
      </c>
      <c r="M52" s="581">
        <f t="shared" si="21"/>
        <v>19</v>
      </c>
      <c r="N52" s="581">
        <f t="shared" si="21"/>
        <v>0</v>
      </c>
      <c r="O52" s="770"/>
      <c r="P52" s="592">
        <v>18.56</v>
      </c>
      <c r="Q52" s="314">
        <f aca="true" t="shared" si="41" ref="Q52">P52</f>
        <v>18.56</v>
      </c>
      <c r="R52" s="770"/>
      <c r="S52" s="70">
        <f aca="true" t="shared" si="42" ref="S52">IF(AND(M52&lt;&gt;0,P52=0),#VALUE!,M52*P52)</f>
        <v>352.64</v>
      </c>
      <c r="T52" s="70">
        <f aca="true" t="shared" si="43" ref="T52">IF(AND(N52&lt;&gt;0,Q52=0),#VALUE!,N52*Q52)</f>
        <v>0</v>
      </c>
      <c r="U52" s="70"/>
      <c r="V52" s="581">
        <f t="shared" si="22"/>
        <v>19</v>
      </c>
      <c r="W52" s="581">
        <f t="shared" si="22"/>
        <v>0</v>
      </c>
      <c r="X52" s="770"/>
      <c r="Y52" s="70"/>
      <c r="Z52" s="770"/>
      <c r="AA52" s="581">
        <f aca="true" t="shared" si="44" ref="AA52">M52</f>
        <v>19</v>
      </c>
      <c r="AB52" s="581">
        <f aca="true" t="shared" si="45" ref="AB52">N52</f>
        <v>0</v>
      </c>
      <c r="AC52" s="770"/>
      <c r="AD52" s="586">
        <f aca="true" t="shared" si="46" ref="AD52">ROUND(P52*(1+AD$1),2)</f>
        <v>18.56</v>
      </c>
      <c r="AE52" s="83">
        <f aca="true" t="shared" si="47" ref="AE52">AD52</f>
        <v>18.56</v>
      </c>
      <c r="AF52" s="770"/>
      <c r="AG52" s="70">
        <f aca="true" t="shared" si="48" ref="AG52">IF(AND(AA52&lt;&gt;0,AD52=0),#VALUE!,AA52*AD52)</f>
        <v>352.64</v>
      </c>
      <c r="AH52" s="70">
        <f aca="true" t="shared" si="49" ref="AH52">IF(AND(AB52&lt;&gt;0,AE52=0),#VALUE!,AB52*AE52)</f>
        <v>0</v>
      </c>
      <c r="AI52" s="770"/>
      <c r="AJ52" s="770"/>
      <c r="AK52" s="770"/>
      <c r="AL52" s="770"/>
      <c r="AM52" s="770"/>
      <c r="AN52" s="770"/>
      <c r="AO52" s="770"/>
      <c r="AP52" s="770"/>
      <c r="AQ52" s="770"/>
      <c r="AR52" s="770"/>
      <c r="AS52" s="770"/>
      <c r="AT52" s="770"/>
      <c r="AU52" s="770"/>
      <c r="AV52" s="770"/>
      <c r="AW52" s="770"/>
      <c r="AX52" s="770"/>
      <c r="AY52" s="770"/>
      <c r="AZ52" s="770"/>
      <c r="BA52" s="770"/>
      <c r="BB52" s="770"/>
      <c r="BC52" s="770"/>
      <c r="BD52" s="770"/>
      <c r="BE52" s="770"/>
      <c r="BF52" s="770"/>
      <c r="BG52" s="770"/>
      <c r="BH52" s="694"/>
      <c r="BI52" s="694"/>
      <c r="BJ52" s="694"/>
      <c r="BK52" s="694"/>
      <c r="BL52" s="694"/>
      <c r="BM52" s="694"/>
      <c r="BN52" s="694"/>
      <c r="BO52" s="694"/>
      <c r="BP52" s="694"/>
      <c r="BQ52" s="694"/>
      <c r="BR52" s="694"/>
      <c r="BS52" s="694"/>
      <c r="BT52" s="694"/>
      <c r="BU52" s="694"/>
      <c r="BV52" s="694"/>
      <c r="BW52" s="694"/>
      <c r="BX52" s="694"/>
      <c r="BY52" s="694"/>
      <c r="BZ52" s="694"/>
      <c r="CA52" s="694"/>
      <c r="CB52" s="694"/>
      <c r="CC52" s="694"/>
      <c r="CD52" s="694"/>
      <c r="CE52" s="694"/>
      <c r="CF52" s="694"/>
      <c r="CG52" s="694"/>
      <c r="CH52" s="694"/>
      <c r="CI52" s="694"/>
      <c r="CJ52" s="694"/>
      <c r="CK52" s="694"/>
    </row>
    <row r="53" spans="1:89" ht="12.75">
      <c r="A53" s="678"/>
      <c r="B53" s="35" t="s">
        <v>164</v>
      </c>
      <c r="C53" s="72" t="s">
        <v>157</v>
      </c>
      <c r="D53" s="35" t="s">
        <v>163</v>
      </c>
      <c r="E53" s="564">
        <v>2</v>
      </c>
      <c r="F53" s="73"/>
      <c r="G53" s="73" t="str">
        <f aca="true" t="shared" si="50" ref="G53:G93">IF(OR(ISBLANK(C53),ISBLANK(D53)),"",TEXT(C53,"000")&amp;TEXT(D53,"000"))</f>
        <v>048HAI</v>
      </c>
      <c r="H53" s="419"/>
      <c r="I53" s="694" t="s">
        <v>618</v>
      </c>
      <c r="J53" s="694" t="s">
        <v>858</v>
      </c>
      <c r="K53" s="694" t="s">
        <v>615</v>
      </c>
      <c r="L53" s="321" t="s">
        <v>855</v>
      </c>
      <c r="M53" s="581">
        <f t="shared" si="21"/>
        <v>0</v>
      </c>
      <c r="N53" s="581">
        <f t="shared" si="21"/>
        <v>0</v>
      </c>
      <c r="O53" s="694"/>
      <c r="P53" s="592">
        <v>29.78</v>
      </c>
      <c r="Q53" s="314">
        <f t="shared" si="25"/>
        <v>29.78</v>
      </c>
      <c r="R53" s="694"/>
      <c r="S53" s="70">
        <f t="shared" si="39"/>
        <v>0</v>
      </c>
      <c r="T53" s="70">
        <f t="shared" si="40"/>
        <v>0</v>
      </c>
      <c r="U53" s="70"/>
      <c r="V53" s="581">
        <f t="shared" si="22"/>
        <v>0</v>
      </c>
      <c r="W53" s="581">
        <f t="shared" si="22"/>
        <v>0</v>
      </c>
      <c r="X53" s="694"/>
      <c r="Y53" s="70"/>
      <c r="Z53" s="694"/>
      <c r="AA53" s="581">
        <f t="shared" si="33"/>
        <v>0</v>
      </c>
      <c r="AB53" s="581">
        <f t="shared" si="34"/>
        <v>0</v>
      </c>
      <c r="AC53" s="694"/>
      <c r="AD53" s="586">
        <f t="shared" si="35"/>
        <v>29.78</v>
      </c>
      <c r="AE53" s="83">
        <f t="shared" si="36"/>
        <v>29.78</v>
      </c>
      <c r="AF53" s="694"/>
      <c r="AG53" s="70">
        <f t="shared" si="37"/>
        <v>0</v>
      </c>
      <c r="AH53" s="70">
        <f t="shared" si="38"/>
        <v>0</v>
      </c>
      <c r="AI53" s="694"/>
      <c r="AJ53" s="694"/>
      <c r="AK53" s="694"/>
      <c r="AL53" s="694"/>
      <c r="AM53" s="694"/>
      <c r="AN53" s="694"/>
      <c r="AO53" s="694"/>
      <c r="AP53" s="694"/>
      <c r="AQ53" s="694"/>
      <c r="AR53" s="694"/>
      <c r="AS53" s="694"/>
      <c r="AT53" s="694"/>
      <c r="AU53" s="694"/>
      <c r="AV53" s="694"/>
      <c r="AW53" s="694"/>
      <c r="AX53" s="694"/>
      <c r="AY53" s="694"/>
      <c r="AZ53" s="694"/>
      <c r="BA53" s="694"/>
      <c r="BB53" s="694"/>
      <c r="BC53" s="694"/>
      <c r="BD53" s="694"/>
      <c r="BE53" s="694"/>
      <c r="BF53" s="694"/>
      <c r="BG53" s="694"/>
      <c r="BH53" s="685"/>
      <c r="BI53" s="685"/>
      <c r="BJ53" s="685"/>
      <c r="BK53" s="685"/>
      <c r="BL53" s="685"/>
      <c r="BM53" s="685"/>
      <c r="BN53" s="685"/>
      <c r="BO53" s="685"/>
      <c r="BP53" s="685"/>
      <c r="BQ53" s="685"/>
      <c r="BR53" s="685"/>
      <c r="BS53" s="685"/>
      <c r="BT53" s="685"/>
      <c r="BU53" s="685"/>
      <c r="BV53" s="685"/>
      <c r="BW53" s="685"/>
      <c r="BX53" s="685"/>
      <c r="BY53" s="685"/>
      <c r="BZ53" s="685"/>
      <c r="CA53" s="685"/>
      <c r="CB53" s="685"/>
      <c r="CC53" s="685"/>
      <c r="CD53" s="685"/>
      <c r="CE53" s="685"/>
      <c r="CF53" s="685"/>
      <c r="CG53" s="685"/>
      <c r="CH53" s="685"/>
      <c r="CI53" s="685"/>
      <c r="CJ53" s="685"/>
      <c r="CK53" s="685"/>
    </row>
    <row r="54" spans="2:68" ht="12.75">
      <c r="B54" s="541" t="s">
        <v>164</v>
      </c>
      <c r="C54" s="72" t="s">
        <v>157</v>
      </c>
      <c r="D54" s="541" t="s">
        <v>166</v>
      </c>
      <c r="E54" s="558"/>
      <c r="F54" s="73"/>
      <c r="G54" s="73" t="str">
        <f t="shared" si="50"/>
        <v>048HAP</v>
      </c>
      <c r="H54" s="419"/>
      <c r="I54" s="685" t="s">
        <v>618</v>
      </c>
      <c r="J54" s="685" t="s">
        <v>820</v>
      </c>
      <c r="K54" s="685" t="s">
        <v>132</v>
      </c>
      <c r="L54" s="321" t="s">
        <v>816</v>
      </c>
      <c r="M54" s="581">
        <f t="shared" si="21"/>
        <v>1</v>
      </c>
      <c r="N54" s="581">
        <f t="shared" si="21"/>
        <v>0</v>
      </c>
      <c r="O54" s="685"/>
      <c r="P54" s="592">
        <v>29.05</v>
      </c>
      <c r="Q54" s="314">
        <f t="shared" si="25"/>
        <v>29.05</v>
      </c>
      <c r="R54" s="685"/>
      <c r="S54" s="70">
        <f t="shared" si="26"/>
        <v>29.05</v>
      </c>
      <c r="T54" s="70">
        <f t="shared" si="26"/>
        <v>0</v>
      </c>
      <c r="U54" s="70"/>
      <c r="V54" s="581">
        <f t="shared" si="22"/>
        <v>1</v>
      </c>
      <c r="W54" s="581">
        <f t="shared" si="22"/>
        <v>0</v>
      </c>
      <c r="X54" s="685"/>
      <c r="Y54" s="70"/>
      <c r="Z54" s="685"/>
      <c r="AA54" s="581">
        <f t="shared" si="27"/>
        <v>1</v>
      </c>
      <c r="AB54" s="581">
        <f t="shared" si="27"/>
        <v>0</v>
      </c>
      <c r="AC54" s="685"/>
      <c r="AD54" s="586">
        <f t="shared" si="31"/>
        <v>29.05</v>
      </c>
      <c r="AE54" s="83">
        <f t="shared" si="32"/>
        <v>29.05</v>
      </c>
      <c r="AF54" s="685"/>
      <c r="AG54" s="70">
        <f>IF(AND(AA54&lt;&gt;0,AD54=0),#VALUE!,AA54*AD54)</f>
        <v>29.05</v>
      </c>
      <c r="AH54" s="70">
        <f t="shared" si="30"/>
        <v>0</v>
      </c>
      <c r="AI54" s="685"/>
      <c r="AJ54" s="685"/>
      <c r="AK54" s="685"/>
      <c r="AL54" s="685"/>
      <c r="AM54" s="685"/>
      <c r="AN54" s="685"/>
      <c r="AO54" s="685"/>
      <c r="AP54" s="685"/>
      <c r="AQ54" s="685"/>
      <c r="AR54" s="685"/>
      <c r="AS54" s="685"/>
      <c r="AT54" s="685"/>
      <c r="AU54" s="685"/>
      <c r="AV54" s="685"/>
      <c r="AW54" s="685"/>
      <c r="AX54" s="685"/>
      <c r="AY54" s="685"/>
      <c r="AZ54" s="685"/>
      <c r="BA54" s="685"/>
      <c r="BB54" s="685"/>
      <c r="BC54" s="685"/>
      <c r="BD54" s="685"/>
      <c r="BE54" s="685"/>
      <c r="BF54" s="685"/>
      <c r="BG54" s="685"/>
      <c r="BH54" s="770"/>
      <c r="BI54" s="770"/>
      <c r="BJ54" s="770"/>
      <c r="BK54" s="770"/>
      <c r="BL54" s="770"/>
      <c r="BM54" s="770"/>
      <c r="BN54" s="770"/>
      <c r="BO54" s="770"/>
      <c r="BP54" s="770"/>
    </row>
    <row r="55" spans="2:59" ht="12.75">
      <c r="B55" s="35" t="s">
        <v>164</v>
      </c>
      <c r="C55" s="72" t="s">
        <v>157</v>
      </c>
      <c r="D55" s="35" t="s">
        <v>167</v>
      </c>
      <c r="E55" s="564">
        <v>491</v>
      </c>
      <c r="F55" s="73"/>
      <c r="G55" s="73" t="str">
        <f t="shared" si="50"/>
        <v>048HPA</v>
      </c>
      <c r="H55" s="419"/>
      <c r="I55" s="770" t="s">
        <v>618</v>
      </c>
      <c r="J55" s="435" t="s">
        <v>983</v>
      </c>
      <c r="K55" s="435" t="s">
        <v>615</v>
      </c>
      <c r="L55" s="321" t="s">
        <v>982</v>
      </c>
      <c r="M55" s="581">
        <f t="shared" si="21"/>
        <v>46</v>
      </c>
      <c r="N55" s="581">
        <f t="shared" si="21"/>
        <v>0</v>
      </c>
      <c r="O55" s="770"/>
      <c r="P55" s="592">
        <v>27.86</v>
      </c>
      <c r="Q55" s="314">
        <f aca="true" t="shared" si="51" ref="Q55">P55</f>
        <v>27.86</v>
      </c>
      <c r="R55" s="770"/>
      <c r="S55" s="70">
        <f aca="true" t="shared" si="52" ref="S55">IF(AND(M55&lt;&gt;0,P55=0),#VALUE!,M55*P55)</f>
        <v>1281.56</v>
      </c>
      <c r="T55" s="70">
        <f aca="true" t="shared" si="53" ref="T55">IF(AND(N55&lt;&gt;0,Q55=0),#VALUE!,N55*Q55)</f>
        <v>0</v>
      </c>
      <c r="U55" s="70"/>
      <c r="V55" s="581">
        <f t="shared" si="22"/>
        <v>46</v>
      </c>
      <c r="W55" s="581">
        <f t="shared" si="22"/>
        <v>0</v>
      </c>
      <c r="X55" s="770"/>
      <c r="Y55" s="70"/>
      <c r="Z55" s="770"/>
      <c r="AA55" s="581">
        <f aca="true" t="shared" si="54" ref="AA55">M55</f>
        <v>46</v>
      </c>
      <c r="AB55" s="581">
        <f aca="true" t="shared" si="55" ref="AB55">N55</f>
        <v>0</v>
      </c>
      <c r="AC55" s="770"/>
      <c r="AD55" s="586">
        <f aca="true" t="shared" si="56" ref="AD55">ROUND(P55*(1+AD$1),2)</f>
        <v>27.86</v>
      </c>
      <c r="AE55" s="83">
        <f aca="true" t="shared" si="57" ref="AE55">AD55</f>
        <v>27.86</v>
      </c>
      <c r="AF55" s="770"/>
      <c r="AG55" s="70">
        <f>IF(AND(AA55&lt;&gt;0,AD55=0),#VALUE!,AA55*AD55)</f>
        <v>1281.56</v>
      </c>
      <c r="AH55" s="70">
        <f aca="true" t="shared" si="58" ref="AH55">IF(AND(AB55&lt;&gt;0,AE55=0),#VALUE!,AB55*AE55)</f>
        <v>0</v>
      </c>
      <c r="AI55" s="770"/>
      <c r="AJ55" s="770"/>
      <c r="AK55" s="770"/>
      <c r="AL55" s="770"/>
      <c r="AM55" s="770"/>
      <c r="AN55" s="770"/>
      <c r="AO55" s="770"/>
      <c r="AP55" s="770"/>
      <c r="AQ55" s="770"/>
      <c r="AR55" s="770"/>
      <c r="AS55" s="770"/>
      <c r="AT55" s="770"/>
      <c r="AU55" s="770"/>
      <c r="AV55" s="770"/>
      <c r="AW55" s="770"/>
      <c r="AX55" s="770"/>
      <c r="AY55" s="770"/>
      <c r="AZ55" s="770"/>
      <c r="BA55" s="770"/>
      <c r="BB55" s="770"/>
      <c r="BC55" s="770"/>
      <c r="BD55" s="770"/>
      <c r="BE55" s="770"/>
      <c r="BF55" s="770"/>
      <c r="BG55" s="770"/>
    </row>
    <row r="56" spans="2:40" ht="12.75">
      <c r="B56" s="541" t="s">
        <v>164</v>
      </c>
      <c r="C56" s="72" t="s">
        <v>157</v>
      </c>
      <c r="D56" s="541" t="s">
        <v>623</v>
      </c>
      <c r="E56" s="564">
        <v>844</v>
      </c>
      <c r="F56" s="73"/>
      <c r="G56" s="73" t="str">
        <f t="shared" si="50"/>
        <v>048HPAL</v>
      </c>
      <c r="H56" s="419"/>
      <c r="I56" s="637" t="s">
        <v>618</v>
      </c>
      <c r="J56" s="637" t="str">
        <f>J13</f>
        <v>35' wood pole</v>
      </c>
      <c r="K56" s="637" t="s">
        <v>640</v>
      </c>
      <c r="L56" s="582" t="s">
        <v>647</v>
      </c>
      <c r="M56" s="581">
        <f t="shared" si="21"/>
        <v>90</v>
      </c>
      <c r="N56" s="581">
        <f t="shared" si="21"/>
        <v>0</v>
      </c>
      <c r="O56" s="637"/>
      <c r="P56" s="623">
        <f>P13</f>
        <v>35.6</v>
      </c>
      <c r="Q56" s="314"/>
      <c r="R56" s="637"/>
      <c r="S56" s="70">
        <f t="shared" si="26"/>
        <v>3204</v>
      </c>
      <c r="T56" s="70">
        <f t="shared" si="26"/>
        <v>0</v>
      </c>
      <c r="U56" s="70"/>
      <c r="V56" s="581">
        <f t="shared" si="22"/>
        <v>90</v>
      </c>
      <c r="W56" s="581">
        <f t="shared" si="22"/>
        <v>0</v>
      </c>
      <c r="X56" s="637"/>
      <c r="Y56" s="70"/>
      <c r="Z56" s="637"/>
      <c r="AA56" s="581">
        <f t="shared" si="27"/>
        <v>90</v>
      </c>
      <c r="AB56" s="581">
        <f t="shared" si="18"/>
        <v>0</v>
      </c>
      <c r="AC56" s="637"/>
      <c r="AD56" s="586">
        <f>AD13</f>
        <v>35.6</v>
      </c>
      <c r="AE56" s="586">
        <f>AE13</f>
        <v>35.6</v>
      </c>
      <c r="AF56" s="637"/>
      <c r="AG56" s="70">
        <f>IF(AND(AA56&lt;&gt;0,AD56=0),#VALUE!,AA56*AD56)</f>
        <v>3204</v>
      </c>
      <c r="AH56" s="70">
        <f t="shared" si="30"/>
        <v>0</v>
      </c>
      <c r="AI56" s="637"/>
      <c r="AJ56" s="637"/>
      <c r="AK56" s="637"/>
      <c r="AL56" s="637"/>
      <c r="AM56" s="637"/>
      <c r="AN56" s="637"/>
    </row>
    <row r="57" spans="2:34" ht="12.75">
      <c r="B57" s="35" t="s">
        <v>164</v>
      </c>
      <c r="C57" s="72" t="s">
        <v>157</v>
      </c>
      <c r="D57" s="35" t="s">
        <v>169</v>
      </c>
      <c r="E57" s="564">
        <v>398</v>
      </c>
      <c r="F57" s="73"/>
      <c r="G57" s="73" t="str">
        <f t="shared" si="50"/>
        <v>048HPB</v>
      </c>
      <c r="H57" s="419"/>
      <c r="I57" s="599"/>
      <c r="L57" s="97" t="s">
        <v>205</v>
      </c>
      <c r="M57" s="69">
        <f t="shared" si="21"/>
        <v>0</v>
      </c>
      <c r="N57" s="82">
        <f t="shared" si="21"/>
        <v>0</v>
      </c>
      <c r="P57" s="98"/>
      <c r="Q57" s="140">
        <v>1E-07</v>
      </c>
      <c r="S57" s="70">
        <f t="shared" si="1"/>
        <v>0</v>
      </c>
      <c r="T57" s="70">
        <f t="shared" si="2"/>
        <v>0</v>
      </c>
      <c r="U57" s="70"/>
      <c r="V57" s="69">
        <f t="shared" si="22"/>
        <v>0</v>
      </c>
      <c r="W57" s="82">
        <f t="shared" si="22"/>
        <v>0</v>
      </c>
      <c r="Y57" s="70"/>
      <c r="AA57" s="69">
        <f t="shared" si="8"/>
        <v>0</v>
      </c>
      <c r="AB57" s="69">
        <f t="shared" si="8"/>
        <v>0</v>
      </c>
      <c r="AD57" s="231">
        <f>ROUND(P57*(1+$Z$1),2)</f>
        <v>0</v>
      </c>
      <c r="AE57" s="141">
        <v>1E-06</v>
      </c>
      <c r="AG57" s="70">
        <f t="shared" si="5"/>
        <v>0</v>
      </c>
      <c r="AH57" s="70">
        <f t="shared" si="6"/>
        <v>0</v>
      </c>
    </row>
    <row r="58" spans="2:34" ht="12.75">
      <c r="B58" s="541" t="s">
        <v>164</v>
      </c>
      <c r="C58" s="72" t="s">
        <v>157</v>
      </c>
      <c r="D58" s="541" t="s">
        <v>624</v>
      </c>
      <c r="E58" s="564">
        <v>114</v>
      </c>
      <c r="F58" s="73"/>
      <c r="G58" s="73" t="str">
        <f t="shared" si="50"/>
        <v>048HPBL</v>
      </c>
      <c r="H58" s="419"/>
      <c r="I58" s="599"/>
      <c r="L58" s="97" t="s">
        <v>206</v>
      </c>
      <c r="M58" s="69">
        <f t="shared" si="21"/>
        <v>0</v>
      </c>
      <c r="N58" s="82">
        <f t="shared" si="21"/>
        <v>166</v>
      </c>
      <c r="P58" s="98"/>
      <c r="Q58" s="140">
        <v>1E-06</v>
      </c>
      <c r="S58" s="70">
        <f t="shared" si="1"/>
        <v>0</v>
      </c>
      <c r="T58" s="70">
        <f t="shared" si="2"/>
        <v>0.000166</v>
      </c>
      <c r="U58" s="70"/>
      <c r="V58" s="69">
        <f t="shared" si="22"/>
        <v>0</v>
      </c>
      <c r="W58" s="82">
        <f t="shared" si="22"/>
        <v>166</v>
      </c>
      <c r="Y58" s="70"/>
      <c r="AA58" s="69">
        <f t="shared" si="8"/>
        <v>0</v>
      </c>
      <c r="AB58" s="69">
        <f t="shared" si="8"/>
        <v>166</v>
      </c>
      <c r="AD58" s="231">
        <f>ROUND(P58*(1+$Z$1),2)</f>
        <v>0</v>
      </c>
      <c r="AE58" s="141">
        <v>1E-06</v>
      </c>
      <c r="AG58" s="70">
        <f t="shared" si="5"/>
        <v>0</v>
      </c>
      <c r="AH58" s="70">
        <f t="shared" si="6"/>
        <v>0.000166</v>
      </c>
    </row>
    <row r="59" spans="2:34" ht="12.75">
      <c r="B59" s="35" t="s">
        <v>164</v>
      </c>
      <c r="C59" s="72" t="s">
        <v>157</v>
      </c>
      <c r="D59" s="35" t="s">
        <v>170</v>
      </c>
      <c r="E59" s="564">
        <v>8</v>
      </c>
      <c r="F59" s="73"/>
      <c r="G59" s="73" t="str">
        <f t="shared" si="50"/>
        <v>048HPC</v>
      </c>
      <c r="H59" s="419"/>
      <c r="L59" s="97" t="s">
        <v>207</v>
      </c>
      <c r="M59" s="69">
        <f t="shared" si="21"/>
        <v>0</v>
      </c>
      <c r="N59" s="82">
        <f t="shared" si="21"/>
        <v>0</v>
      </c>
      <c r="P59" s="98"/>
      <c r="Q59" s="140">
        <v>1E-06</v>
      </c>
      <c r="S59" s="70">
        <f t="shared" si="1"/>
        <v>0</v>
      </c>
      <c r="T59" s="70">
        <f t="shared" si="2"/>
        <v>0</v>
      </c>
      <c r="U59" s="70"/>
      <c r="V59" s="69">
        <f t="shared" si="22"/>
        <v>0</v>
      </c>
      <c r="W59" s="82">
        <f t="shared" si="22"/>
        <v>0</v>
      </c>
      <c r="Y59" s="70"/>
      <c r="AA59" s="69">
        <f t="shared" si="8"/>
        <v>0</v>
      </c>
      <c r="AB59" s="69">
        <f t="shared" si="8"/>
        <v>0</v>
      </c>
      <c r="AD59" s="231">
        <f>ROUND(P59*(1+$Z$1),2)</f>
        <v>0</v>
      </c>
      <c r="AE59" s="141">
        <v>1E-06</v>
      </c>
      <c r="AG59" s="70">
        <f t="shared" si="5"/>
        <v>0</v>
      </c>
      <c r="AH59" s="70">
        <f t="shared" si="6"/>
        <v>0</v>
      </c>
    </row>
    <row r="60" spans="2:34" ht="12.75">
      <c r="B60" s="541" t="s">
        <v>164</v>
      </c>
      <c r="C60" s="72" t="s">
        <v>157</v>
      </c>
      <c r="D60" s="541" t="s">
        <v>646</v>
      </c>
      <c r="E60" s="564">
        <v>6</v>
      </c>
      <c r="F60" s="73"/>
      <c r="G60" s="73" t="str">
        <f t="shared" si="50"/>
        <v>048HPCL</v>
      </c>
      <c r="H60" s="419"/>
      <c r="P60" s="54"/>
      <c r="Q60" s="54"/>
      <c r="S60" s="70"/>
      <c r="T60" s="70"/>
      <c r="U60" s="70"/>
      <c r="Y60" s="70"/>
      <c r="AD60" s="54"/>
      <c r="AE60" s="54"/>
      <c r="AG60" s="70"/>
      <c r="AH60" s="70"/>
    </row>
    <row r="61" spans="2:34" ht="12.75">
      <c r="B61" s="35" t="s">
        <v>164</v>
      </c>
      <c r="C61" s="72" t="s">
        <v>157</v>
      </c>
      <c r="D61" s="35" t="s">
        <v>171</v>
      </c>
      <c r="E61" s="564">
        <v>175</v>
      </c>
      <c r="F61" s="73"/>
      <c r="G61" s="73" t="str">
        <f t="shared" si="50"/>
        <v>048HPD</v>
      </c>
      <c r="H61" s="419"/>
      <c r="K61" s="580" t="s">
        <v>66</v>
      </c>
      <c r="M61" s="77">
        <f>SUM(M4:M60)</f>
        <v>5432</v>
      </c>
      <c r="N61" s="77">
        <f>SUM(N4:N60)</f>
        <v>3791</v>
      </c>
      <c r="S61" s="78">
        <f>SUM(S4:S60)</f>
        <v>120179.88999999998</v>
      </c>
      <c r="T61" s="78">
        <f>SUM(T4:T60)</f>
        <v>67625.05016599999</v>
      </c>
      <c r="U61" s="78"/>
      <c r="V61" s="77">
        <f>SUM(V5:V60)</f>
        <v>5432</v>
      </c>
      <c r="W61" s="77">
        <f>SUM(W5:W60)</f>
        <v>3791</v>
      </c>
      <c r="Y61" s="383"/>
      <c r="AA61" s="77">
        <f>SUM(AA5:AA60)</f>
        <v>5432</v>
      </c>
      <c r="AB61" s="77">
        <f>SUM(AB5:AB60)</f>
        <v>3791</v>
      </c>
      <c r="AG61" s="78">
        <f>SUM(AG4:AG60)</f>
        <v>120179.88999999998</v>
      </c>
      <c r="AH61" s="78">
        <f>SUM(AH4:AH60)</f>
        <v>67625.05016599999</v>
      </c>
    </row>
    <row r="62" spans="2:34" ht="12.75">
      <c r="B62" s="541" t="s">
        <v>164</v>
      </c>
      <c r="C62" s="72" t="s">
        <v>157</v>
      </c>
      <c r="D62" s="541" t="s">
        <v>627</v>
      </c>
      <c r="E62" s="564">
        <v>75</v>
      </c>
      <c r="F62" s="73"/>
      <c r="G62" s="73" t="str">
        <f t="shared" si="50"/>
        <v>048HPDL</v>
      </c>
      <c r="H62" s="419"/>
      <c r="N62" s="69">
        <f>SUM(M61:N61)</f>
        <v>9223</v>
      </c>
      <c r="S62" s="70"/>
      <c r="T62" s="79">
        <f>ROUND(SUM(S61:T61),2)</f>
        <v>187804.94</v>
      </c>
      <c r="U62" s="79"/>
      <c r="W62" s="69">
        <f>SUM(V61:W61)</f>
        <v>9223</v>
      </c>
      <c r="Y62" s="79"/>
      <c r="AB62" s="69">
        <f>SUM(AA61:AB61)</f>
        <v>9223</v>
      </c>
      <c r="AG62" s="70"/>
      <c r="AH62" s="79">
        <f>ROUND(SUM(AG61:AH61),2)</f>
        <v>187804.94</v>
      </c>
    </row>
    <row r="63" spans="2:34" ht="12.75">
      <c r="B63" s="35" t="s">
        <v>164</v>
      </c>
      <c r="C63" s="72" t="s">
        <v>157</v>
      </c>
      <c r="D63" s="35" t="s">
        <v>173</v>
      </c>
      <c r="E63" s="564">
        <v>202</v>
      </c>
      <c r="F63" s="73"/>
      <c r="G63" s="73" t="str">
        <f t="shared" si="50"/>
        <v>048HPE</v>
      </c>
      <c r="H63" s="419"/>
      <c r="I63" s="606">
        <f>'St Lts'!I106</f>
        <v>0</v>
      </c>
      <c r="J63" s="19"/>
      <c r="K63" s="86"/>
      <c r="L63" s="19"/>
      <c r="M63" s="19"/>
      <c r="N63" s="73">
        <f>ROUND(N62-E96,0)</f>
        <v>0</v>
      </c>
      <c r="S63" s="99">
        <v>117084</v>
      </c>
      <c r="T63" s="99">
        <v>66575</v>
      </c>
      <c r="U63" s="99"/>
      <c r="W63" s="73"/>
      <c r="Y63" s="99"/>
      <c r="Z63" s="332"/>
      <c r="AB63" s="73">
        <f>AB62-N62</f>
        <v>0</v>
      </c>
      <c r="AH63" s="85">
        <f>AH62/T62-1</f>
        <v>0</v>
      </c>
    </row>
    <row r="64" spans="1:25" ht="12.75">
      <c r="A64" s="320"/>
      <c r="B64" s="541" t="s">
        <v>164</v>
      </c>
      <c r="C64" s="72" t="s">
        <v>157</v>
      </c>
      <c r="D64" s="541" t="s">
        <v>626</v>
      </c>
      <c r="E64" s="564">
        <v>415</v>
      </c>
      <c r="F64" s="73"/>
      <c r="G64" s="73" t="str">
        <f t="shared" si="50"/>
        <v>048HPEL</v>
      </c>
      <c r="H64" s="419"/>
      <c r="P64" s="98"/>
      <c r="R64" s="19"/>
      <c r="S64" s="142">
        <f>S61-S63</f>
        <v>3095.889999999985</v>
      </c>
      <c r="T64" s="142">
        <f>T61-T63</f>
        <v>1050.0501659999863</v>
      </c>
      <c r="U64" s="383"/>
      <c r="Y64" s="383"/>
    </row>
    <row r="65" spans="2:25" ht="12.75">
      <c r="B65" s="35" t="s">
        <v>164</v>
      </c>
      <c r="C65" s="72" t="s">
        <v>157</v>
      </c>
      <c r="D65" s="35" t="s">
        <v>174</v>
      </c>
      <c r="E65" s="564">
        <v>4</v>
      </c>
      <c r="F65" s="73"/>
      <c r="G65" s="73" t="str">
        <f t="shared" si="50"/>
        <v>048HPG</v>
      </c>
      <c r="H65" s="419"/>
      <c r="I65" s="44"/>
      <c r="P65" s="98"/>
      <c r="R65" s="19"/>
      <c r="S65" s="19"/>
      <c r="T65" s="716"/>
      <c r="U65" s="79"/>
      <c r="Y65" s="79"/>
    </row>
    <row r="66" spans="2:34" ht="12.75">
      <c r="B66" s="35" t="s">
        <v>164</v>
      </c>
      <c r="C66" s="72" t="s">
        <v>157</v>
      </c>
      <c r="D66" s="35" t="s">
        <v>175</v>
      </c>
      <c r="E66" s="564">
        <v>7</v>
      </c>
      <c r="F66" s="73"/>
      <c r="G66" s="73" t="str">
        <f t="shared" si="50"/>
        <v>048HPL</v>
      </c>
      <c r="H66" s="419"/>
      <c r="P66" s="98"/>
      <c r="Q66" s="619"/>
      <c r="R66" s="619"/>
      <c r="S66" s="281"/>
      <c r="T66" s="625"/>
      <c r="U66" s="625"/>
      <c r="V66" s="619"/>
      <c r="W66" s="619"/>
      <c r="X66" s="619"/>
      <c r="Y66" s="625"/>
      <c r="Z66" s="619"/>
      <c r="AA66" s="619"/>
      <c r="AB66" s="619"/>
      <c r="AC66" s="619"/>
      <c r="AD66" s="619"/>
      <c r="AE66" s="267"/>
      <c r="AF66" s="267"/>
      <c r="AG66" s="717"/>
      <c r="AH66" s="267"/>
    </row>
    <row r="67" spans="2:34" ht="12.75">
      <c r="B67" s="541" t="s">
        <v>164</v>
      </c>
      <c r="C67" s="72" t="s">
        <v>157</v>
      </c>
      <c r="D67" s="541" t="s">
        <v>629</v>
      </c>
      <c r="E67" s="564">
        <v>4</v>
      </c>
      <c r="F67" s="73"/>
      <c r="G67" s="73" t="str">
        <f t="shared" si="50"/>
        <v>048HPLL</v>
      </c>
      <c r="H67" s="419"/>
      <c r="Q67" s="619"/>
      <c r="R67" s="619"/>
      <c r="S67" s="619"/>
      <c r="T67" s="619"/>
      <c r="U67" s="619"/>
      <c r="V67" s="619"/>
      <c r="W67" s="619"/>
      <c r="X67" s="619"/>
      <c r="Y67" s="619"/>
      <c r="Z67" s="619"/>
      <c r="AA67" s="619"/>
      <c r="AB67" s="619"/>
      <c r="AC67" s="619"/>
      <c r="AD67" s="619"/>
      <c r="AE67" s="267"/>
      <c r="AF67" s="267"/>
      <c r="AG67" s="267"/>
      <c r="AH67" s="267"/>
    </row>
    <row r="68" spans="2:34" ht="12.75">
      <c r="B68" s="35" t="s">
        <v>164</v>
      </c>
      <c r="C68" s="72" t="s">
        <v>157</v>
      </c>
      <c r="D68" s="35" t="s">
        <v>178</v>
      </c>
      <c r="E68" s="564">
        <v>1</v>
      </c>
      <c r="F68" s="73"/>
      <c r="G68" s="73" t="str">
        <f t="shared" si="50"/>
        <v>048HPO</v>
      </c>
      <c r="H68" s="419"/>
      <c r="Q68" s="584"/>
      <c r="R68" s="713"/>
      <c r="S68" s="714"/>
      <c r="T68" s="714"/>
      <c r="U68" s="145"/>
      <c r="V68" s="619"/>
      <c r="W68" s="619"/>
      <c r="X68" s="619"/>
      <c r="Y68" s="145"/>
      <c r="Z68" s="619"/>
      <c r="AA68" s="619"/>
      <c r="AB68" s="619"/>
      <c r="AC68" s="619"/>
      <c r="AD68" s="619"/>
      <c r="AE68" s="267"/>
      <c r="AF68" s="268"/>
      <c r="AG68" s="718"/>
      <c r="AH68" s="718"/>
    </row>
    <row r="69" spans="2:34" ht="12.75">
      <c r="B69" s="541" t="s">
        <v>164</v>
      </c>
      <c r="C69" s="72" t="s">
        <v>157</v>
      </c>
      <c r="D69" s="541" t="s">
        <v>628</v>
      </c>
      <c r="E69" s="564">
        <v>5</v>
      </c>
      <c r="F69" s="73"/>
      <c r="G69" s="73" t="str">
        <f t="shared" si="50"/>
        <v>048HPOL</v>
      </c>
      <c r="H69" s="419"/>
      <c r="Q69" s="584"/>
      <c r="R69" s="713"/>
      <c r="S69" s="715"/>
      <c r="T69" s="715"/>
      <c r="U69" s="626"/>
      <c r="V69" s="619"/>
      <c r="W69" s="619"/>
      <c r="X69" s="619"/>
      <c r="Y69" s="626"/>
      <c r="Z69" s="619"/>
      <c r="AA69" s="619"/>
      <c r="AB69" s="619"/>
      <c r="AC69" s="619"/>
      <c r="AD69" s="619"/>
      <c r="AE69" s="267"/>
      <c r="AF69" s="268"/>
      <c r="AG69" s="719"/>
      <c r="AH69" s="719"/>
    </row>
    <row r="70" spans="2:34" ht="12.75">
      <c r="B70" s="35" t="s">
        <v>164</v>
      </c>
      <c r="C70" s="72" t="s">
        <v>157</v>
      </c>
      <c r="D70" s="35" t="s">
        <v>176</v>
      </c>
      <c r="E70" s="564">
        <v>135</v>
      </c>
      <c r="F70" s="73"/>
      <c r="G70" s="73" t="str">
        <f t="shared" si="50"/>
        <v>048HPS</v>
      </c>
      <c r="H70" s="419"/>
      <c r="Q70" s="619"/>
      <c r="R70" s="619"/>
      <c r="S70" s="383">
        <f>S68+S69</f>
        <v>0</v>
      </c>
      <c r="T70" s="383">
        <f>T68+T69</f>
        <v>0</v>
      </c>
      <c r="U70" s="383"/>
      <c r="V70" s="619"/>
      <c r="W70" s="619"/>
      <c r="X70" s="619"/>
      <c r="Y70" s="383"/>
      <c r="Z70" s="619"/>
      <c r="AA70" s="619"/>
      <c r="AB70" s="619"/>
      <c r="AC70" s="619"/>
      <c r="AD70" s="619"/>
      <c r="AE70" s="267"/>
      <c r="AF70" s="267"/>
      <c r="AG70" s="720"/>
      <c r="AH70" s="720"/>
    </row>
    <row r="71" spans="2:34" ht="12.75">
      <c r="B71" s="541" t="s">
        <v>164</v>
      </c>
      <c r="C71" s="72" t="s">
        <v>157</v>
      </c>
      <c r="D71" s="541" t="s">
        <v>625</v>
      </c>
      <c r="E71" s="564">
        <v>105</v>
      </c>
      <c r="F71" s="73"/>
      <c r="G71" s="73" t="str">
        <f t="shared" si="50"/>
        <v>048HPSL</v>
      </c>
      <c r="H71" s="419"/>
      <c r="J71" s="19"/>
      <c r="Q71" s="619"/>
      <c r="R71" s="619"/>
      <c r="S71" s="619"/>
      <c r="T71" s="70">
        <f>S70+T70</f>
        <v>0</v>
      </c>
      <c r="U71" s="70"/>
      <c r="V71" s="619"/>
      <c r="W71" s="619"/>
      <c r="X71" s="619"/>
      <c r="Y71" s="70"/>
      <c r="Z71" s="619"/>
      <c r="AA71" s="619"/>
      <c r="AB71" s="619"/>
      <c r="AC71" s="619"/>
      <c r="AD71" s="619"/>
      <c r="AE71" s="267"/>
      <c r="AF71" s="267"/>
      <c r="AG71" s="267"/>
      <c r="AH71" s="720"/>
    </row>
    <row r="72" spans="2:10" ht="12.75">
      <c r="B72" s="541" t="s">
        <v>164</v>
      </c>
      <c r="C72" s="72" t="s">
        <v>157</v>
      </c>
      <c r="D72" s="541" t="s">
        <v>813</v>
      </c>
      <c r="E72" s="564">
        <v>8</v>
      </c>
      <c r="F72" s="73"/>
      <c r="G72" s="73" t="str">
        <f t="shared" si="50"/>
        <v>048HAAL</v>
      </c>
      <c r="H72" s="419"/>
      <c r="J72" s="19"/>
    </row>
    <row r="73" spans="2:8" ht="12.75">
      <c r="B73" s="541" t="s">
        <v>164</v>
      </c>
      <c r="C73" s="72" t="s">
        <v>157</v>
      </c>
      <c r="D73" s="541" t="s">
        <v>814</v>
      </c>
      <c r="E73" s="564">
        <v>12</v>
      </c>
      <c r="F73" s="73"/>
      <c r="G73" s="73" t="str">
        <f t="shared" si="50"/>
        <v>048HAML</v>
      </c>
      <c r="H73" s="419"/>
    </row>
    <row r="74" spans="2:24" ht="12.75">
      <c r="B74" s="541" t="s">
        <v>164</v>
      </c>
      <c r="C74" s="72" t="s">
        <v>157</v>
      </c>
      <c r="D74" s="541" t="s">
        <v>815</v>
      </c>
      <c r="E74" s="564">
        <v>2</v>
      </c>
      <c r="F74" s="73"/>
      <c r="G74" s="73" t="str">
        <f t="shared" si="50"/>
        <v>048HANL</v>
      </c>
      <c r="H74" s="419"/>
      <c r="S74" s="612"/>
      <c r="T74" s="612"/>
      <c r="X74" s="535" t="s">
        <v>563</v>
      </c>
    </row>
    <row r="75" spans="2:24" ht="12.75">
      <c r="B75" s="541" t="s">
        <v>164</v>
      </c>
      <c r="C75" s="403" t="s">
        <v>157</v>
      </c>
      <c r="D75" s="585" t="s">
        <v>854</v>
      </c>
      <c r="E75" s="564">
        <v>3</v>
      </c>
      <c r="F75" s="73"/>
      <c r="G75" s="73" t="str">
        <f aca="true" t="shared" si="59" ref="G75">IF(OR(ISBLANK(C75),ISBLANK(D75)),"",TEXT(C75,"000")&amp;TEXT(D75,"000"))</f>
        <v>048HAOL</v>
      </c>
      <c r="H75" s="419"/>
      <c r="S75" s="19"/>
      <c r="T75" s="19"/>
      <c r="X75" s="380" t="s">
        <v>446</v>
      </c>
    </row>
    <row r="76" spans="2:20" ht="12.75">
      <c r="B76" s="541" t="s">
        <v>164</v>
      </c>
      <c r="C76" s="72" t="s">
        <v>157</v>
      </c>
      <c r="D76" s="541" t="s">
        <v>632</v>
      </c>
      <c r="E76" s="564">
        <v>3</v>
      </c>
      <c r="F76" s="73"/>
      <c r="G76" s="73" t="str">
        <f t="shared" si="50"/>
        <v>048HAPL</v>
      </c>
      <c r="H76" s="419"/>
      <c r="S76" s="19"/>
      <c r="T76" s="19"/>
    </row>
    <row r="77" spans="2:20" ht="12.75">
      <c r="B77" s="541" t="s">
        <v>164</v>
      </c>
      <c r="C77" s="72" t="s">
        <v>157</v>
      </c>
      <c r="D77" s="541" t="s">
        <v>816</v>
      </c>
      <c r="E77" s="564"/>
      <c r="F77" s="73"/>
      <c r="G77" s="73" t="str">
        <f t="shared" si="50"/>
        <v>048HPKL</v>
      </c>
      <c r="H77" s="419"/>
      <c r="S77" s="19"/>
      <c r="T77" s="19"/>
    </row>
    <row r="78" spans="2:20" ht="12.75">
      <c r="B78" s="35" t="s">
        <v>164</v>
      </c>
      <c r="C78" s="72" t="s">
        <v>157</v>
      </c>
      <c r="D78" s="35" t="s">
        <v>181</v>
      </c>
      <c r="E78" s="564">
        <v>198</v>
      </c>
      <c r="F78" s="73"/>
      <c r="G78" s="73" t="str">
        <f t="shared" si="50"/>
        <v>048MVA</v>
      </c>
      <c r="H78" s="419"/>
      <c r="S78" s="612"/>
      <c r="T78" s="612"/>
    </row>
    <row r="79" spans="2:8" ht="12.75">
      <c r="B79" s="35" t="s">
        <v>164</v>
      </c>
      <c r="C79" s="72" t="s">
        <v>157</v>
      </c>
      <c r="D79" s="35" t="s">
        <v>183</v>
      </c>
      <c r="E79" s="564">
        <v>209</v>
      </c>
      <c r="F79" s="73"/>
      <c r="G79" s="73" t="str">
        <f t="shared" si="50"/>
        <v>048MVB</v>
      </c>
      <c r="H79" s="419"/>
    </row>
    <row r="80" spans="2:8" ht="12.75">
      <c r="B80" s="35" t="s">
        <v>164</v>
      </c>
      <c r="C80" s="72" t="s">
        <v>157</v>
      </c>
      <c r="D80" s="35" t="s">
        <v>184</v>
      </c>
      <c r="E80" s="564">
        <v>15</v>
      </c>
      <c r="F80" s="75"/>
      <c r="G80" s="73" t="str">
        <f t="shared" si="50"/>
        <v>048MVC</v>
      </c>
      <c r="H80" s="419"/>
    </row>
    <row r="81" spans="2:8" ht="12.75">
      <c r="B81" s="35" t="s">
        <v>164</v>
      </c>
      <c r="C81" s="72" t="s">
        <v>157</v>
      </c>
      <c r="D81" s="35" t="s">
        <v>185</v>
      </c>
      <c r="E81" s="564">
        <v>87</v>
      </c>
      <c r="G81" s="73" t="str">
        <f t="shared" si="50"/>
        <v>048MVD</v>
      </c>
      <c r="H81" s="419"/>
    </row>
    <row r="82" spans="2:8" ht="12.75">
      <c r="B82" s="35" t="s">
        <v>164</v>
      </c>
      <c r="C82" s="72" t="s">
        <v>157</v>
      </c>
      <c r="D82" s="35" t="s">
        <v>186</v>
      </c>
      <c r="E82" s="564">
        <v>43</v>
      </c>
      <c r="F82" s="73"/>
      <c r="G82" s="73" t="str">
        <f t="shared" si="50"/>
        <v>048MVE</v>
      </c>
      <c r="H82" s="419"/>
    </row>
    <row r="83" spans="2:8" ht="12.75">
      <c r="B83" s="35" t="s">
        <v>164</v>
      </c>
      <c r="C83" s="72" t="s">
        <v>157</v>
      </c>
      <c r="D83" s="35" t="s">
        <v>187</v>
      </c>
      <c r="E83" s="564">
        <v>17</v>
      </c>
      <c r="F83" s="73"/>
      <c r="G83" s="73" t="str">
        <f t="shared" si="50"/>
        <v>048MVF</v>
      </c>
      <c r="H83" s="419"/>
    </row>
    <row r="84" spans="2:8" ht="12.75">
      <c r="B84" s="35" t="s">
        <v>164</v>
      </c>
      <c r="C84" s="72" t="s">
        <v>157</v>
      </c>
      <c r="D84" s="35" t="s">
        <v>191</v>
      </c>
      <c r="E84" s="558"/>
      <c r="F84" s="73"/>
      <c r="G84" s="73" t="str">
        <f t="shared" si="50"/>
        <v>048MVG</v>
      </c>
      <c r="H84" s="419"/>
    </row>
    <row r="85" spans="2:8" ht="12.75">
      <c r="B85" s="35" t="s">
        <v>164</v>
      </c>
      <c r="C85" s="72" t="s">
        <v>157</v>
      </c>
      <c r="D85" s="35" t="s">
        <v>188</v>
      </c>
      <c r="E85" s="564">
        <v>5</v>
      </c>
      <c r="F85" s="73"/>
      <c r="G85" s="73" t="str">
        <f t="shared" si="50"/>
        <v>048MVH</v>
      </c>
      <c r="H85" s="419"/>
    </row>
    <row r="86" spans="2:8" ht="12.75">
      <c r="B86" s="35" t="s">
        <v>164</v>
      </c>
      <c r="C86" s="72" t="s">
        <v>157</v>
      </c>
      <c r="D86" s="35" t="s">
        <v>193</v>
      </c>
      <c r="E86" s="564">
        <v>25</v>
      </c>
      <c r="F86" s="73"/>
      <c r="G86" s="73" t="str">
        <f t="shared" si="50"/>
        <v>048MVK</v>
      </c>
      <c r="H86" s="419"/>
    </row>
    <row r="87" spans="2:8" ht="12.75">
      <c r="B87" s="35" t="s">
        <v>164</v>
      </c>
      <c r="C87" s="72" t="s">
        <v>157</v>
      </c>
      <c r="D87" s="35" t="s">
        <v>200</v>
      </c>
      <c r="E87" s="558"/>
      <c r="F87" s="73"/>
      <c r="G87" s="73" t="str">
        <f t="shared" si="50"/>
        <v>048MVN</v>
      </c>
      <c r="H87" s="771"/>
    </row>
    <row r="88" spans="2:8" ht="12.75">
      <c r="B88" s="35" t="s">
        <v>164</v>
      </c>
      <c r="C88" s="72" t="s">
        <v>157</v>
      </c>
      <c r="D88" s="35" t="s">
        <v>430</v>
      </c>
      <c r="E88" s="564">
        <v>2</v>
      </c>
      <c r="G88" s="73" t="str">
        <f t="shared" si="50"/>
        <v>048MVV</v>
      </c>
      <c r="H88" s="422"/>
    </row>
    <row r="89" spans="2:8" ht="12.75">
      <c r="B89" s="35" t="s">
        <v>164</v>
      </c>
      <c r="C89" s="72" t="s">
        <v>157</v>
      </c>
      <c r="D89" s="35" t="s">
        <v>197</v>
      </c>
      <c r="E89" s="564">
        <v>2</v>
      </c>
      <c r="F89" s="73"/>
      <c r="G89" s="73" t="str">
        <f t="shared" si="50"/>
        <v>048PA</v>
      </c>
      <c r="H89" s="419"/>
    </row>
    <row r="90" spans="2:8" ht="12.75">
      <c r="B90" s="35" t="s">
        <v>164</v>
      </c>
      <c r="C90" s="72" t="s">
        <v>157</v>
      </c>
      <c r="D90" s="35" t="s">
        <v>204</v>
      </c>
      <c r="E90" s="564"/>
      <c r="F90" s="73"/>
      <c r="G90" s="73" t="str">
        <f t="shared" si="50"/>
        <v>048PB</v>
      </c>
      <c r="H90" s="419"/>
    </row>
    <row r="91" spans="2:7" ht="12.75">
      <c r="B91" s="35" t="s">
        <v>164</v>
      </c>
      <c r="C91" s="72" t="s">
        <v>157</v>
      </c>
      <c r="D91" s="35" t="s">
        <v>205</v>
      </c>
      <c r="E91" s="564"/>
      <c r="F91" s="73"/>
      <c r="G91" s="73" t="str">
        <f t="shared" si="50"/>
        <v>048SLB</v>
      </c>
    </row>
    <row r="92" spans="2:7" ht="12.75">
      <c r="B92" s="35" t="s">
        <v>164</v>
      </c>
      <c r="C92" s="72" t="s">
        <v>157</v>
      </c>
      <c r="D92" s="35" t="s">
        <v>206</v>
      </c>
      <c r="E92" s="564">
        <v>166</v>
      </c>
      <c r="F92" s="73"/>
      <c r="G92" s="73" t="str">
        <f t="shared" si="50"/>
        <v>048SLC</v>
      </c>
    </row>
    <row r="93" spans="2:7" ht="12.75">
      <c r="B93" s="35" t="s">
        <v>164</v>
      </c>
      <c r="C93" s="72" t="s">
        <v>157</v>
      </c>
      <c r="D93" s="35" t="s">
        <v>207</v>
      </c>
      <c r="E93" s="564"/>
      <c r="F93" s="75"/>
      <c r="G93" s="73" t="str">
        <f t="shared" si="50"/>
        <v>048SLD</v>
      </c>
    </row>
    <row r="94" spans="5:7" ht="12.75">
      <c r="E94" s="74">
        <f>SUM(E52:E93)</f>
        <v>3791</v>
      </c>
      <c r="G94" s="73" t="str">
        <f aca="true" t="shared" si="60" ref="G94">IF(OR(ISBLANK(C95),ISBLANK(D95)),"",TEXT(C95,"000")&amp;TEXT(D95,"000"))</f>
        <v/>
      </c>
    </row>
    <row r="95" spans="6:7" ht="12.75">
      <c r="F95" s="73"/>
      <c r="G95" s="73"/>
    </row>
    <row r="96" spans="2:5" ht="12.75">
      <c r="B96" s="35" t="s">
        <v>164</v>
      </c>
      <c r="E96" s="73">
        <f>E50+E94</f>
        <v>9223</v>
      </c>
    </row>
  </sheetData>
  <conditionalFormatting sqref="AB63 N63 W63">
    <cfRule type="cellIs" priority="8" dxfId="0" operator="notEqual" stopIfTrue="1">
      <formula>0</formula>
    </cfRule>
  </conditionalFormatting>
  <printOptions/>
  <pageMargins left="0.5" right="0" top="0.5" bottom="0" header="0.5" footer="0.35"/>
  <pageSetup fitToHeight="1" fitToWidth="1" horizontalDpi="600" verticalDpi="600" orientation="portrait" scale="65"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5:P41"/>
  <sheetViews>
    <sheetView zoomScale="115" zoomScaleNormal="115" workbookViewId="0" topLeftCell="E1">
      <selection activeCell="P29" sqref="P29"/>
    </sheetView>
  </sheetViews>
  <sheetFormatPr defaultColWidth="9.140625" defaultRowHeight="12.75"/>
  <cols>
    <col min="1" max="1" width="33.421875" style="0" hidden="1" customWidth="1"/>
    <col min="2" max="2" width="11.7109375" style="0" hidden="1" customWidth="1"/>
    <col min="3" max="3" width="16.7109375" style="0" hidden="1" customWidth="1"/>
    <col min="4" max="4" width="11.7109375" style="0" hidden="1" customWidth="1"/>
    <col min="5" max="5" width="4.28125" style="0" customWidth="1"/>
    <col min="6" max="6" width="33.421875" style="0" bestFit="1" customWidth="1"/>
    <col min="7" max="7" width="11.7109375" style="0" bestFit="1" customWidth="1"/>
    <col min="8" max="8" width="16.7109375" style="0" bestFit="1" customWidth="1"/>
    <col min="9" max="9" width="11.7109375" style="0" bestFit="1" customWidth="1"/>
    <col min="10" max="10" width="10.00390625" style="19" bestFit="1" customWidth="1"/>
    <col min="11" max="11" width="11.28125" style="0" bestFit="1" customWidth="1"/>
    <col min="12" max="12" width="34.421875" style="614" bestFit="1" customWidth="1"/>
    <col min="13" max="13" width="11.7109375" style="614" bestFit="1" customWidth="1"/>
    <col min="14" max="14" width="16.7109375" style="614" bestFit="1" customWidth="1"/>
    <col min="15" max="15" width="11.28125" style="614" customWidth="1"/>
    <col min="16" max="16" width="24.7109375" style="19" bestFit="1" customWidth="1"/>
  </cols>
  <sheetData>
    <row r="5" spans="1:16" ht="12.75">
      <c r="A5" s="536" t="s">
        <v>524</v>
      </c>
      <c r="B5" s="536"/>
      <c r="C5" s="536"/>
      <c r="D5" s="536"/>
      <c r="F5" s="536" t="s">
        <v>524</v>
      </c>
      <c r="G5" s="536"/>
      <c r="H5" s="536"/>
      <c r="I5" s="536"/>
      <c r="K5" s="536"/>
      <c r="L5" s="614" t="s">
        <v>524</v>
      </c>
      <c r="P5" s="633"/>
    </row>
    <row r="6" spans="1:16" ht="12.75">
      <c r="A6" s="536" t="s">
        <v>525</v>
      </c>
      <c r="B6" s="536"/>
      <c r="C6" s="536"/>
      <c r="D6" s="536"/>
      <c r="F6" s="536" t="s">
        <v>525</v>
      </c>
      <c r="G6" s="536"/>
      <c r="H6" s="536"/>
      <c r="I6" s="536"/>
      <c r="K6" s="536"/>
      <c r="L6" s="614" t="s">
        <v>525</v>
      </c>
      <c r="P6" s="633"/>
    </row>
    <row r="7" spans="1:16" ht="12.75">
      <c r="A7" s="550" t="s">
        <v>549</v>
      </c>
      <c r="B7" s="536"/>
      <c r="C7" s="536"/>
      <c r="D7" s="536"/>
      <c r="F7" s="435" t="s">
        <v>951</v>
      </c>
      <c r="G7" s="536"/>
      <c r="H7" s="536"/>
      <c r="I7" s="536"/>
      <c r="K7" s="536"/>
      <c r="L7" s="435" t="s">
        <v>953</v>
      </c>
      <c r="P7" s="633"/>
    </row>
    <row r="8" spans="1:16" ht="12.75">
      <c r="A8" s="536"/>
      <c r="B8" s="536"/>
      <c r="C8" s="536"/>
      <c r="D8" s="536"/>
      <c r="F8" s="536"/>
      <c r="G8" s="536"/>
      <c r="H8" s="536"/>
      <c r="I8" s="536"/>
      <c r="K8" s="536"/>
      <c r="P8" s="633"/>
    </row>
    <row r="9" spans="1:16" ht="13.5" thickBot="1">
      <c r="A9" s="536"/>
      <c r="B9" s="536"/>
      <c r="C9" s="536"/>
      <c r="D9" s="536"/>
      <c r="F9" s="536"/>
      <c r="G9" s="536"/>
      <c r="H9" s="536"/>
      <c r="I9" s="536"/>
      <c r="K9" s="536"/>
      <c r="P9" s="633"/>
    </row>
    <row r="10" spans="1:16" ht="16.5" thickBot="1">
      <c r="A10" s="458" t="s">
        <v>526</v>
      </c>
      <c r="B10" s="459"/>
      <c r="C10" s="459"/>
      <c r="D10" s="460"/>
      <c r="F10" s="458" t="s">
        <v>526</v>
      </c>
      <c r="G10" s="459"/>
      <c r="H10" s="459"/>
      <c r="I10" s="460"/>
      <c r="J10" s="632" t="s">
        <v>567</v>
      </c>
      <c r="K10" s="536"/>
      <c r="L10" s="602" t="s">
        <v>526</v>
      </c>
      <c r="M10" s="603"/>
      <c r="N10" s="603"/>
      <c r="O10" s="604"/>
      <c r="P10" s="634" t="s">
        <v>567</v>
      </c>
    </row>
    <row r="11" spans="1:16" ht="15">
      <c r="A11" s="461" t="s">
        <v>523</v>
      </c>
      <c r="B11" s="462" t="s">
        <v>523</v>
      </c>
      <c r="C11" s="463" t="s">
        <v>527</v>
      </c>
      <c r="D11" s="464" t="s">
        <v>528</v>
      </c>
      <c r="F11" s="461" t="s">
        <v>523</v>
      </c>
      <c r="G11" s="462" t="s">
        <v>523</v>
      </c>
      <c r="H11" s="463" t="s">
        <v>527</v>
      </c>
      <c r="I11" s="464" t="s">
        <v>528</v>
      </c>
      <c r="K11" s="536"/>
      <c r="L11" s="461" t="s">
        <v>523</v>
      </c>
      <c r="M11" s="462" t="s">
        <v>523</v>
      </c>
      <c r="N11" s="463" t="s">
        <v>527</v>
      </c>
      <c r="O11" s="464" t="s">
        <v>528</v>
      </c>
      <c r="P11" s="633"/>
    </row>
    <row r="12" spans="1:16" ht="15">
      <c r="A12" s="465" t="s">
        <v>527</v>
      </c>
      <c r="B12" s="466" t="s">
        <v>529</v>
      </c>
      <c r="C12" s="467" t="s">
        <v>530</v>
      </c>
      <c r="D12" s="468" t="s">
        <v>530</v>
      </c>
      <c r="F12" s="465" t="s">
        <v>527</v>
      </c>
      <c r="G12" s="466" t="s">
        <v>529</v>
      </c>
      <c r="H12" s="467" t="s">
        <v>530</v>
      </c>
      <c r="I12" s="468" t="s">
        <v>530</v>
      </c>
      <c r="K12" s="536"/>
      <c r="L12" s="465" t="s">
        <v>527</v>
      </c>
      <c r="M12" s="466" t="s">
        <v>529</v>
      </c>
      <c r="N12" s="467" t="s">
        <v>530</v>
      </c>
      <c r="O12" s="468" t="s">
        <v>530</v>
      </c>
      <c r="P12" s="633"/>
    </row>
    <row r="13" spans="1:16" ht="15">
      <c r="A13" s="469" t="s">
        <v>531</v>
      </c>
      <c r="B13" s="470">
        <v>0.53</v>
      </c>
      <c r="C13" s="471">
        <v>0.0572</v>
      </c>
      <c r="D13" s="472">
        <f>B13*C13</f>
        <v>0.030316000000000003</v>
      </c>
      <c r="F13" s="469" t="s">
        <v>531</v>
      </c>
      <c r="G13" s="470">
        <v>0.515</v>
      </c>
      <c r="H13" s="471">
        <v>0.0515</v>
      </c>
      <c r="I13" s="472">
        <f>G13*H13</f>
        <v>0.0265225</v>
      </c>
      <c r="J13" s="19" t="s">
        <v>639</v>
      </c>
      <c r="K13" s="19"/>
      <c r="L13" s="469" t="s">
        <v>531</v>
      </c>
      <c r="M13" s="753">
        <v>0.515</v>
      </c>
      <c r="N13" s="754">
        <v>0.0515</v>
      </c>
      <c r="O13" s="472">
        <f>M13*N13</f>
        <v>0.0265225</v>
      </c>
      <c r="P13" s="19" t="s">
        <v>639</v>
      </c>
    </row>
    <row r="14" spans="1:16" ht="15">
      <c r="A14" s="469" t="s">
        <v>532</v>
      </c>
      <c r="B14" s="470">
        <v>0</v>
      </c>
      <c r="C14" s="471">
        <v>0</v>
      </c>
      <c r="D14" s="472">
        <f>B14*C14</f>
        <v>0</v>
      </c>
      <c r="F14" s="469" t="s">
        <v>532</v>
      </c>
      <c r="G14" s="470">
        <v>0</v>
      </c>
      <c r="H14" s="471">
        <v>0</v>
      </c>
      <c r="I14" s="472">
        <f>G14*H14</f>
        <v>0</v>
      </c>
      <c r="J14" s="19" t="s">
        <v>639</v>
      </c>
      <c r="K14" s="19"/>
      <c r="L14" s="469" t="s">
        <v>532</v>
      </c>
      <c r="M14" s="753">
        <v>0</v>
      </c>
      <c r="N14" s="754">
        <v>0</v>
      </c>
      <c r="O14" s="472">
        <f>M14*N14</f>
        <v>0</v>
      </c>
      <c r="P14" s="19" t="s">
        <v>639</v>
      </c>
    </row>
    <row r="15" spans="1:16" ht="15.75" thickBot="1">
      <c r="A15" s="473" t="s">
        <v>533</v>
      </c>
      <c r="B15" s="474">
        <v>0.47</v>
      </c>
      <c r="C15" s="475">
        <v>0.098</v>
      </c>
      <c r="D15" s="472">
        <f>B15*C15</f>
        <v>0.04606</v>
      </c>
      <c r="F15" s="473" t="s">
        <v>533</v>
      </c>
      <c r="G15" s="474">
        <v>0.485</v>
      </c>
      <c r="H15" s="475">
        <v>0.094</v>
      </c>
      <c r="I15" s="472">
        <f>G15*H15</f>
        <v>0.04559</v>
      </c>
      <c r="J15" s="19" t="s">
        <v>639</v>
      </c>
      <c r="K15" s="19"/>
      <c r="L15" s="473" t="s">
        <v>533</v>
      </c>
      <c r="M15" s="755">
        <v>0.485</v>
      </c>
      <c r="N15" s="756">
        <v>0.094</v>
      </c>
      <c r="O15" s="472">
        <f>M15*N15</f>
        <v>0.04559</v>
      </c>
      <c r="P15" s="19" t="s">
        <v>639</v>
      </c>
    </row>
    <row r="16" spans="1:16" ht="16.5" thickBot="1" thickTop="1">
      <c r="A16" s="476" t="s">
        <v>66</v>
      </c>
      <c r="B16" s="477">
        <f>SUM(B13:B15)</f>
        <v>1</v>
      </c>
      <c r="C16" s="478"/>
      <c r="D16" s="479">
        <f>SUM(D13:D15)</f>
        <v>0.076376</v>
      </c>
      <c r="F16" s="476" t="s">
        <v>66</v>
      </c>
      <c r="G16" s="477">
        <f>SUM(G13:G15)</f>
        <v>1</v>
      </c>
      <c r="H16" s="478"/>
      <c r="I16" s="479">
        <f>SUM(I13:I15)</f>
        <v>0.0721125</v>
      </c>
      <c r="K16" s="19"/>
      <c r="L16" s="476" t="s">
        <v>66</v>
      </c>
      <c r="M16" s="477">
        <f>SUM(M13:M15)</f>
        <v>1</v>
      </c>
      <c r="N16" s="478"/>
      <c r="O16" s="479">
        <f>SUM(O13:O15)</f>
        <v>0.0721125</v>
      </c>
      <c r="P16" s="633"/>
    </row>
    <row r="17" spans="1:16" ht="15">
      <c r="A17" s="480"/>
      <c r="B17" s="480"/>
      <c r="C17" s="481"/>
      <c r="D17" s="481"/>
      <c r="F17" s="480"/>
      <c r="G17" s="480"/>
      <c r="H17" s="481"/>
      <c r="I17" s="481"/>
      <c r="K17" s="19"/>
      <c r="L17" s="480"/>
      <c r="M17" s="480"/>
      <c r="N17" s="481"/>
      <c r="O17" s="481"/>
      <c r="P17" s="633"/>
    </row>
    <row r="18" spans="1:16" ht="15.75" thickBot="1">
      <c r="A18" s="482"/>
      <c r="B18" s="482"/>
      <c r="C18" s="482"/>
      <c r="D18" s="482"/>
      <c r="F18" s="482"/>
      <c r="G18" s="482"/>
      <c r="H18" s="482"/>
      <c r="I18" s="482"/>
      <c r="K18" s="19"/>
      <c r="L18" s="482"/>
      <c r="M18" s="482"/>
      <c r="N18" s="482"/>
      <c r="O18" s="482"/>
      <c r="P18" s="633"/>
    </row>
    <row r="19" spans="1:16" ht="16.5" thickBot="1">
      <c r="A19" s="458" t="s">
        <v>534</v>
      </c>
      <c r="B19" s="459"/>
      <c r="C19" s="459"/>
      <c r="D19" s="460"/>
      <c r="F19" s="458" t="s">
        <v>534</v>
      </c>
      <c r="G19" s="459"/>
      <c r="H19" s="459"/>
      <c r="I19" s="460"/>
      <c r="K19" s="19"/>
      <c r="L19" s="602" t="s">
        <v>534</v>
      </c>
      <c r="M19" s="603"/>
      <c r="N19" s="603"/>
      <c r="O19" s="604"/>
      <c r="P19" s="633"/>
    </row>
    <row r="20" spans="1:16" ht="15">
      <c r="A20" s="469"/>
      <c r="B20" s="482"/>
      <c r="C20" s="482"/>
      <c r="D20" s="483"/>
      <c r="F20" s="469"/>
      <c r="G20" s="482"/>
      <c r="H20" s="482"/>
      <c r="I20" s="483"/>
      <c r="K20" s="19"/>
      <c r="L20" s="469"/>
      <c r="M20" s="482"/>
      <c r="N20" s="482"/>
      <c r="O20" s="483"/>
      <c r="P20" s="633"/>
    </row>
    <row r="21" spans="1:16" ht="15">
      <c r="A21" s="469" t="s">
        <v>535</v>
      </c>
      <c r="B21" s="482"/>
      <c r="C21" s="482"/>
      <c r="D21" s="484">
        <f>1/0.62082</f>
        <v>1.6107728488128603</v>
      </c>
      <c r="F21" s="469" t="s">
        <v>535</v>
      </c>
      <c r="G21" s="482"/>
      <c r="H21" s="482"/>
      <c r="I21" s="484">
        <f>1/0.754948</f>
        <v>1.324594541610813</v>
      </c>
      <c r="K21" s="19"/>
      <c r="L21" s="469" t="s">
        <v>535</v>
      </c>
      <c r="M21" s="482"/>
      <c r="N21" s="482"/>
      <c r="O21" s="757">
        <f>1/0.754948</f>
        <v>1.324594541610813</v>
      </c>
      <c r="P21" s="633" t="s">
        <v>771</v>
      </c>
    </row>
    <row r="22" spans="1:16" ht="15">
      <c r="A22" s="469"/>
      <c r="B22" s="482"/>
      <c r="C22" s="485"/>
      <c r="D22" s="483"/>
      <c r="F22" s="469"/>
      <c r="G22" s="482"/>
      <c r="H22" s="485"/>
      <c r="I22" s="483"/>
      <c r="K22" s="19"/>
      <c r="L22" s="469"/>
      <c r="M22" s="482"/>
      <c r="N22" s="485"/>
      <c r="O22" s="483"/>
      <c r="P22" s="633"/>
    </row>
    <row r="23" spans="1:16" ht="15">
      <c r="A23" s="469"/>
      <c r="B23" s="482"/>
      <c r="C23" s="485"/>
      <c r="D23" s="483"/>
      <c r="F23" s="469"/>
      <c r="G23" s="482"/>
      <c r="H23" s="485"/>
      <c r="I23" s="483"/>
      <c r="K23" s="19"/>
      <c r="L23" s="469"/>
      <c r="M23" s="482"/>
      <c r="N23" s="485"/>
      <c r="O23" s="483"/>
      <c r="P23" s="633"/>
    </row>
    <row r="24" spans="1:16" ht="15">
      <c r="A24" s="469" t="s">
        <v>536</v>
      </c>
      <c r="B24" s="482"/>
      <c r="C24" s="486" t="s">
        <v>537</v>
      </c>
      <c r="D24" s="472">
        <f>D15*D21</f>
        <v>0.07419219741632034</v>
      </c>
      <c r="F24" s="469" t="s">
        <v>536</v>
      </c>
      <c r="G24" s="482"/>
      <c r="H24" s="486" t="s">
        <v>952</v>
      </c>
      <c r="I24" s="472">
        <f>I15*I21</f>
        <v>0.060388265152036956</v>
      </c>
      <c r="K24" s="19"/>
      <c r="L24" s="469" t="s">
        <v>536</v>
      </c>
      <c r="M24" s="482"/>
      <c r="N24" s="486" t="s">
        <v>845</v>
      </c>
      <c r="O24" s="472">
        <f>O15*O21</f>
        <v>0.060388265152036956</v>
      </c>
      <c r="P24" s="633"/>
    </row>
    <row r="25" spans="1:15" ht="15">
      <c r="A25" s="469" t="s">
        <v>531</v>
      </c>
      <c r="B25" s="482"/>
      <c r="C25" s="487"/>
      <c r="D25" s="472">
        <f>D13</f>
        <v>0.030316000000000003</v>
      </c>
      <c r="F25" s="469" t="s">
        <v>531</v>
      </c>
      <c r="G25" s="482"/>
      <c r="H25" s="487"/>
      <c r="I25" s="472">
        <f>I13</f>
        <v>0.0265225</v>
      </c>
      <c r="K25" s="19"/>
      <c r="L25" s="469" t="s">
        <v>531</v>
      </c>
      <c r="M25" s="482"/>
      <c r="N25" s="487"/>
      <c r="O25" s="472">
        <f>O13</f>
        <v>0.0265225</v>
      </c>
    </row>
    <row r="26" spans="1:16" ht="15.75" thickBot="1">
      <c r="A26" s="473" t="s">
        <v>538</v>
      </c>
      <c r="B26" s="488"/>
      <c r="C26" s="489" t="s">
        <v>539</v>
      </c>
      <c r="D26" s="490">
        <f>D14*D21</f>
        <v>0</v>
      </c>
      <c r="F26" s="473" t="s">
        <v>538</v>
      </c>
      <c r="G26" s="488"/>
      <c r="H26" s="489" t="s">
        <v>844</v>
      </c>
      <c r="I26" s="490">
        <f>I14*I21</f>
        <v>0</v>
      </c>
      <c r="K26" s="19"/>
      <c r="L26" s="473" t="s">
        <v>538</v>
      </c>
      <c r="M26" s="488"/>
      <c r="N26" s="489" t="s">
        <v>844</v>
      </c>
      <c r="O26" s="490">
        <f>O14*O21</f>
        <v>0</v>
      </c>
      <c r="P26" s="633"/>
    </row>
    <row r="27" spans="1:16" ht="17.25" thickBot="1" thickTop="1">
      <c r="A27" s="476" t="s">
        <v>534</v>
      </c>
      <c r="B27" s="491"/>
      <c r="C27" s="491"/>
      <c r="D27" s="595">
        <f>SUM(D24:D26)</f>
        <v>0.10450819741632034</v>
      </c>
      <c r="F27" s="476" t="s">
        <v>534</v>
      </c>
      <c r="G27" s="491"/>
      <c r="H27" s="491"/>
      <c r="I27" s="595">
        <f>SUM(I24:I26)</f>
        <v>0.08691076515203695</v>
      </c>
      <c r="K27" s="19"/>
      <c r="L27" s="476" t="s">
        <v>534</v>
      </c>
      <c r="M27" s="491"/>
      <c r="N27" s="491"/>
      <c r="O27" s="605">
        <f>SUM(O24:O26)</f>
        <v>0.08691076515203695</v>
      </c>
      <c r="P27" s="633"/>
    </row>
    <row r="28" spans="1:16" ht="12.75">
      <c r="A28" s="536"/>
      <c r="B28" s="536"/>
      <c r="C28" s="536"/>
      <c r="D28" s="536"/>
      <c r="F28" s="536"/>
      <c r="G28" s="536"/>
      <c r="H28" s="536"/>
      <c r="I28" s="536"/>
      <c r="K28" s="19"/>
      <c r="P28" s="633"/>
    </row>
    <row r="29" spans="1:16" ht="12.75">
      <c r="A29" s="536"/>
      <c r="B29" s="536"/>
      <c r="C29" s="536"/>
      <c r="D29" s="536"/>
      <c r="F29" s="536"/>
      <c r="G29" s="536"/>
      <c r="H29" s="536"/>
      <c r="I29" s="536"/>
      <c r="K29" s="19"/>
      <c r="P29" s="633"/>
    </row>
    <row r="30" spans="1:16" ht="13.5" thickBot="1">
      <c r="A30" s="536"/>
      <c r="B30" s="536"/>
      <c r="C30" s="536"/>
      <c r="D30" s="536"/>
      <c r="E30" s="536"/>
      <c r="F30" s="536"/>
      <c r="G30" s="536"/>
      <c r="K30" s="19"/>
      <c r="P30" s="633"/>
    </row>
    <row r="31" spans="1:16" ht="12.75">
      <c r="A31" s="492"/>
      <c r="B31" s="493"/>
      <c r="C31" s="494" t="s">
        <v>540</v>
      </c>
      <c r="D31" s="494" t="s">
        <v>541</v>
      </c>
      <c r="F31" s="492"/>
      <c r="G31" s="493"/>
      <c r="H31" s="494" t="s">
        <v>540</v>
      </c>
      <c r="I31" s="494" t="s">
        <v>541</v>
      </c>
      <c r="K31" s="19"/>
      <c r="L31" s="492"/>
      <c r="M31" s="493"/>
      <c r="N31" s="494" t="s">
        <v>540</v>
      </c>
      <c r="O31" s="494" t="s">
        <v>541</v>
      </c>
      <c r="P31" s="633"/>
    </row>
    <row r="32" spans="1:16" ht="12.75">
      <c r="A32" s="495" t="s">
        <v>542</v>
      </c>
      <c r="B32" s="496" t="s">
        <v>543</v>
      </c>
      <c r="C32" s="496" t="s">
        <v>544</v>
      </c>
      <c r="D32" s="496" t="s">
        <v>544</v>
      </c>
      <c r="F32" s="495" t="s">
        <v>542</v>
      </c>
      <c r="G32" s="496" t="s">
        <v>543</v>
      </c>
      <c r="H32" s="496" t="s">
        <v>544</v>
      </c>
      <c r="I32" s="496" t="s">
        <v>544</v>
      </c>
      <c r="K32" s="19"/>
      <c r="L32" s="495" t="s">
        <v>542</v>
      </c>
      <c r="M32" s="496" t="s">
        <v>543</v>
      </c>
      <c r="N32" s="496" t="s">
        <v>544</v>
      </c>
      <c r="O32" s="496" t="s">
        <v>544</v>
      </c>
      <c r="P32" s="633"/>
    </row>
    <row r="33" spans="1:16" ht="13.5" thickBot="1">
      <c r="A33" s="497" t="s">
        <v>291</v>
      </c>
      <c r="B33" s="498" t="s">
        <v>290</v>
      </c>
      <c r="C33" s="498" t="s">
        <v>545</v>
      </c>
      <c r="D33" s="498" t="s">
        <v>275</v>
      </c>
      <c r="F33" s="497" t="s">
        <v>291</v>
      </c>
      <c r="G33" s="498" t="s">
        <v>290</v>
      </c>
      <c r="H33" s="498" t="s">
        <v>545</v>
      </c>
      <c r="I33" s="498" t="s">
        <v>275</v>
      </c>
      <c r="K33" s="19"/>
      <c r="L33" s="497" t="s">
        <v>291</v>
      </c>
      <c r="M33" s="498" t="s">
        <v>290</v>
      </c>
      <c r="N33" s="498" t="s">
        <v>545</v>
      </c>
      <c r="O33" s="498" t="s">
        <v>275</v>
      </c>
      <c r="P33" s="633"/>
    </row>
    <row r="34" spans="1:16" ht="13.5" thickBot="1">
      <c r="A34" s="499" t="s">
        <v>546</v>
      </c>
      <c r="B34" s="500">
        <v>20810000</v>
      </c>
      <c r="C34" s="500">
        <v>593000</v>
      </c>
      <c r="D34" s="501">
        <f>C34/B34</f>
        <v>0.02849591542527631</v>
      </c>
      <c r="F34" s="573" t="s">
        <v>546</v>
      </c>
      <c r="G34" s="630">
        <v>42485000</v>
      </c>
      <c r="H34" s="630">
        <v>1386000</v>
      </c>
      <c r="I34" s="609">
        <f>H34/G34</f>
        <v>0.03262327880428387</v>
      </c>
      <c r="J34" s="19" t="s">
        <v>568</v>
      </c>
      <c r="K34" s="19"/>
      <c r="L34" s="573" t="s">
        <v>546</v>
      </c>
      <c r="M34" s="758">
        <v>42485000</v>
      </c>
      <c r="N34" s="758">
        <v>1386000</v>
      </c>
      <c r="O34" s="609">
        <f>N34/M34</f>
        <v>0.03262327880428387</v>
      </c>
      <c r="P34" s="635" t="s">
        <v>617</v>
      </c>
    </row>
    <row r="35" spans="1:16" ht="13.5" thickBot="1">
      <c r="A35" s="576" t="s">
        <v>590</v>
      </c>
      <c r="B35" s="575"/>
      <c r="C35" s="577"/>
      <c r="D35" s="572">
        <v>0.954989</v>
      </c>
      <c r="F35" s="576" t="s">
        <v>590</v>
      </c>
      <c r="G35" s="575"/>
      <c r="H35" s="577"/>
      <c r="I35" s="631">
        <v>0.955631</v>
      </c>
      <c r="K35" s="19"/>
      <c r="L35" s="576" t="s">
        <v>590</v>
      </c>
      <c r="M35" s="575"/>
      <c r="N35" s="577"/>
      <c r="O35" s="759">
        <v>0.955631</v>
      </c>
      <c r="P35" s="633" t="s">
        <v>771</v>
      </c>
    </row>
    <row r="36" spans="1:16" s="578" customFormat="1" ht="14.25" thickBot="1" thickTop="1">
      <c r="A36" s="591" t="s">
        <v>589</v>
      </c>
      <c r="B36" s="574"/>
      <c r="C36" s="574"/>
      <c r="D36" s="590">
        <f>D34/D35</f>
        <v>0.029838998590849018</v>
      </c>
      <c r="F36" s="591" t="s">
        <v>589</v>
      </c>
      <c r="G36" s="574"/>
      <c r="H36" s="574"/>
      <c r="I36" s="590">
        <f>I34/I35</f>
        <v>0.034137945299267045</v>
      </c>
      <c r="J36" s="19"/>
      <c r="L36" s="591" t="s">
        <v>589</v>
      </c>
      <c r="M36" s="574"/>
      <c r="N36" s="574"/>
      <c r="O36" s="590">
        <f>O34/O35</f>
        <v>0.034137945299267045</v>
      </c>
      <c r="P36" s="633"/>
    </row>
    <row r="37" spans="8:16" s="578" customFormat="1" ht="12.75">
      <c r="H37" s="594"/>
      <c r="J37" s="19"/>
      <c r="L37" s="614"/>
      <c r="M37" s="614"/>
      <c r="N37" s="594"/>
      <c r="O37" s="614"/>
      <c r="P37" s="633"/>
    </row>
    <row r="38" spans="1:16" ht="12.75">
      <c r="A38" s="502" t="s">
        <v>547</v>
      </c>
      <c r="B38" s="536"/>
      <c r="C38" s="536"/>
      <c r="D38" s="536"/>
      <c r="F38" s="502" t="s">
        <v>547</v>
      </c>
      <c r="G38" s="536"/>
      <c r="H38" s="536"/>
      <c r="I38" s="536"/>
      <c r="L38" s="594" t="s">
        <v>547</v>
      </c>
      <c r="P38" s="633"/>
    </row>
    <row r="39" spans="1:16" ht="12.75">
      <c r="A39" s="536"/>
      <c r="B39" s="536"/>
      <c r="C39" s="536"/>
      <c r="D39" s="536"/>
      <c r="F39" s="536"/>
      <c r="G39" s="536"/>
      <c r="H39" s="536"/>
      <c r="I39" s="536"/>
      <c r="P39" s="633"/>
    </row>
    <row r="40" spans="1:16" ht="15.75">
      <c r="A40" s="61" t="s">
        <v>548</v>
      </c>
      <c r="B40" s="503">
        <f>D27+D36</f>
        <v>0.13434719600716935</v>
      </c>
      <c r="C40" s="536"/>
      <c r="D40" s="536"/>
      <c r="F40" s="61" t="s">
        <v>548</v>
      </c>
      <c r="G40" s="503">
        <f>I27+I36</f>
        <v>0.121048710451304</v>
      </c>
      <c r="H40" s="536"/>
      <c r="I40" s="536"/>
      <c r="L40" s="61" t="s">
        <v>548</v>
      </c>
      <c r="M40" s="503">
        <f>O27+O36</f>
        <v>0.121048710451304</v>
      </c>
      <c r="P40" s="633"/>
    </row>
    <row r="41" spans="1:15" ht="12.75">
      <c r="A41" s="159"/>
      <c r="B41" s="159"/>
      <c r="C41" s="159"/>
      <c r="D41" s="159"/>
      <c r="E41" s="159"/>
      <c r="F41" s="159"/>
      <c r="G41" s="159"/>
      <c r="H41" s="159"/>
      <c r="I41" s="159"/>
      <c r="J41" s="267"/>
      <c r="K41" s="159"/>
      <c r="L41" s="584"/>
      <c r="M41" s="584"/>
      <c r="N41" s="584"/>
      <c r="O41" s="584"/>
    </row>
  </sheetData>
  <printOptions/>
  <pageMargins left="0.86" right="0.34" top="0.75" bottom="0.75" header="0.3" footer="0.3"/>
  <pageSetup fitToHeight="1" fitToWidth="1" horizontalDpi="600" verticalDpi="600" orientation="landscape" scale="65"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H29"/>
  <sheetViews>
    <sheetView workbookViewId="0" topLeftCell="A1">
      <selection activeCell="M24" sqref="M24"/>
    </sheetView>
  </sheetViews>
  <sheetFormatPr defaultColWidth="9.28125" defaultRowHeight="12.75"/>
  <cols>
    <col min="1" max="1" width="17.28125" style="694" customWidth="1"/>
    <col min="2" max="2" width="15.7109375" style="694" customWidth="1"/>
    <col min="3" max="3" width="14.00390625" style="694" bestFit="1" customWidth="1"/>
    <col min="4" max="4" width="9.7109375" style="694" bestFit="1" customWidth="1"/>
    <col min="5" max="5" width="5.28125" style="694" bestFit="1" customWidth="1"/>
    <col min="6" max="6" width="2.7109375" style="694" customWidth="1"/>
    <col min="7" max="16384" width="9.28125" style="694" customWidth="1"/>
  </cols>
  <sheetData>
    <row r="3" ht="18">
      <c r="A3" s="747" t="s">
        <v>864</v>
      </c>
    </row>
    <row r="4" ht="18">
      <c r="A4" s="747" t="s">
        <v>865</v>
      </c>
    </row>
    <row r="5" ht="12.75"/>
    <row r="6" spans="1:8" ht="12.75">
      <c r="A6" s="541" t="s">
        <v>866</v>
      </c>
      <c r="B6" s="541" t="s">
        <v>867</v>
      </c>
      <c r="C6" s="541" t="s">
        <v>420</v>
      </c>
      <c r="D6" s="541" t="s">
        <v>105</v>
      </c>
      <c r="E6" s="541"/>
      <c r="F6" s="541"/>
      <c r="G6" s="541"/>
      <c r="H6" s="541"/>
    </row>
    <row r="7" spans="1:8" ht="12.75">
      <c r="A7" s="541"/>
      <c r="B7" s="541" t="s">
        <v>868</v>
      </c>
      <c r="C7" s="541" t="s">
        <v>911</v>
      </c>
      <c r="D7" s="541" t="s">
        <v>869</v>
      </c>
      <c r="E7" s="541" t="s">
        <v>870</v>
      </c>
      <c r="F7" s="541"/>
      <c r="G7" s="541"/>
      <c r="H7" s="541" t="s">
        <v>871</v>
      </c>
    </row>
    <row r="8" spans="1:8" ht="15.75">
      <c r="A8" s="694" t="s">
        <v>872</v>
      </c>
      <c r="B8" s="694">
        <f aca="true" t="shared" si="0" ref="B8:B10">H8</f>
        <v>2</v>
      </c>
      <c r="C8" s="721">
        <v>0.10519</v>
      </c>
      <c r="D8" s="589">
        <f>B8*C8</f>
        <v>0.21038</v>
      </c>
      <c r="E8" s="95" t="s">
        <v>859</v>
      </c>
      <c r="G8" s="694">
        <v>5</v>
      </c>
      <c r="H8" s="694">
        <f>ROUND(12*30*(G8/1000),0)</f>
        <v>2</v>
      </c>
    </row>
    <row r="9" spans="1:8" ht="15.75">
      <c r="A9" s="694" t="s">
        <v>873</v>
      </c>
      <c r="B9" s="694">
        <f t="shared" si="0"/>
        <v>5</v>
      </c>
      <c r="C9" s="721">
        <v>0.10519</v>
      </c>
      <c r="D9" s="589">
        <f aca="true" t="shared" si="1" ref="D9:D29">B9*C9</f>
        <v>0.52595</v>
      </c>
      <c r="E9" s="95" t="s">
        <v>860</v>
      </c>
      <c r="G9" s="694">
        <v>15</v>
      </c>
      <c r="H9" s="694">
        <f aca="true" t="shared" si="2" ref="H9:H10">ROUND(12*30*(G9/1000),0)</f>
        <v>5</v>
      </c>
    </row>
    <row r="10" spans="1:8" ht="15.75">
      <c r="A10" s="694" t="s">
        <v>874</v>
      </c>
      <c r="B10" s="694">
        <f t="shared" si="0"/>
        <v>9</v>
      </c>
      <c r="C10" s="721">
        <v>0.10519</v>
      </c>
      <c r="D10" s="589">
        <f t="shared" si="1"/>
        <v>0.94671</v>
      </c>
      <c r="E10" s="95" t="s">
        <v>861</v>
      </c>
      <c r="G10" s="694">
        <v>25</v>
      </c>
      <c r="H10" s="694">
        <f t="shared" si="2"/>
        <v>9</v>
      </c>
    </row>
    <row r="11" spans="1:8" ht="15.75">
      <c r="A11" s="694" t="s">
        <v>875</v>
      </c>
      <c r="B11" s="694">
        <f>H11</f>
        <v>13</v>
      </c>
      <c r="C11" s="721">
        <v>0.10519</v>
      </c>
      <c r="D11" s="589">
        <f t="shared" si="1"/>
        <v>1.36747</v>
      </c>
      <c r="E11" s="95" t="s">
        <v>862</v>
      </c>
      <c r="G11" s="694">
        <v>35</v>
      </c>
      <c r="H11" s="694">
        <f>ROUND(12*30*(G11/1000),0)</f>
        <v>13</v>
      </c>
    </row>
    <row r="12" spans="1:8" ht="15.75">
      <c r="A12" s="694" t="s">
        <v>876</v>
      </c>
      <c r="B12" s="694">
        <f aca="true" t="shared" si="3" ref="B12:B29">H12</f>
        <v>16</v>
      </c>
      <c r="C12" s="721">
        <v>0.10519</v>
      </c>
      <c r="D12" s="589">
        <f t="shared" si="1"/>
        <v>1.68304</v>
      </c>
      <c r="E12" s="95" t="s">
        <v>863</v>
      </c>
      <c r="G12" s="694">
        <v>45</v>
      </c>
      <c r="H12" s="694">
        <f aca="true" t="shared" si="4" ref="H12:H29">ROUND(12*30*(G12/1000),0)</f>
        <v>16</v>
      </c>
    </row>
    <row r="13" spans="1:8" ht="15.75">
      <c r="A13" s="694" t="s">
        <v>877</v>
      </c>
      <c r="B13" s="694">
        <f t="shared" si="3"/>
        <v>20</v>
      </c>
      <c r="C13" s="721">
        <v>0.10519</v>
      </c>
      <c r="D13" s="589">
        <f t="shared" si="1"/>
        <v>2.1038</v>
      </c>
      <c r="E13" s="95" t="s">
        <v>878</v>
      </c>
      <c r="G13" s="694">
        <v>55</v>
      </c>
      <c r="H13" s="694">
        <f t="shared" si="4"/>
        <v>20</v>
      </c>
    </row>
    <row r="14" spans="1:8" ht="15.75">
      <c r="A14" s="694" t="s">
        <v>879</v>
      </c>
      <c r="B14" s="694">
        <f t="shared" si="3"/>
        <v>23</v>
      </c>
      <c r="C14" s="721">
        <v>0.10519</v>
      </c>
      <c r="D14" s="589">
        <f t="shared" si="1"/>
        <v>2.4193700000000002</v>
      </c>
      <c r="E14" s="95" t="s">
        <v>880</v>
      </c>
      <c r="G14" s="694">
        <v>65</v>
      </c>
      <c r="H14" s="694">
        <f t="shared" si="4"/>
        <v>23</v>
      </c>
    </row>
    <row r="15" spans="1:8" ht="15.75">
      <c r="A15" s="694" t="s">
        <v>881</v>
      </c>
      <c r="B15" s="694">
        <f t="shared" si="3"/>
        <v>27</v>
      </c>
      <c r="C15" s="721">
        <v>0.10519</v>
      </c>
      <c r="D15" s="589">
        <f t="shared" si="1"/>
        <v>2.8401300000000003</v>
      </c>
      <c r="E15" s="95" t="s">
        <v>882</v>
      </c>
      <c r="G15" s="694">
        <v>75</v>
      </c>
      <c r="H15" s="694">
        <f t="shared" si="4"/>
        <v>27</v>
      </c>
    </row>
    <row r="16" spans="1:8" ht="15.75">
      <c r="A16" s="694" t="s">
        <v>883</v>
      </c>
      <c r="B16" s="694">
        <f t="shared" si="3"/>
        <v>31</v>
      </c>
      <c r="C16" s="721">
        <v>0.10519</v>
      </c>
      <c r="D16" s="589">
        <f t="shared" si="1"/>
        <v>3.2608900000000003</v>
      </c>
      <c r="E16" s="95" t="s">
        <v>884</v>
      </c>
      <c r="G16" s="694">
        <v>85</v>
      </c>
      <c r="H16" s="694">
        <f t="shared" si="4"/>
        <v>31</v>
      </c>
    </row>
    <row r="17" spans="1:8" ht="15.75">
      <c r="A17" s="694" t="s">
        <v>885</v>
      </c>
      <c r="B17" s="694">
        <f t="shared" si="3"/>
        <v>34</v>
      </c>
      <c r="C17" s="721">
        <v>0.10519</v>
      </c>
      <c r="D17" s="589">
        <f t="shared" si="1"/>
        <v>3.57646</v>
      </c>
      <c r="E17" s="95" t="s">
        <v>886</v>
      </c>
      <c r="G17" s="694">
        <v>95</v>
      </c>
      <c r="H17" s="694">
        <f t="shared" si="4"/>
        <v>34</v>
      </c>
    </row>
    <row r="18" spans="1:8" ht="15.75">
      <c r="A18" s="694" t="s">
        <v>887</v>
      </c>
      <c r="B18" s="694">
        <f t="shared" si="3"/>
        <v>38</v>
      </c>
      <c r="C18" s="721">
        <v>0.10519</v>
      </c>
      <c r="D18" s="589">
        <f t="shared" si="1"/>
        <v>3.9972200000000004</v>
      </c>
      <c r="E18" s="95" t="s">
        <v>888</v>
      </c>
      <c r="G18" s="694">
        <v>105</v>
      </c>
      <c r="H18" s="694">
        <f t="shared" si="4"/>
        <v>38</v>
      </c>
    </row>
    <row r="19" spans="1:8" ht="15.75">
      <c r="A19" s="694" t="s">
        <v>889</v>
      </c>
      <c r="B19" s="694">
        <f t="shared" si="3"/>
        <v>41</v>
      </c>
      <c r="C19" s="721">
        <v>0.10519</v>
      </c>
      <c r="D19" s="589">
        <f t="shared" si="1"/>
        <v>4.312790000000001</v>
      </c>
      <c r="E19" s="95" t="s">
        <v>890</v>
      </c>
      <c r="G19" s="694">
        <v>115</v>
      </c>
      <c r="H19" s="694">
        <f t="shared" si="4"/>
        <v>41</v>
      </c>
    </row>
    <row r="20" spans="1:8" ht="15.75">
      <c r="A20" s="694" t="s">
        <v>891</v>
      </c>
      <c r="B20" s="694">
        <f>H20</f>
        <v>45</v>
      </c>
      <c r="C20" s="721">
        <v>0.10519</v>
      </c>
      <c r="D20" s="589">
        <f>B20*C20</f>
        <v>4.73355</v>
      </c>
      <c r="E20" s="95" t="s">
        <v>892</v>
      </c>
      <c r="G20" s="694">
        <v>125</v>
      </c>
      <c r="H20" s="694">
        <f>ROUND(12*30*(G20/1000),0)</f>
        <v>45</v>
      </c>
    </row>
    <row r="21" spans="1:8" ht="15.75">
      <c r="A21" s="694" t="s">
        <v>893</v>
      </c>
      <c r="B21" s="694">
        <f t="shared" si="3"/>
        <v>49</v>
      </c>
      <c r="C21" s="721">
        <v>0.10519</v>
      </c>
      <c r="D21" s="589">
        <f t="shared" si="1"/>
        <v>5.154310000000001</v>
      </c>
      <c r="E21" s="95" t="s">
        <v>894</v>
      </c>
      <c r="G21" s="694">
        <v>135</v>
      </c>
      <c r="H21" s="694">
        <f t="shared" si="4"/>
        <v>49</v>
      </c>
    </row>
    <row r="22" spans="1:8" ht="15.75">
      <c r="A22" s="694" t="s">
        <v>895</v>
      </c>
      <c r="B22" s="694">
        <f t="shared" si="3"/>
        <v>52</v>
      </c>
      <c r="C22" s="721">
        <v>0.10519</v>
      </c>
      <c r="D22" s="589">
        <f t="shared" si="1"/>
        <v>5.46988</v>
      </c>
      <c r="E22" s="95" t="s">
        <v>896</v>
      </c>
      <c r="G22" s="694">
        <v>145</v>
      </c>
      <c r="H22" s="694">
        <f t="shared" si="4"/>
        <v>52</v>
      </c>
    </row>
    <row r="23" spans="1:8" ht="15.75">
      <c r="A23" s="694" t="s">
        <v>897</v>
      </c>
      <c r="B23" s="694">
        <f t="shared" si="3"/>
        <v>56</v>
      </c>
      <c r="C23" s="721">
        <v>0.10519</v>
      </c>
      <c r="D23" s="589">
        <f t="shared" si="1"/>
        <v>5.89064</v>
      </c>
      <c r="E23" s="95" t="s">
        <v>898</v>
      </c>
      <c r="G23" s="694">
        <v>155</v>
      </c>
      <c r="H23" s="694">
        <f t="shared" si="4"/>
        <v>56</v>
      </c>
    </row>
    <row r="24" spans="1:8" ht="15.75">
      <c r="A24" s="694" t="s">
        <v>899</v>
      </c>
      <c r="B24" s="694">
        <f t="shared" si="3"/>
        <v>59</v>
      </c>
      <c r="C24" s="721">
        <v>0.10519</v>
      </c>
      <c r="D24" s="589">
        <f t="shared" si="1"/>
        <v>6.2062100000000004</v>
      </c>
      <c r="E24" s="95" t="s">
        <v>900</v>
      </c>
      <c r="G24" s="694">
        <v>165</v>
      </c>
      <c r="H24" s="694">
        <f t="shared" si="4"/>
        <v>59</v>
      </c>
    </row>
    <row r="25" spans="1:8" ht="15.75">
      <c r="A25" s="694" t="s">
        <v>901</v>
      </c>
      <c r="B25" s="694">
        <f t="shared" si="3"/>
        <v>63</v>
      </c>
      <c r="C25" s="721">
        <v>0.10519</v>
      </c>
      <c r="D25" s="589">
        <f t="shared" si="1"/>
        <v>6.62697</v>
      </c>
      <c r="E25" s="95" t="s">
        <v>902</v>
      </c>
      <c r="G25" s="694">
        <v>175</v>
      </c>
      <c r="H25" s="694">
        <f t="shared" si="4"/>
        <v>63</v>
      </c>
    </row>
    <row r="26" spans="1:8" ht="15.75">
      <c r="A26" s="694" t="s">
        <v>903</v>
      </c>
      <c r="B26" s="694">
        <f t="shared" si="3"/>
        <v>67</v>
      </c>
      <c r="C26" s="721">
        <v>0.10519</v>
      </c>
      <c r="D26" s="589">
        <f t="shared" si="1"/>
        <v>7.0477300000000005</v>
      </c>
      <c r="E26" s="95" t="s">
        <v>904</v>
      </c>
      <c r="G26" s="694">
        <v>185</v>
      </c>
      <c r="H26" s="694">
        <f t="shared" si="4"/>
        <v>67</v>
      </c>
    </row>
    <row r="27" spans="1:8" ht="15.75">
      <c r="A27" s="694" t="s">
        <v>905</v>
      </c>
      <c r="B27" s="694">
        <f t="shared" si="3"/>
        <v>70</v>
      </c>
      <c r="C27" s="721">
        <v>0.10519</v>
      </c>
      <c r="D27" s="589">
        <f t="shared" si="1"/>
        <v>7.363300000000001</v>
      </c>
      <c r="E27" s="95" t="s">
        <v>906</v>
      </c>
      <c r="G27" s="694">
        <v>195</v>
      </c>
      <c r="H27" s="694">
        <f t="shared" si="4"/>
        <v>70</v>
      </c>
    </row>
    <row r="28" spans="1:8" ht="15.75">
      <c r="A28" s="694" t="s">
        <v>907</v>
      </c>
      <c r="B28" s="694">
        <f t="shared" si="3"/>
        <v>77</v>
      </c>
      <c r="C28" s="721">
        <v>0.10519</v>
      </c>
      <c r="D28" s="589">
        <f t="shared" si="1"/>
        <v>8.099630000000001</v>
      </c>
      <c r="E28" s="95" t="s">
        <v>908</v>
      </c>
      <c r="G28" s="722">
        <v>212.5</v>
      </c>
      <c r="H28" s="694">
        <f>ROUND(12*30*(G28/1000),0)</f>
        <v>77</v>
      </c>
    </row>
    <row r="29" spans="1:8" ht="15.75">
      <c r="A29" s="694" t="s">
        <v>909</v>
      </c>
      <c r="B29" s="694">
        <f t="shared" si="3"/>
        <v>86</v>
      </c>
      <c r="C29" s="721">
        <v>0.10519</v>
      </c>
      <c r="D29" s="589">
        <f t="shared" si="1"/>
        <v>9.04634</v>
      </c>
      <c r="E29" s="95" t="s">
        <v>910</v>
      </c>
      <c r="G29" s="722">
        <v>237.5</v>
      </c>
      <c r="H29" s="694">
        <f t="shared" si="4"/>
        <v>86</v>
      </c>
    </row>
  </sheetData>
  <printOptions/>
  <pageMargins left="0.7" right="0.7" top="0.75" bottom="0.75" header="0.3" footer="0.3"/>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3:S115"/>
  <sheetViews>
    <sheetView workbookViewId="0" topLeftCell="A1">
      <selection activeCell="C7" sqref="C7"/>
    </sheetView>
  </sheetViews>
  <sheetFormatPr defaultColWidth="9.28125" defaultRowHeight="12.75"/>
  <cols>
    <col min="1" max="1" width="11.7109375" style="409" customWidth="1"/>
    <col min="2" max="2" width="16.57421875" style="409" bestFit="1" customWidth="1"/>
    <col min="3" max="12" width="12.7109375" style="409" bestFit="1" customWidth="1"/>
    <col min="13" max="13" width="12.28125" style="409" bestFit="1" customWidth="1"/>
    <col min="14" max="14" width="12.7109375" style="409" bestFit="1" customWidth="1"/>
    <col min="15" max="15" width="14.57421875" style="409" bestFit="1" customWidth="1"/>
    <col min="16" max="16" width="10.7109375" style="409" bestFit="1" customWidth="1"/>
    <col min="17" max="17" width="9.28125" style="409" customWidth="1"/>
    <col min="18" max="18" width="14.00390625" style="409" bestFit="1" customWidth="1"/>
    <col min="19" max="16384" width="9.28125" style="409" customWidth="1"/>
  </cols>
  <sheetData>
    <row r="3" ht="12.75">
      <c r="A3" s="409" t="s">
        <v>517</v>
      </c>
    </row>
    <row r="4" spans="3:15" ht="12.75">
      <c r="C4" s="541" t="s">
        <v>496</v>
      </c>
      <c r="D4" s="541" t="s">
        <v>497</v>
      </c>
      <c r="E4" s="541" t="s">
        <v>498</v>
      </c>
      <c r="F4" s="541" t="s">
        <v>499</v>
      </c>
      <c r="G4" s="541" t="s">
        <v>500</v>
      </c>
      <c r="H4" s="541" t="s">
        <v>501</v>
      </c>
      <c r="I4" s="541" t="s">
        <v>490</v>
      </c>
      <c r="J4" s="541" t="s">
        <v>491</v>
      </c>
      <c r="K4" s="541" t="s">
        <v>492</v>
      </c>
      <c r="L4" s="541" t="s">
        <v>493</v>
      </c>
      <c r="M4" s="541" t="s">
        <v>494</v>
      </c>
      <c r="N4" s="541" t="s">
        <v>495</v>
      </c>
      <c r="O4" s="35" t="s">
        <v>502</v>
      </c>
    </row>
    <row r="5" ht="12.75">
      <c r="A5" s="409" t="s">
        <v>503</v>
      </c>
    </row>
    <row r="6" spans="1:15" ht="12.75">
      <c r="A6" s="19"/>
      <c r="B6" s="35" t="s">
        <v>702</v>
      </c>
      <c r="O6" s="413"/>
    </row>
    <row r="7" spans="2:19" ht="12.75">
      <c r="B7" s="409" t="s">
        <v>504</v>
      </c>
      <c r="C7" s="414">
        <f>'REVRUNS 12ME1219'!D55+'REVRUNS 12ME1219'!D70</f>
        <v>150521497.73298</v>
      </c>
      <c r="D7" s="414">
        <f>'REVRUNS 12ME1219'!E55+'REVRUNS 12ME1219'!E70</f>
        <v>142827945.669</v>
      </c>
      <c r="E7" s="414">
        <f>'REVRUNS 12ME1219'!F55+'REVRUNS 12ME1219'!F70</f>
        <v>150371493.72188</v>
      </c>
      <c r="F7" s="414">
        <f>'REVRUNS 12ME1219'!G55+'REVRUNS 12ME1219'!G70</f>
        <v>133502792.49804</v>
      </c>
      <c r="G7" s="414">
        <f>'REVRUNS 12ME1219'!H55+'REVRUNS 12ME1219'!H70</f>
        <v>126403425.97394</v>
      </c>
      <c r="H7" s="414">
        <f>'REVRUNS 12ME1219'!I55+'REVRUNS 12ME1219'!I70</f>
        <v>121620287.59674999</v>
      </c>
      <c r="I7" s="414">
        <f>'REVRUNS 12ME1219'!J55+'REVRUNS 12ME1219'!J70</f>
        <v>127081653.93531999</v>
      </c>
      <c r="J7" s="414">
        <f>'REVRUNS 12ME1219'!K55+'REVRUNS 12ME1219'!K70</f>
        <v>132306245.95862</v>
      </c>
      <c r="K7" s="414">
        <f>'REVRUNS 12ME1219'!L55+'REVRUNS 12ME1219'!L70</f>
        <v>128702746.16773</v>
      </c>
      <c r="L7" s="414">
        <f>'REVRUNS 12ME1219'!M55+'REVRUNS 12ME1219'!M70</f>
        <v>131517034.25931</v>
      </c>
      <c r="M7" s="414">
        <f>'REVRUNS 12ME1219'!N55+'REVRUNS 12ME1219'!N70</f>
        <v>137443756.74181</v>
      </c>
      <c r="N7" s="414">
        <f>'REVRUNS 12ME1219'!O55+'REVRUNS 12ME1219'!O70</f>
        <v>150343194.24575</v>
      </c>
      <c r="O7" s="413">
        <f>SUM(C7:N7)</f>
        <v>1632642074.50113</v>
      </c>
      <c r="R7" s="43">
        <v>0</v>
      </c>
      <c r="S7" s="424" t="e">
        <f>R7/$R$10</f>
        <v>#DIV/0!</v>
      </c>
    </row>
    <row r="8" spans="2:19" ht="12.75">
      <c r="B8" s="409" t="s">
        <v>505</v>
      </c>
      <c r="C8" s="414">
        <f>'REVRUNS 12ME1219'!D56+'REVRUNS 12ME1219'!D71</f>
        <v>65384022.025019996</v>
      </c>
      <c r="D8" s="414">
        <f>'REVRUNS 12ME1219'!E56+'REVRUNS 12ME1219'!E71</f>
        <v>58184607.883999996</v>
      </c>
      <c r="E8" s="414">
        <f>'REVRUNS 12ME1219'!F56+'REVRUNS 12ME1219'!F71</f>
        <v>63280736.52512</v>
      </c>
      <c r="F8" s="414">
        <f>'REVRUNS 12ME1219'!G56+'REVRUNS 12ME1219'!G71</f>
        <v>37793261.21296</v>
      </c>
      <c r="G8" s="414">
        <f>'REVRUNS 12ME1219'!H56+'REVRUNS 12ME1219'!H71</f>
        <v>25238194.36206</v>
      </c>
      <c r="H8" s="414">
        <f>'REVRUNS 12ME1219'!I56+'REVRUNS 12ME1219'!I71</f>
        <v>22826177.73525</v>
      </c>
      <c r="I8" s="414">
        <f>'REVRUNS 12ME1219'!J56+'REVRUNS 12ME1219'!J71</f>
        <v>30356117.66468</v>
      </c>
      <c r="J8" s="414">
        <f>'REVRUNS 12ME1219'!K56+'REVRUNS 12ME1219'!K71</f>
        <v>37629491.04738</v>
      </c>
      <c r="K8" s="414">
        <f>'REVRUNS 12ME1219'!L56+'REVRUNS 12ME1219'!L71</f>
        <v>34712830.572270006</v>
      </c>
      <c r="L8" s="414">
        <f>'REVRUNS 12ME1219'!M56+'REVRUNS 12ME1219'!M71</f>
        <v>27135846.21469</v>
      </c>
      <c r="M8" s="414">
        <f>'REVRUNS 12ME1219'!N56+'REVRUNS 12ME1219'!N71</f>
        <v>40096855.794190004</v>
      </c>
      <c r="N8" s="414">
        <f>'REVRUNS 12ME1219'!O56+'REVRUNS 12ME1219'!O71</f>
        <v>61915473.83525</v>
      </c>
      <c r="O8" s="413">
        <f>SUM(C8:N8)</f>
        <v>504553614.87287</v>
      </c>
      <c r="R8" s="43">
        <v>0</v>
      </c>
      <c r="S8" s="424" t="e">
        <f>R8/$R$10</f>
        <v>#DIV/0!</v>
      </c>
    </row>
    <row r="9" spans="2:19" ht="12.75">
      <c r="B9" s="409" t="s">
        <v>516</v>
      </c>
      <c r="C9" s="414">
        <f>'REVRUNS 12ME1219'!D57+'REVRUNS 12ME1219'!D72</f>
        <v>52519538.243</v>
      </c>
      <c r="D9" s="414">
        <f>'REVRUNS 12ME1219'!E57+'REVRUNS 12ME1219'!E72</f>
        <v>47451088.742000006</v>
      </c>
      <c r="E9" s="414">
        <f>'REVRUNS 12ME1219'!F57+'REVRUNS 12ME1219'!F72</f>
        <v>58442474.133</v>
      </c>
      <c r="F9" s="414">
        <f>'REVRUNS 12ME1219'!G57+'REVRUNS 12ME1219'!G72</f>
        <v>17961335.528</v>
      </c>
      <c r="G9" s="414">
        <f>'REVRUNS 12ME1219'!H57+'REVRUNS 12ME1219'!H72</f>
        <v>7495673.906</v>
      </c>
      <c r="H9" s="414">
        <f>'REVRUNS 12ME1219'!I57+'REVRUNS 12ME1219'!I72</f>
        <v>6194426.025</v>
      </c>
      <c r="I9" s="414">
        <f>'REVRUNS 12ME1219'!J57+'REVRUNS 12ME1219'!J72</f>
        <v>9573679.728</v>
      </c>
      <c r="J9" s="414">
        <f>'REVRUNS 12ME1219'!K57+'REVRUNS 12ME1219'!K72</f>
        <v>12905860.596</v>
      </c>
      <c r="K9" s="414">
        <f>'REVRUNS 12ME1219'!L57+'REVRUNS 12ME1219'!L72</f>
        <v>12088453.002</v>
      </c>
      <c r="L9" s="414">
        <f>'REVRUNS 12ME1219'!M57+'REVRUNS 12ME1219'!M72</f>
        <v>8337490.223</v>
      </c>
      <c r="M9" s="414">
        <f>'REVRUNS 12ME1219'!N57+'REVRUNS 12ME1219'!N72</f>
        <v>19600956.425</v>
      </c>
      <c r="N9" s="414">
        <f>'REVRUNS 12ME1219'!O57+'REVRUNS 12ME1219'!O72</f>
        <v>46502343.906</v>
      </c>
      <c r="O9" s="413">
        <f>SUM(C9:N9)</f>
        <v>299073320.457</v>
      </c>
      <c r="R9" s="423">
        <v>0</v>
      </c>
      <c r="S9" s="425" t="e">
        <f>R9/$R$10</f>
        <v>#DIV/0!</v>
      </c>
    </row>
    <row r="10" spans="1:19" ht="12.75">
      <c r="A10" s="409" t="s">
        <v>506</v>
      </c>
      <c r="B10" s="35" t="s">
        <v>66</v>
      </c>
      <c r="C10" s="415">
        <f>SUM(C7:C9)</f>
        <v>268425058.00100002</v>
      </c>
      <c r="D10" s="415">
        <f aca="true" t="shared" si="0" ref="D10:O10">SUM(D7:D9)</f>
        <v>248463642.29500002</v>
      </c>
      <c r="E10" s="415">
        <f t="shared" si="0"/>
        <v>272094704.38</v>
      </c>
      <c r="F10" s="415">
        <f t="shared" si="0"/>
        <v>189257389.239</v>
      </c>
      <c r="G10" s="415">
        <f t="shared" si="0"/>
        <v>159137294.24199998</v>
      </c>
      <c r="H10" s="415">
        <f t="shared" si="0"/>
        <v>150640891.357</v>
      </c>
      <c r="I10" s="415">
        <f t="shared" si="0"/>
        <v>167011451.328</v>
      </c>
      <c r="J10" s="415">
        <f t="shared" si="0"/>
        <v>182841597.602</v>
      </c>
      <c r="K10" s="415">
        <f t="shared" si="0"/>
        <v>175504029.742</v>
      </c>
      <c r="L10" s="415">
        <f t="shared" si="0"/>
        <v>166990370.697</v>
      </c>
      <c r="M10" s="415">
        <f t="shared" si="0"/>
        <v>197141568.96100003</v>
      </c>
      <c r="N10" s="415">
        <f t="shared" si="0"/>
        <v>258761011.987</v>
      </c>
      <c r="O10" s="415">
        <f t="shared" si="0"/>
        <v>2436269009.8310003</v>
      </c>
      <c r="R10" s="43">
        <f>SUM(R7:R9)</f>
        <v>0</v>
      </c>
      <c r="S10" s="85" t="e">
        <f>SUM(S7:S9)</f>
        <v>#DIV/0!</v>
      </c>
    </row>
    <row r="11" spans="2:15" ht="12.75">
      <c r="B11" s="409" t="s">
        <v>507</v>
      </c>
      <c r="C11" s="547">
        <f>'REVRUNS 12ME1219'!C36</f>
        <v>218072</v>
      </c>
      <c r="D11" s="547">
        <f>'REVRUNS 12ME1219'!D36</f>
        <v>211902</v>
      </c>
      <c r="E11" s="547">
        <f>'REVRUNS 12ME1219'!E36</f>
        <v>222747</v>
      </c>
      <c r="F11" s="547">
        <f>'REVRUNS 12ME1219'!F36</f>
        <v>215993</v>
      </c>
      <c r="G11" s="547">
        <f>'REVRUNS 12ME1219'!G36</f>
        <v>220087</v>
      </c>
      <c r="H11" s="547">
        <f>'REVRUNS 12ME1219'!H36</f>
        <v>217384</v>
      </c>
      <c r="I11" s="547">
        <f>'REVRUNS 12ME1219'!I36</f>
        <v>217872</v>
      </c>
      <c r="J11" s="547">
        <f>'REVRUNS 12ME1219'!J36</f>
        <v>218567</v>
      </c>
      <c r="K11" s="547">
        <f>'REVRUNS 12ME1219'!K36</f>
        <v>212455</v>
      </c>
      <c r="L11" s="547">
        <f>'REVRUNS 12ME1219'!L36</f>
        <v>225200</v>
      </c>
      <c r="M11" s="547">
        <f>'REVRUNS 12ME1219'!M36</f>
        <v>219433</v>
      </c>
      <c r="N11" s="547">
        <f>'REVRUNS 12ME1219'!N36</f>
        <v>219805</v>
      </c>
      <c r="O11" s="43">
        <f>SUM(C11:N11)</f>
        <v>2619517</v>
      </c>
    </row>
    <row r="12" spans="2:15" ht="12.75">
      <c r="B12" s="409" t="s">
        <v>508</v>
      </c>
      <c r="C12" s="413">
        <f>C11*800</f>
        <v>174457600</v>
      </c>
      <c r="D12" s="413">
        <f aca="true" t="shared" si="1" ref="D12:N12">D11*800</f>
        <v>169521600</v>
      </c>
      <c r="E12" s="413">
        <f t="shared" si="1"/>
        <v>178197600</v>
      </c>
      <c r="F12" s="413">
        <f t="shared" si="1"/>
        <v>172794400</v>
      </c>
      <c r="G12" s="413">
        <f t="shared" si="1"/>
        <v>176069600</v>
      </c>
      <c r="H12" s="413">
        <f t="shared" si="1"/>
        <v>173907200</v>
      </c>
      <c r="I12" s="413">
        <f t="shared" si="1"/>
        <v>174297600</v>
      </c>
      <c r="J12" s="413">
        <f t="shared" si="1"/>
        <v>174853600</v>
      </c>
      <c r="K12" s="413">
        <f t="shared" si="1"/>
        <v>169964000</v>
      </c>
      <c r="L12" s="413">
        <f t="shared" si="1"/>
        <v>180160000</v>
      </c>
      <c r="M12" s="413">
        <f t="shared" si="1"/>
        <v>175546400</v>
      </c>
      <c r="N12" s="413">
        <f t="shared" si="1"/>
        <v>175844000</v>
      </c>
      <c r="O12" s="43">
        <f>SUM(C12:N12)</f>
        <v>2095613600</v>
      </c>
    </row>
    <row r="13" spans="2:15" ht="12.75">
      <c r="B13" s="409" t="s">
        <v>95</v>
      </c>
      <c r="C13" s="547">
        <f>'REVRUNS 12ME1219'!D282</f>
        <v>268421353.00100002</v>
      </c>
      <c r="D13" s="547">
        <f>'REVRUNS 12ME1219'!E282</f>
        <v>248463642.29500002</v>
      </c>
      <c r="E13" s="547">
        <f>'REVRUNS 12ME1219'!F282</f>
        <v>272094704.38</v>
      </c>
      <c r="F13" s="547">
        <f>'REVRUNS 12ME1219'!G282</f>
        <v>189257389.239</v>
      </c>
      <c r="G13" s="547">
        <f>'REVRUNS 12ME1219'!H282</f>
        <v>159137014.24199998</v>
      </c>
      <c r="H13" s="547">
        <f>'REVRUNS 12ME1219'!I282</f>
        <v>150640891.357</v>
      </c>
      <c r="I13" s="547">
        <f>'REVRUNS 12ME1219'!J282</f>
        <v>167011451.32799998</v>
      </c>
      <c r="J13" s="547">
        <f>'REVRUNS 12ME1219'!K282</f>
        <v>182841597.602</v>
      </c>
      <c r="K13" s="547">
        <f>'REVRUNS 12ME1219'!L282</f>
        <v>175504029.742</v>
      </c>
      <c r="L13" s="547">
        <f>'REVRUNS 12ME1219'!M282</f>
        <v>166990370.697</v>
      </c>
      <c r="M13" s="547">
        <f>'REVRUNS 12ME1219'!N282</f>
        <v>197141568.961</v>
      </c>
      <c r="N13" s="547">
        <f>'REVRUNS 12ME1219'!O282</f>
        <v>258761011.98700002</v>
      </c>
      <c r="O13" s="43">
        <f>SUM(C13:N13)</f>
        <v>2436265024.8310003</v>
      </c>
    </row>
    <row r="14" spans="2:16" ht="12.75">
      <c r="B14" s="409" t="s">
        <v>519</v>
      </c>
      <c r="C14" s="413">
        <f>C13-C10</f>
        <v>-3705</v>
      </c>
      <c r="D14" s="413">
        <f aca="true" t="shared" si="2" ref="D14:N14">D13-D10</f>
        <v>0</v>
      </c>
      <c r="E14" s="413">
        <f t="shared" si="2"/>
        <v>0</v>
      </c>
      <c r="F14" s="413">
        <f t="shared" si="2"/>
        <v>0</v>
      </c>
      <c r="G14" s="413">
        <f t="shared" si="2"/>
        <v>-280</v>
      </c>
      <c r="H14" s="413">
        <f t="shared" si="2"/>
        <v>0</v>
      </c>
      <c r="I14" s="416">
        <f t="shared" si="2"/>
        <v>0</v>
      </c>
      <c r="J14" s="416">
        <f t="shared" si="2"/>
        <v>0</v>
      </c>
      <c r="K14" s="416">
        <f t="shared" si="2"/>
        <v>0</v>
      </c>
      <c r="L14" s="416">
        <f t="shared" si="2"/>
        <v>0</v>
      </c>
      <c r="M14" s="416">
        <f t="shared" si="2"/>
        <v>0</v>
      </c>
      <c r="N14" s="416">
        <f t="shared" si="2"/>
        <v>0</v>
      </c>
      <c r="O14" s="43">
        <f>SUM(C14:N14)</f>
        <v>-3985</v>
      </c>
      <c r="P14" s="417">
        <f>O14/O13</f>
        <v>-1.6357005331455812E-06</v>
      </c>
    </row>
    <row r="15" spans="3:16" ht="12.75">
      <c r="C15" s="413"/>
      <c r="D15" s="413"/>
      <c r="E15" s="413"/>
      <c r="F15" s="413"/>
      <c r="G15" s="413"/>
      <c r="H15" s="413"/>
      <c r="I15" s="416"/>
      <c r="J15" s="416"/>
      <c r="K15" s="416"/>
      <c r="L15" s="416"/>
      <c r="M15" s="416"/>
      <c r="N15" s="416"/>
      <c r="O15" s="43"/>
      <c r="P15" s="417"/>
    </row>
    <row r="16" spans="2:16" ht="12.75">
      <c r="B16" s="409" t="s">
        <v>504</v>
      </c>
      <c r="C16" s="419">
        <f>(C7/C$10)*C$14</f>
        <v>-2077.6083770041073</v>
      </c>
      <c r="D16" s="419">
        <f>(D7/D$10)*D$14</f>
        <v>0</v>
      </c>
      <c r="E16" s="419">
        <f>(E7/E$10)*E$14</f>
        <v>0</v>
      </c>
      <c r="F16" s="419">
        <f>(F7/F$10)*F$14</f>
        <v>0</v>
      </c>
      <c r="G16" s="419">
        <f>(G7/G$10)*G$14</f>
        <v>-222.40518441190252</v>
      </c>
      <c r="H16" s="419">
        <f aca="true" t="shared" si="3" ref="H16:N16">(H7/H$10)*H$14</f>
        <v>0</v>
      </c>
      <c r="I16" s="419">
        <f t="shared" si="3"/>
        <v>0</v>
      </c>
      <c r="J16" s="419">
        <f t="shared" si="3"/>
        <v>0</v>
      </c>
      <c r="K16" s="419">
        <f t="shared" si="3"/>
        <v>0</v>
      </c>
      <c r="L16" s="419">
        <f t="shared" si="3"/>
        <v>0</v>
      </c>
      <c r="M16" s="419">
        <f>(M7/M$10)*M$14</f>
        <v>0</v>
      </c>
      <c r="N16" s="419">
        <f t="shared" si="3"/>
        <v>0</v>
      </c>
      <c r="O16" s="419">
        <f>SUM(C16:N16)</f>
        <v>-2300.01356141601</v>
      </c>
      <c r="P16" s="417"/>
    </row>
    <row r="17" spans="2:16" ht="12.75">
      <c r="B17" s="409" t="s">
        <v>505</v>
      </c>
      <c r="C17" s="419">
        <f aca="true" t="shared" si="4" ref="C17:F18">(C8/C$10)*C$14</f>
        <v>-902.478343142601</v>
      </c>
      <c r="D17" s="419">
        <f t="shared" si="4"/>
        <v>0</v>
      </c>
      <c r="E17" s="419">
        <f t="shared" si="4"/>
        <v>0</v>
      </c>
      <c r="F17" s="419">
        <f t="shared" si="4"/>
        <v>0</v>
      </c>
      <c r="G17" s="419">
        <f aca="true" t="shared" si="5" ref="G17:N17">(G8/G$10)*G$14</f>
        <v>-44.40627481469229</v>
      </c>
      <c r="H17" s="419">
        <f t="shared" si="5"/>
        <v>0</v>
      </c>
      <c r="I17" s="419">
        <f t="shared" si="5"/>
        <v>0</v>
      </c>
      <c r="J17" s="419">
        <f t="shared" si="5"/>
        <v>0</v>
      </c>
      <c r="K17" s="419">
        <f t="shared" si="5"/>
        <v>0</v>
      </c>
      <c r="L17" s="419">
        <f t="shared" si="5"/>
        <v>0</v>
      </c>
      <c r="M17" s="419">
        <f t="shared" si="5"/>
        <v>0</v>
      </c>
      <c r="N17" s="419">
        <f t="shared" si="5"/>
        <v>0</v>
      </c>
      <c r="O17" s="419">
        <f>SUM(C17:N17)</f>
        <v>-946.8846179572934</v>
      </c>
      <c r="P17" s="417"/>
    </row>
    <row r="18" spans="2:16" ht="12.75">
      <c r="B18" s="409" t="s">
        <v>516</v>
      </c>
      <c r="C18" s="420">
        <f t="shared" si="4"/>
        <v>-724.9132798532918</v>
      </c>
      <c r="D18" s="420">
        <f t="shared" si="4"/>
        <v>0</v>
      </c>
      <c r="E18" s="420">
        <f t="shared" si="4"/>
        <v>0</v>
      </c>
      <c r="F18" s="420">
        <f t="shared" si="4"/>
        <v>0</v>
      </c>
      <c r="G18" s="420">
        <f aca="true" t="shared" si="6" ref="G18:N18">(G9/G$10)*G$14</f>
        <v>-13.188540773405219</v>
      </c>
      <c r="H18" s="420">
        <f t="shared" si="6"/>
        <v>0</v>
      </c>
      <c r="I18" s="420">
        <f t="shared" si="6"/>
        <v>0</v>
      </c>
      <c r="J18" s="420">
        <f t="shared" si="6"/>
        <v>0</v>
      </c>
      <c r="K18" s="420">
        <f t="shared" si="6"/>
        <v>0</v>
      </c>
      <c r="L18" s="420">
        <f t="shared" si="6"/>
        <v>0</v>
      </c>
      <c r="M18" s="420">
        <f t="shared" si="6"/>
        <v>0</v>
      </c>
      <c r="N18" s="420">
        <f t="shared" si="6"/>
        <v>0</v>
      </c>
      <c r="O18" s="420">
        <f>SUM(C18:N18)</f>
        <v>-738.101820626697</v>
      </c>
      <c r="P18" s="417"/>
    </row>
    <row r="19" spans="3:16" ht="12.75">
      <c r="C19" s="419">
        <f aca="true" t="shared" si="7" ref="C19:O19">SUM(C16:C18)</f>
        <v>-3705</v>
      </c>
      <c r="D19" s="419">
        <f t="shared" si="7"/>
        <v>0</v>
      </c>
      <c r="E19" s="419">
        <f t="shared" si="7"/>
        <v>0</v>
      </c>
      <c r="F19" s="419">
        <f t="shared" si="7"/>
        <v>0</v>
      </c>
      <c r="G19" s="419">
        <f t="shared" si="7"/>
        <v>-280.00000000000006</v>
      </c>
      <c r="H19" s="419">
        <f t="shared" si="7"/>
        <v>0</v>
      </c>
      <c r="I19" s="419">
        <f t="shared" si="7"/>
        <v>0</v>
      </c>
      <c r="J19" s="419">
        <f t="shared" si="7"/>
        <v>0</v>
      </c>
      <c r="K19" s="419">
        <f t="shared" si="7"/>
        <v>0</v>
      </c>
      <c r="L19" s="419">
        <f t="shared" si="7"/>
        <v>0</v>
      </c>
      <c r="M19" s="419">
        <f t="shared" si="7"/>
        <v>0</v>
      </c>
      <c r="N19" s="419">
        <f t="shared" si="7"/>
        <v>0</v>
      </c>
      <c r="O19" s="419">
        <f t="shared" si="7"/>
        <v>-3985</v>
      </c>
      <c r="P19" s="417"/>
    </row>
    <row r="20" spans="3:16" ht="12.75">
      <c r="C20" s="419"/>
      <c r="D20" s="419"/>
      <c r="E20" s="419"/>
      <c r="F20" s="419"/>
      <c r="G20" s="419"/>
      <c r="H20" s="419"/>
      <c r="I20" s="419"/>
      <c r="J20" s="419"/>
      <c r="K20" s="419"/>
      <c r="L20" s="419"/>
      <c r="M20" s="419"/>
      <c r="N20" s="419"/>
      <c r="O20" s="419"/>
      <c r="P20" s="417"/>
    </row>
    <row r="21" spans="2:16" ht="12.75">
      <c r="B21" s="409" t="s">
        <v>504</v>
      </c>
      <c r="C21" s="419">
        <f>C7+C16</f>
        <v>150519420.124603</v>
      </c>
      <c r="D21" s="419">
        <f>D7+D16</f>
        <v>142827945.669</v>
      </c>
      <c r="E21" s="419">
        <f>E7+E16</f>
        <v>150371493.72188</v>
      </c>
      <c r="F21" s="419">
        <f>F7+F16</f>
        <v>133502792.49804</v>
      </c>
      <c r="G21" s="419">
        <f>G7+G16</f>
        <v>126403203.56875558</v>
      </c>
      <c r="H21" s="419">
        <f aca="true" t="shared" si="8" ref="H21:N21">H7+H16</f>
        <v>121620287.59674999</v>
      </c>
      <c r="I21" s="419">
        <f t="shared" si="8"/>
        <v>127081653.93531999</v>
      </c>
      <c r="J21" s="419">
        <f t="shared" si="8"/>
        <v>132306245.95862</v>
      </c>
      <c r="K21" s="419">
        <f t="shared" si="8"/>
        <v>128702746.16773</v>
      </c>
      <c r="L21" s="419">
        <f t="shared" si="8"/>
        <v>131517034.25931</v>
      </c>
      <c r="M21" s="419">
        <f t="shared" si="8"/>
        <v>137443756.74181</v>
      </c>
      <c r="N21" s="419">
        <f t="shared" si="8"/>
        <v>150343194.24575</v>
      </c>
      <c r="O21" s="419">
        <f>SUM(C21:N21)</f>
        <v>1632639774.4875689</v>
      </c>
      <c r="P21" s="417"/>
    </row>
    <row r="22" spans="2:16" ht="12.75">
      <c r="B22" s="409" t="s">
        <v>505</v>
      </c>
      <c r="C22" s="419">
        <f aca="true" t="shared" si="9" ref="C22:F23">C8+C17</f>
        <v>65383119.54667685</v>
      </c>
      <c r="D22" s="419">
        <f t="shared" si="9"/>
        <v>58184607.883999996</v>
      </c>
      <c r="E22" s="419">
        <f t="shared" si="9"/>
        <v>63280736.52512</v>
      </c>
      <c r="F22" s="419">
        <f t="shared" si="9"/>
        <v>37793261.21296</v>
      </c>
      <c r="G22" s="419">
        <f aca="true" t="shared" si="10" ref="G22:N22">G8+G17</f>
        <v>25238149.955785185</v>
      </c>
      <c r="H22" s="419">
        <f t="shared" si="10"/>
        <v>22826177.73525</v>
      </c>
      <c r="I22" s="419">
        <f t="shared" si="10"/>
        <v>30356117.66468</v>
      </c>
      <c r="J22" s="419">
        <f t="shared" si="10"/>
        <v>37629491.04738</v>
      </c>
      <c r="K22" s="419">
        <f t="shared" si="10"/>
        <v>34712830.572270006</v>
      </c>
      <c r="L22" s="419">
        <f t="shared" si="10"/>
        <v>27135846.21469</v>
      </c>
      <c r="M22" s="419">
        <f t="shared" si="10"/>
        <v>40096855.794190004</v>
      </c>
      <c r="N22" s="419">
        <f t="shared" si="10"/>
        <v>61915473.83525</v>
      </c>
      <c r="O22" s="419">
        <f>SUM(C22:N22)</f>
        <v>504552667.9882521</v>
      </c>
      <c r="P22" s="417"/>
    </row>
    <row r="23" spans="2:16" ht="12.75">
      <c r="B23" s="409" t="s">
        <v>516</v>
      </c>
      <c r="C23" s="420">
        <f t="shared" si="9"/>
        <v>52518813.32972015</v>
      </c>
      <c r="D23" s="420">
        <f t="shared" si="9"/>
        <v>47451088.742000006</v>
      </c>
      <c r="E23" s="420">
        <f t="shared" si="9"/>
        <v>58442474.133</v>
      </c>
      <c r="F23" s="420">
        <f t="shared" si="9"/>
        <v>17961335.528</v>
      </c>
      <c r="G23" s="420">
        <f aca="true" t="shared" si="11" ref="G23:N23">G9+G18</f>
        <v>7495660.717459227</v>
      </c>
      <c r="H23" s="420">
        <f t="shared" si="11"/>
        <v>6194426.025</v>
      </c>
      <c r="I23" s="420">
        <f t="shared" si="11"/>
        <v>9573679.728</v>
      </c>
      <c r="J23" s="420">
        <f t="shared" si="11"/>
        <v>12905860.596</v>
      </c>
      <c r="K23" s="420">
        <f t="shared" si="11"/>
        <v>12088453.002</v>
      </c>
      <c r="L23" s="420">
        <f t="shared" si="11"/>
        <v>8337490.223</v>
      </c>
      <c r="M23" s="420">
        <f t="shared" si="11"/>
        <v>19600956.425</v>
      </c>
      <c r="N23" s="420">
        <f t="shared" si="11"/>
        <v>46502343.906</v>
      </c>
      <c r="O23" s="420">
        <f>SUM(C23:N23)</f>
        <v>299072582.35517937</v>
      </c>
      <c r="P23" s="417"/>
    </row>
    <row r="24" spans="3:16" ht="12.75">
      <c r="C24" s="419">
        <f aca="true" t="shared" si="12" ref="C24:O24">SUM(C21:C23)</f>
        <v>268421353.001</v>
      </c>
      <c r="D24" s="419">
        <f t="shared" si="12"/>
        <v>248463642.29500002</v>
      </c>
      <c r="E24" s="419">
        <f t="shared" si="12"/>
        <v>272094704.38</v>
      </c>
      <c r="F24" s="419">
        <f t="shared" si="12"/>
        <v>189257389.239</v>
      </c>
      <c r="G24" s="419">
        <f t="shared" si="12"/>
        <v>159137014.242</v>
      </c>
      <c r="H24" s="419">
        <f t="shared" si="12"/>
        <v>150640891.357</v>
      </c>
      <c r="I24" s="419">
        <f t="shared" si="12"/>
        <v>167011451.328</v>
      </c>
      <c r="J24" s="419">
        <f t="shared" si="12"/>
        <v>182841597.602</v>
      </c>
      <c r="K24" s="419">
        <f t="shared" si="12"/>
        <v>175504029.742</v>
      </c>
      <c r="L24" s="419">
        <f t="shared" si="12"/>
        <v>166990370.697</v>
      </c>
      <c r="M24" s="419">
        <f t="shared" si="12"/>
        <v>197141568.96100003</v>
      </c>
      <c r="N24" s="419">
        <f t="shared" si="12"/>
        <v>258761011.987</v>
      </c>
      <c r="O24" s="419">
        <f t="shared" si="12"/>
        <v>2436265024.8310003</v>
      </c>
      <c r="P24" s="417"/>
    </row>
    <row r="25" spans="3:16" ht="12.75">
      <c r="C25" s="413">
        <f aca="true" t="shared" si="13" ref="C25:O25">C24-C13</f>
        <v>0</v>
      </c>
      <c r="D25" s="413">
        <f t="shared" si="13"/>
        <v>0</v>
      </c>
      <c r="E25" s="413">
        <f t="shared" si="13"/>
        <v>0</v>
      </c>
      <c r="F25" s="413">
        <f t="shared" si="13"/>
        <v>0</v>
      </c>
      <c r="G25" s="413">
        <f t="shared" si="13"/>
        <v>0</v>
      </c>
      <c r="H25" s="413">
        <f t="shared" si="13"/>
        <v>0</v>
      </c>
      <c r="I25" s="413">
        <f t="shared" si="13"/>
        <v>0</v>
      </c>
      <c r="J25" s="413">
        <f t="shared" si="13"/>
        <v>0</v>
      </c>
      <c r="K25" s="413">
        <f t="shared" si="13"/>
        <v>0</v>
      </c>
      <c r="L25" s="413">
        <f t="shared" si="13"/>
        <v>0</v>
      </c>
      <c r="M25" s="413">
        <f t="shared" si="13"/>
        <v>0</v>
      </c>
      <c r="N25" s="413">
        <f t="shared" si="13"/>
        <v>0</v>
      </c>
      <c r="O25" s="413">
        <f t="shared" si="13"/>
        <v>0</v>
      </c>
      <c r="P25" s="417"/>
    </row>
    <row r="26" spans="3:16" ht="12.75">
      <c r="C26" s="413"/>
      <c r="D26" s="413"/>
      <c r="E26" s="413"/>
      <c r="F26" s="413"/>
      <c r="G26" s="413"/>
      <c r="H26" s="413"/>
      <c r="I26" s="416"/>
      <c r="J26" s="416"/>
      <c r="K26" s="416"/>
      <c r="L26" s="416"/>
      <c r="M26" s="416"/>
      <c r="N26" s="416"/>
      <c r="O26" s="43"/>
      <c r="P26" s="417"/>
    </row>
    <row r="27" spans="1:14" ht="12.75">
      <c r="A27" s="19"/>
      <c r="B27" s="35" t="s">
        <v>509</v>
      </c>
      <c r="C27" s="417"/>
      <c r="D27" s="417"/>
      <c r="E27" s="417"/>
      <c r="F27" s="417"/>
      <c r="G27" s="417"/>
      <c r="H27" s="417"/>
      <c r="I27" s="417"/>
      <c r="J27" s="417"/>
      <c r="K27" s="417"/>
      <c r="L27" s="417"/>
      <c r="M27" s="417"/>
      <c r="N27" s="417"/>
    </row>
    <row r="28" spans="2:19" ht="12.75">
      <c r="B28" s="409" t="s">
        <v>504</v>
      </c>
      <c r="C28" s="414">
        <f>'REVRUNS 12ME1219'!D88+'REVRUNS 12ME1219'!D102</f>
        <v>41056435.98403</v>
      </c>
      <c r="D28" s="414">
        <f>'REVRUNS 12ME1219'!E88+'REVRUNS 12ME1219'!E102</f>
        <v>39763617.71332</v>
      </c>
      <c r="E28" s="414">
        <f>'REVRUNS 12ME1219'!F88+'REVRUNS 12ME1219'!F102</f>
        <v>42055458.34695999</v>
      </c>
      <c r="F28" s="414">
        <f>'REVRUNS 12ME1219'!G88+'REVRUNS 12ME1219'!G102</f>
        <v>36076227.19334</v>
      </c>
      <c r="G28" s="414">
        <f>'REVRUNS 12ME1219'!H88+'REVRUNS 12ME1219'!H102</f>
        <v>33095003.359</v>
      </c>
      <c r="H28" s="414">
        <f>'REVRUNS 12ME1219'!I88+'REVRUNS 12ME1219'!I102</f>
        <v>32197046.79135</v>
      </c>
      <c r="I28" s="414">
        <f>'REVRUNS 12ME1219'!J88+'REVRUNS 12ME1219'!J102</f>
        <v>33106582.694670003</v>
      </c>
      <c r="J28" s="414">
        <f>'REVRUNS 12ME1219'!K88+'REVRUNS 12ME1219'!K102</f>
        <v>34260890.12769</v>
      </c>
      <c r="K28" s="414">
        <f>'REVRUNS 12ME1219'!L88+'REVRUNS 12ME1219'!L102</f>
        <v>34103766.51399</v>
      </c>
      <c r="L28" s="414">
        <f>'REVRUNS 12ME1219'!M88+'REVRUNS 12ME1219'!M102</f>
        <v>33751385.56086</v>
      </c>
      <c r="M28" s="414">
        <f>'REVRUNS 12ME1219'!N88+'REVRUNS 12ME1219'!N102</f>
        <v>35753840.1653</v>
      </c>
      <c r="N28" s="414">
        <f>'REVRUNS 12ME1219'!O88+'REVRUNS 12ME1219'!O102</f>
        <v>40759038.567329995</v>
      </c>
      <c r="O28" s="413">
        <f>SUM(C28:N28)</f>
        <v>435979293.01783997</v>
      </c>
      <c r="R28" s="43">
        <v>0</v>
      </c>
      <c r="S28" s="424" t="e">
        <f>R28/$R$30</f>
        <v>#DIV/0!</v>
      </c>
    </row>
    <row r="29" spans="2:19" ht="12.75">
      <c r="B29" s="409" t="s">
        <v>505</v>
      </c>
      <c r="C29" s="414">
        <f>'REVRUNS 12ME1219'!D89+'REVRUNS 12ME1219'!D103</f>
        <v>18863891.13897</v>
      </c>
      <c r="D29" s="414">
        <f>'REVRUNS 12ME1219'!E89+'REVRUNS 12ME1219'!E103</f>
        <v>18075870.77368</v>
      </c>
      <c r="E29" s="414">
        <f>'REVRUNS 12ME1219'!F89+'REVRUNS 12ME1219'!F103</f>
        <v>19521502.07704</v>
      </c>
      <c r="F29" s="414">
        <f>'REVRUNS 12ME1219'!G89+'REVRUNS 12ME1219'!G103</f>
        <v>13893541.65466</v>
      </c>
      <c r="G29" s="414">
        <f>'REVRUNS 12ME1219'!H89+'REVRUNS 12ME1219'!H103</f>
        <v>12389114.386</v>
      </c>
      <c r="H29" s="414">
        <f>'REVRUNS 12ME1219'!I89+'REVRUNS 12ME1219'!I103</f>
        <v>13056545.66965</v>
      </c>
      <c r="I29" s="414">
        <f>'REVRUNS 12ME1219'!J89+'REVRUNS 12ME1219'!J103</f>
        <v>15296452.372329999</v>
      </c>
      <c r="J29" s="414">
        <f>'REVRUNS 12ME1219'!K89+'REVRUNS 12ME1219'!K103</f>
        <v>17003706.280309997</v>
      </c>
      <c r="K29" s="414">
        <f>'REVRUNS 12ME1219'!L89+'REVRUNS 12ME1219'!L103</f>
        <v>16997415.52501</v>
      </c>
      <c r="L29" s="414">
        <f>'REVRUNS 12ME1219'!M89+'REVRUNS 12ME1219'!M103</f>
        <v>12773463.86014</v>
      </c>
      <c r="M29" s="414">
        <f>'REVRUNS 12ME1219'!N89+'REVRUNS 12ME1219'!N103</f>
        <v>13854869.8377</v>
      </c>
      <c r="N29" s="414">
        <f>'REVRUNS 12ME1219'!O89+'REVRUNS 12ME1219'!O103</f>
        <v>19390075.94267</v>
      </c>
      <c r="O29" s="413">
        <f>SUM(C29:N29)</f>
        <v>191116449.51816</v>
      </c>
      <c r="R29" s="423">
        <v>0</v>
      </c>
      <c r="S29" s="425" t="e">
        <f>R29/$R$30</f>
        <v>#DIV/0!</v>
      </c>
    </row>
    <row r="30" spans="1:19" ht="12.75">
      <c r="A30" s="409" t="s">
        <v>506</v>
      </c>
      <c r="B30" s="35" t="s">
        <v>66</v>
      </c>
      <c r="C30" s="415">
        <f aca="true" t="shared" si="14" ref="C30:H30">SUM(C28:C29)</f>
        <v>59920327.122999996</v>
      </c>
      <c r="D30" s="415">
        <f t="shared" si="14"/>
        <v>57839488.487</v>
      </c>
      <c r="E30" s="415">
        <f t="shared" si="14"/>
        <v>61576960.423999995</v>
      </c>
      <c r="F30" s="415">
        <f t="shared" si="14"/>
        <v>49969768.848000005</v>
      </c>
      <c r="G30" s="415">
        <f t="shared" si="14"/>
        <v>45484117.745000005</v>
      </c>
      <c r="H30" s="415">
        <f t="shared" si="14"/>
        <v>45253592.460999995</v>
      </c>
      <c r="I30" s="415">
        <f>SUM(I28:I29)</f>
        <v>48403035.067</v>
      </c>
      <c r="J30" s="415">
        <f aca="true" t="shared" si="15" ref="J30:O30">SUM(J28:J29)</f>
        <v>51264596.408</v>
      </c>
      <c r="K30" s="415">
        <f t="shared" si="15"/>
        <v>51101182.039000005</v>
      </c>
      <c r="L30" s="415">
        <f t="shared" si="15"/>
        <v>46524849.421000004</v>
      </c>
      <c r="M30" s="415">
        <f t="shared" si="15"/>
        <v>49608710.003</v>
      </c>
      <c r="N30" s="415">
        <f t="shared" si="15"/>
        <v>60149114.50999999</v>
      </c>
      <c r="O30" s="415">
        <f t="shared" si="15"/>
        <v>627095742.536</v>
      </c>
      <c r="R30" s="43">
        <f>SUM(R28:R29)</f>
        <v>0</v>
      </c>
      <c r="S30" s="85" t="e">
        <f>SUM(S28:S29)</f>
        <v>#DIV/0!</v>
      </c>
    </row>
    <row r="31" spans="2:15" ht="12.75">
      <c r="B31" s="409" t="s">
        <v>95</v>
      </c>
      <c r="C31" s="548">
        <f>'REVRUNS 12ME1219'!D283</f>
        <v>59920327.122999996</v>
      </c>
      <c r="D31" s="548">
        <f>'REVRUNS 12ME1219'!E283</f>
        <v>57839488.487</v>
      </c>
      <c r="E31" s="548">
        <f>'REVRUNS 12ME1219'!F283</f>
        <v>61576960.423999995</v>
      </c>
      <c r="F31" s="548">
        <f>'REVRUNS 12ME1219'!G283</f>
        <v>49969768.848000005</v>
      </c>
      <c r="G31" s="548">
        <f>'REVRUNS 12ME1219'!H283</f>
        <v>45483877.745000005</v>
      </c>
      <c r="H31" s="548">
        <f>'REVRUNS 12ME1219'!I283</f>
        <v>45253592.461</v>
      </c>
      <c r="I31" s="548">
        <f>'REVRUNS 12ME1219'!J283</f>
        <v>48403035.067</v>
      </c>
      <c r="J31" s="548">
        <f>'REVRUNS 12ME1219'!K283</f>
        <v>51264596.40799999</v>
      </c>
      <c r="K31" s="548">
        <f>'REVRUNS 12ME1219'!L283</f>
        <v>51101182.039</v>
      </c>
      <c r="L31" s="548">
        <f>'REVRUNS 12ME1219'!M283</f>
        <v>46524849.421</v>
      </c>
      <c r="M31" s="548">
        <f>'REVRUNS 12ME1219'!N283</f>
        <v>49608710.003</v>
      </c>
      <c r="N31" s="548">
        <f>'REVRUNS 12ME1219'!O283</f>
        <v>60149114.510000005</v>
      </c>
      <c r="O31" s="413">
        <f>SUM(C31:N31)</f>
        <v>627095502.5359999</v>
      </c>
    </row>
    <row r="32" spans="3:16" ht="12.75">
      <c r="C32" s="43">
        <f aca="true" t="shared" si="16" ref="C32:N32">C31-C30</f>
        <v>0</v>
      </c>
      <c r="D32" s="43">
        <f t="shared" si="16"/>
        <v>0</v>
      </c>
      <c r="E32" s="43">
        <f t="shared" si="16"/>
        <v>0</v>
      </c>
      <c r="F32" s="43">
        <f t="shared" si="16"/>
        <v>0</v>
      </c>
      <c r="G32" s="43">
        <f t="shared" si="16"/>
        <v>-240</v>
      </c>
      <c r="H32" s="43">
        <f t="shared" si="16"/>
        <v>0</v>
      </c>
      <c r="I32" s="43">
        <f t="shared" si="16"/>
        <v>0</v>
      </c>
      <c r="J32" s="307">
        <f t="shared" si="16"/>
        <v>0</v>
      </c>
      <c r="K32" s="43">
        <f t="shared" si="16"/>
        <v>0</v>
      </c>
      <c r="L32" s="307">
        <f t="shared" si="16"/>
        <v>0</v>
      </c>
      <c r="M32" s="43">
        <f t="shared" si="16"/>
        <v>0</v>
      </c>
      <c r="N32" s="43">
        <f t="shared" si="16"/>
        <v>0</v>
      </c>
      <c r="O32" s="413">
        <f>SUM(C32:N32)</f>
        <v>-240</v>
      </c>
      <c r="P32" s="417">
        <f>O32/O31</f>
        <v>-3.827168254746369E-07</v>
      </c>
    </row>
    <row r="33" spans="3:16" ht="12.75">
      <c r="C33" s="43"/>
      <c r="D33" s="43"/>
      <c r="E33" s="43"/>
      <c r="F33" s="43"/>
      <c r="G33" s="43"/>
      <c r="H33" s="43"/>
      <c r="I33" s="43"/>
      <c r="J33" s="307"/>
      <c r="K33" s="43"/>
      <c r="L33" s="307"/>
      <c r="M33" s="43"/>
      <c r="N33" s="43"/>
      <c r="O33" s="413"/>
      <c r="P33" s="417"/>
    </row>
    <row r="34" spans="2:16" ht="12.75">
      <c r="B34" s="409" t="s">
        <v>504</v>
      </c>
      <c r="C34" s="419">
        <f>(C28/C$30)*C$32</f>
        <v>0</v>
      </c>
      <c r="D34" s="419">
        <f aca="true" t="shared" si="17" ref="D34:N34">(D28/D$30)*D$32</f>
        <v>0</v>
      </c>
      <c r="E34" s="419">
        <f t="shared" si="17"/>
        <v>0</v>
      </c>
      <c r="F34" s="419">
        <f t="shared" si="17"/>
        <v>0</v>
      </c>
      <c r="G34" s="419">
        <f t="shared" si="17"/>
        <v>-174.62800643271</v>
      </c>
      <c r="H34" s="419">
        <f t="shared" si="17"/>
        <v>0</v>
      </c>
      <c r="I34" s="419">
        <f t="shared" si="17"/>
        <v>0</v>
      </c>
      <c r="J34" s="419">
        <f t="shared" si="17"/>
        <v>0</v>
      </c>
      <c r="K34" s="419">
        <f t="shared" si="17"/>
        <v>0</v>
      </c>
      <c r="L34" s="419">
        <f t="shared" si="17"/>
        <v>0</v>
      </c>
      <c r="M34" s="419">
        <f t="shared" si="17"/>
        <v>0</v>
      </c>
      <c r="N34" s="419">
        <f t="shared" si="17"/>
        <v>0</v>
      </c>
      <c r="O34" s="419">
        <f>SUM(C34:N34)</f>
        <v>-174.62800643271</v>
      </c>
      <c r="P34" s="417"/>
    </row>
    <row r="35" spans="2:16" ht="12.75">
      <c r="B35" s="409" t="s">
        <v>505</v>
      </c>
      <c r="C35" s="420">
        <f aca="true" t="shared" si="18" ref="C35:N35">(C29/C$30)*C$32</f>
        <v>0</v>
      </c>
      <c r="D35" s="420">
        <f t="shared" si="18"/>
        <v>0</v>
      </c>
      <c r="E35" s="420">
        <f t="shared" si="18"/>
        <v>0</v>
      </c>
      <c r="F35" s="420">
        <f t="shared" si="18"/>
        <v>0</v>
      </c>
      <c r="G35" s="420">
        <f t="shared" si="18"/>
        <v>-65.37199356728998</v>
      </c>
      <c r="H35" s="420">
        <f t="shared" si="18"/>
        <v>0</v>
      </c>
      <c r="I35" s="420">
        <f t="shared" si="18"/>
        <v>0</v>
      </c>
      <c r="J35" s="420">
        <f t="shared" si="18"/>
        <v>0</v>
      </c>
      <c r="K35" s="420">
        <f t="shared" si="18"/>
        <v>0</v>
      </c>
      <c r="L35" s="420">
        <f t="shared" si="18"/>
        <v>0</v>
      </c>
      <c r="M35" s="420">
        <f t="shared" si="18"/>
        <v>0</v>
      </c>
      <c r="N35" s="420">
        <f t="shared" si="18"/>
        <v>0</v>
      </c>
      <c r="O35" s="420">
        <f>SUM(C35:N35)</f>
        <v>-65.37199356728998</v>
      </c>
      <c r="P35" s="417"/>
    </row>
    <row r="36" spans="3:16" ht="12.75">
      <c r="C36" s="419">
        <f>SUM(C34:C35)</f>
        <v>0</v>
      </c>
      <c r="D36" s="419">
        <f aca="true" t="shared" si="19" ref="D36:N36">SUM(D34:D35)</f>
        <v>0</v>
      </c>
      <c r="E36" s="419">
        <f t="shared" si="19"/>
        <v>0</v>
      </c>
      <c r="F36" s="419">
        <f t="shared" si="19"/>
        <v>0</v>
      </c>
      <c r="G36" s="419">
        <f t="shared" si="19"/>
        <v>-240</v>
      </c>
      <c r="H36" s="419">
        <f t="shared" si="19"/>
        <v>0</v>
      </c>
      <c r="I36" s="419">
        <f t="shared" si="19"/>
        <v>0</v>
      </c>
      <c r="J36" s="419">
        <f t="shared" si="19"/>
        <v>0</v>
      </c>
      <c r="K36" s="419">
        <f t="shared" si="19"/>
        <v>0</v>
      </c>
      <c r="L36" s="419">
        <f t="shared" si="19"/>
        <v>0</v>
      </c>
      <c r="M36" s="419">
        <f t="shared" si="19"/>
        <v>0</v>
      </c>
      <c r="N36" s="419">
        <f t="shared" si="19"/>
        <v>0</v>
      </c>
      <c r="O36" s="419">
        <f>SUM(O34:O35)</f>
        <v>-240</v>
      </c>
      <c r="P36" s="417"/>
    </row>
    <row r="37" spans="3:16" ht="12.75">
      <c r="C37" s="419"/>
      <c r="D37" s="419"/>
      <c r="E37" s="419"/>
      <c r="F37" s="419"/>
      <c r="G37" s="419"/>
      <c r="H37" s="419"/>
      <c r="I37" s="419"/>
      <c r="J37" s="419"/>
      <c r="K37" s="419"/>
      <c r="L37" s="419"/>
      <c r="M37" s="419"/>
      <c r="N37" s="419"/>
      <c r="O37" s="419"/>
      <c r="P37" s="417"/>
    </row>
    <row r="38" spans="2:16" ht="12.75">
      <c r="B38" s="409" t="s">
        <v>504</v>
      </c>
      <c r="C38" s="419">
        <f>C28+C34</f>
        <v>41056435.98403</v>
      </c>
      <c r="D38" s="419">
        <f aca="true" t="shared" si="20" ref="D38:N38">D28+D34</f>
        <v>39763617.71332</v>
      </c>
      <c r="E38" s="419">
        <f t="shared" si="20"/>
        <v>42055458.34695999</v>
      </c>
      <c r="F38" s="419">
        <f t="shared" si="20"/>
        <v>36076227.19334</v>
      </c>
      <c r="G38" s="419">
        <f t="shared" si="20"/>
        <v>33094828.73099357</v>
      </c>
      <c r="H38" s="419">
        <f t="shared" si="20"/>
        <v>32197046.79135</v>
      </c>
      <c r="I38" s="419">
        <f t="shared" si="20"/>
        <v>33106582.694670003</v>
      </c>
      <c r="J38" s="419">
        <f t="shared" si="20"/>
        <v>34260890.12769</v>
      </c>
      <c r="K38" s="419">
        <f t="shared" si="20"/>
        <v>34103766.51399</v>
      </c>
      <c r="L38" s="419">
        <f t="shared" si="20"/>
        <v>33751385.56086</v>
      </c>
      <c r="M38" s="419">
        <f t="shared" si="20"/>
        <v>35753840.1653</v>
      </c>
      <c r="N38" s="419">
        <f t="shared" si="20"/>
        <v>40759038.567329995</v>
      </c>
      <c r="O38" s="419">
        <f>SUM(C38:N38)</f>
        <v>435979118.3898335</v>
      </c>
      <c r="P38" s="417"/>
    </row>
    <row r="39" spans="2:16" ht="12.75">
      <c r="B39" s="409" t="s">
        <v>505</v>
      </c>
      <c r="C39" s="420">
        <f>C29+C35</f>
        <v>18863891.13897</v>
      </c>
      <c r="D39" s="420">
        <f aca="true" t="shared" si="21" ref="D39:N39">D29+D35</f>
        <v>18075870.77368</v>
      </c>
      <c r="E39" s="420">
        <f t="shared" si="21"/>
        <v>19521502.07704</v>
      </c>
      <c r="F39" s="420">
        <f t="shared" si="21"/>
        <v>13893541.65466</v>
      </c>
      <c r="G39" s="420">
        <f t="shared" si="21"/>
        <v>12389049.014006432</v>
      </c>
      <c r="H39" s="420">
        <f t="shared" si="21"/>
        <v>13056545.66965</v>
      </c>
      <c r="I39" s="420">
        <f t="shared" si="21"/>
        <v>15296452.372329999</v>
      </c>
      <c r="J39" s="420">
        <f t="shared" si="21"/>
        <v>17003706.280309997</v>
      </c>
      <c r="K39" s="420">
        <f t="shared" si="21"/>
        <v>16997415.52501</v>
      </c>
      <c r="L39" s="420">
        <f t="shared" si="21"/>
        <v>12773463.86014</v>
      </c>
      <c r="M39" s="420">
        <f t="shared" si="21"/>
        <v>13854869.8377</v>
      </c>
      <c r="N39" s="420">
        <f t="shared" si="21"/>
        <v>19390075.94267</v>
      </c>
      <c r="O39" s="420">
        <f>SUM(C39:N39)</f>
        <v>191116384.1461664</v>
      </c>
      <c r="P39" s="417"/>
    </row>
    <row r="40" spans="3:16" ht="12.75">
      <c r="C40" s="419">
        <f aca="true" t="shared" si="22" ref="C40:O40">SUM(C38:C39)</f>
        <v>59920327.122999996</v>
      </c>
      <c r="D40" s="419">
        <f t="shared" si="22"/>
        <v>57839488.487</v>
      </c>
      <c r="E40" s="419">
        <f t="shared" si="22"/>
        <v>61576960.423999995</v>
      </c>
      <c r="F40" s="419">
        <f t="shared" si="22"/>
        <v>49969768.848000005</v>
      </c>
      <c r="G40" s="419">
        <f t="shared" si="22"/>
        <v>45483877.745000005</v>
      </c>
      <c r="H40" s="419">
        <f t="shared" si="22"/>
        <v>45253592.460999995</v>
      </c>
      <c r="I40" s="419">
        <f t="shared" si="22"/>
        <v>48403035.067</v>
      </c>
      <c r="J40" s="419">
        <f t="shared" si="22"/>
        <v>51264596.408</v>
      </c>
      <c r="K40" s="419">
        <f t="shared" si="22"/>
        <v>51101182.039000005</v>
      </c>
      <c r="L40" s="419">
        <f t="shared" si="22"/>
        <v>46524849.421000004</v>
      </c>
      <c r="M40" s="419">
        <f t="shared" si="22"/>
        <v>49608710.003</v>
      </c>
      <c r="N40" s="419">
        <f t="shared" si="22"/>
        <v>60149114.50999999</v>
      </c>
      <c r="O40" s="419">
        <f t="shared" si="22"/>
        <v>627095502.5359999</v>
      </c>
      <c r="P40" s="417"/>
    </row>
    <row r="41" spans="3:16" ht="12.75">
      <c r="C41" s="413">
        <f aca="true" t="shared" si="23" ref="C41:O41">C40-C31</f>
        <v>0</v>
      </c>
      <c r="D41" s="413">
        <f t="shared" si="23"/>
        <v>0</v>
      </c>
      <c r="E41" s="413">
        <f t="shared" si="23"/>
        <v>0</v>
      </c>
      <c r="F41" s="413">
        <f t="shared" si="23"/>
        <v>0</v>
      </c>
      <c r="G41" s="413">
        <f t="shared" si="23"/>
        <v>0</v>
      </c>
      <c r="H41" s="413">
        <f t="shared" si="23"/>
        <v>0</v>
      </c>
      <c r="I41" s="413">
        <f t="shared" si="23"/>
        <v>0</v>
      </c>
      <c r="J41" s="413">
        <f t="shared" si="23"/>
        <v>0</v>
      </c>
      <c r="K41" s="413">
        <f t="shared" si="23"/>
        <v>0</v>
      </c>
      <c r="L41" s="413">
        <f t="shared" si="23"/>
        <v>0</v>
      </c>
      <c r="M41" s="413">
        <f t="shared" si="23"/>
        <v>0</v>
      </c>
      <c r="N41" s="413">
        <f t="shared" si="23"/>
        <v>0</v>
      </c>
      <c r="O41" s="413">
        <f t="shared" si="23"/>
        <v>0</v>
      </c>
      <c r="P41" s="417"/>
    </row>
    <row r="42" spans="3:16" ht="12.75">
      <c r="C42" s="43"/>
      <c r="D42" s="43"/>
      <c r="E42" s="43"/>
      <c r="F42" s="43"/>
      <c r="G42" s="43"/>
      <c r="H42" s="43"/>
      <c r="I42" s="43"/>
      <c r="J42" s="307"/>
      <c r="K42" s="43"/>
      <c r="L42" s="307"/>
      <c r="M42" s="43"/>
      <c r="N42" s="43"/>
      <c r="O42" s="413"/>
      <c r="P42" s="417"/>
    </row>
    <row r="43" spans="1:14" ht="12.75">
      <c r="A43" s="19"/>
      <c r="B43" s="35" t="s">
        <v>509</v>
      </c>
      <c r="C43" s="417"/>
      <c r="D43" s="417"/>
      <c r="E43" s="417"/>
      <c r="F43" s="417"/>
      <c r="G43" s="417"/>
      <c r="H43" s="417"/>
      <c r="I43" s="417"/>
      <c r="J43" s="417"/>
      <c r="K43" s="417"/>
      <c r="L43" s="417"/>
      <c r="M43" s="417"/>
      <c r="N43" s="417"/>
    </row>
    <row r="44" spans="2:18" ht="12.75">
      <c r="B44" s="409" t="s">
        <v>504</v>
      </c>
      <c r="C44" s="414"/>
      <c r="D44" s="414"/>
      <c r="E44" s="414"/>
      <c r="F44" s="414"/>
      <c r="G44" s="414"/>
      <c r="H44" s="414"/>
      <c r="I44" s="414"/>
      <c r="J44" s="414"/>
      <c r="K44" s="414"/>
      <c r="L44" s="414"/>
      <c r="M44" s="414"/>
      <c r="N44" s="414"/>
      <c r="O44" s="413">
        <f>SUM(C44:N44)</f>
        <v>0</v>
      </c>
      <c r="R44" s="43">
        <v>0</v>
      </c>
    </row>
    <row r="45" spans="2:18" ht="12.75">
      <c r="B45" s="409" t="s">
        <v>505</v>
      </c>
      <c r="C45" s="416">
        <f>('REVRUNS 12ME1219'!D348+'REVRUNS 12ME1219'!D353)/6.5</f>
        <v>33626.85692307692</v>
      </c>
      <c r="D45" s="416">
        <f>('REVRUNS 12ME1219'!E348+'REVRUNS 12ME1219'!E353)/6.5</f>
        <v>34090.75384615384</v>
      </c>
      <c r="E45" s="416">
        <f>('REVRUNS 12ME1219'!F348+'REVRUNS 12ME1219'!F353)/6.5</f>
        <v>36822.15076923077</v>
      </c>
      <c r="F45" s="416">
        <f>('REVRUNS 12ME1219'!G348+'REVRUNS 12ME1219'!G353)/6.5</f>
        <v>31433.550769230773</v>
      </c>
      <c r="G45" s="416">
        <f>('REVRUNS 12ME1219'!H348+'REVRUNS 12ME1219'!H353)/6.5</f>
        <v>32968.04153846153</v>
      </c>
      <c r="H45" s="416">
        <f>('REVRUNS 12ME1219'!I348+'REVRUNS 12ME1219'!I353)/6.5</f>
        <v>35683.46153846154</v>
      </c>
      <c r="I45" s="416">
        <f>('REVRUNS 12ME1219'!J348+'REVRUNS 12ME1219'!J353)/6.5</f>
        <v>37262.71384615384</v>
      </c>
      <c r="J45" s="416">
        <f>('REVRUNS 12ME1219'!K348+'REVRUNS 12ME1219'!K353)/6.5</f>
        <v>41140.769230769234</v>
      </c>
      <c r="K45" s="416">
        <f>('REVRUNS 12ME1219'!L348+'REVRUNS 12ME1219'!L353)/6.5</f>
        <v>41696.21384615384</v>
      </c>
      <c r="L45" s="416">
        <f>('REVRUNS 12ME1219'!M348+'REVRUNS 12ME1219'!M353)/6.5</f>
        <v>39237.32615384616</v>
      </c>
      <c r="M45" s="416">
        <f>('REVRUNS 12ME1219'!N348+'REVRUNS 12ME1219'!N353)/6.5</f>
        <v>37801.272307692314</v>
      </c>
      <c r="N45" s="416">
        <f>('REVRUNS 12ME1219'!O348+'REVRUNS 12ME1219'!O353)/6.5</f>
        <v>36544.86615384615</v>
      </c>
      <c r="O45" s="413">
        <f>SUM(C45:N45)</f>
        <v>438307.97692307696</v>
      </c>
      <c r="P45" s="542" t="e">
        <f>(O45-#REF!/6.3334)-(#REF!/6.34)</f>
        <v>#REF!</v>
      </c>
      <c r="R45" s="423">
        <v>0</v>
      </c>
    </row>
    <row r="46" spans="1:18" ht="12.75">
      <c r="A46" s="409" t="s">
        <v>510</v>
      </c>
      <c r="B46" s="35" t="s">
        <v>66</v>
      </c>
      <c r="C46" s="415">
        <f aca="true" t="shared" si="24" ref="C46:H46">SUM(C44:C45)</f>
        <v>33626.85692307692</v>
      </c>
      <c r="D46" s="415">
        <f t="shared" si="24"/>
        <v>34090.75384615384</v>
      </c>
      <c r="E46" s="415">
        <f t="shared" si="24"/>
        <v>36822.15076923077</v>
      </c>
      <c r="F46" s="415">
        <f t="shared" si="24"/>
        <v>31433.550769230773</v>
      </c>
      <c r="G46" s="415">
        <f t="shared" si="24"/>
        <v>32968.04153846153</v>
      </c>
      <c r="H46" s="415">
        <f t="shared" si="24"/>
        <v>35683.46153846154</v>
      </c>
      <c r="I46" s="415">
        <f>SUM(I44:I45)</f>
        <v>37262.71384615384</v>
      </c>
      <c r="J46" s="415">
        <f aca="true" t="shared" si="25" ref="J46:O46">SUM(J44:J45)</f>
        <v>41140.769230769234</v>
      </c>
      <c r="K46" s="415">
        <f t="shared" si="25"/>
        <v>41696.21384615384</v>
      </c>
      <c r="L46" s="415">
        <f t="shared" si="25"/>
        <v>39237.32615384616</v>
      </c>
      <c r="M46" s="415">
        <f t="shared" si="25"/>
        <v>37801.272307692314</v>
      </c>
      <c r="N46" s="415">
        <f t="shared" si="25"/>
        <v>36544.86615384615</v>
      </c>
      <c r="O46" s="415">
        <f t="shared" si="25"/>
        <v>438307.97692307696</v>
      </c>
      <c r="R46" s="43">
        <f>SUM(R44:R45)</f>
        <v>0</v>
      </c>
    </row>
    <row r="48" spans="1:2" ht="12.75">
      <c r="A48" s="19"/>
      <c r="B48" s="35" t="s">
        <v>509</v>
      </c>
    </row>
    <row r="49" spans="2:18" ht="12.75">
      <c r="B49" s="409" t="s">
        <v>511</v>
      </c>
      <c r="C49" s="416">
        <f>('REVRUNS 12ME1219'!D349+'REVRUNS 12ME1219'!D354)/0.5</f>
        <v>0</v>
      </c>
      <c r="D49" s="416">
        <f>('REVRUNS 12ME1219'!E349+'REVRUNS 12ME1219'!E354)/0.5</f>
        <v>0</v>
      </c>
      <c r="E49" s="416">
        <f>('REVRUNS 12ME1219'!F349+'REVRUNS 12ME1219'!F354)/0.5</f>
        <v>0</v>
      </c>
      <c r="F49" s="416">
        <f>('REVRUNS 12ME1219'!G349+'REVRUNS 12ME1219'!G354)/0.5</f>
        <v>0</v>
      </c>
      <c r="G49" s="416">
        <f>('REVRUNS 12ME1219'!H349+'REVRUNS 12ME1219'!H354)/0.5</f>
        <v>0</v>
      </c>
      <c r="H49" s="416">
        <f>('REVRUNS 12ME1219'!I349+'REVRUNS 12ME1219'!I354)/0.5</f>
        <v>0</v>
      </c>
      <c r="I49" s="416">
        <f>('REVRUNS 12ME1219'!J349+'REVRUNS 12ME1219'!J354)/0.5</f>
        <v>0</v>
      </c>
      <c r="J49" s="416">
        <f>('REVRUNS 12ME1219'!K349+'REVRUNS 12ME1219'!K354)/0.5</f>
        <v>0</v>
      </c>
      <c r="K49" s="416">
        <f>('REVRUNS 12ME1219'!L349+'REVRUNS 12ME1219'!L354)/0.5</f>
        <v>0</v>
      </c>
      <c r="L49" s="416">
        <f>('REVRUNS 12ME1219'!M349+'REVRUNS 12ME1219'!M354)/0.5</f>
        <v>0</v>
      </c>
      <c r="M49" s="416">
        <f>('REVRUNS 12ME1219'!N349+'REVRUNS 12ME1219'!N354)/0.5</f>
        <v>0</v>
      </c>
      <c r="N49" s="416">
        <f>('REVRUNS 12ME1219'!O349+'REVRUNS 12ME1219'!O354)/0.5</f>
        <v>0</v>
      </c>
      <c r="O49" s="413">
        <f>SUM(C49:N49)</f>
        <v>0</v>
      </c>
      <c r="R49" s="43">
        <v>0</v>
      </c>
    </row>
    <row r="50" spans="2:15" ht="12.75">
      <c r="B50" s="409" t="s">
        <v>512</v>
      </c>
      <c r="C50" s="421">
        <v>0.5</v>
      </c>
      <c r="D50" s="421">
        <v>0.5</v>
      </c>
      <c r="E50" s="421">
        <v>0.5</v>
      </c>
      <c r="F50" s="421">
        <v>0.5</v>
      </c>
      <c r="G50" s="421">
        <v>0.5</v>
      </c>
      <c r="H50" s="421">
        <v>0.5</v>
      </c>
      <c r="I50" s="421">
        <v>0.5</v>
      </c>
      <c r="J50" s="421">
        <v>0.5</v>
      </c>
      <c r="K50" s="421">
        <v>0.5</v>
      </c>
      <c r="L50" s="421">
        <v>0.5</v>
      </c>
      <c r="M50" s="421">
        <v>0.5</v>
      </c>
      <c r="N50" s="421">
        <v>0.5</v>
      </c>
      <c r="O50" s="418">
        <v>0.5</v>
      </c>
    </row>
    <row r="51" spans="2:16" ht="12.75">
      <c r="B51" s="409" t="s">
        <v>513</v>
      </c>
      <c r="C51" s="418">
        <f aca="true" t="shared" si="26" ref="C51:O51">C49*C50</f>
        <v>0</v>
      </c>
      <c r="D51" s="418">
        <f t="shared" si="26"/>
        <v>0</v>
      </c>
      <c r="E51" s="418">
        <f t="shared" si="26"/>
        <v>0</v>
      </c>
      <c r="F51" s="418">
        <f t="shared" si="26"/>
        <v>0</v>
      </c>
      <c r="G51" s="418">
        <f t="shared" si="26"/>
        <v>0</v>
      </c>
      <c r="H51" s="418">
        <f t="shared" si="26"/>
        <v>0</v>
      </c>
      <c r="I51" s="418">
        <f t="shared" si="26"/>
        <v>0</v>
      </c>
      <c r="J51" s="418">
        <f t="shared" si="26"/>
        <v>0</v>
      </c>
      <c r="K51" s="418">
        <f t="shared" si="26"/>
        <v>0</v>
      </c>
      <c r="L51" s="418">
        <f t="shared" si="26"/>
        <v>0</v>
      </c>
      <c r="M51" s="418">
        <f t="shared" si="26"/>
        <v>0</v>
      </c>
      <c r="N51" s="418">
        <f t="shared" si="26"/>
        <v>0</v>
      </c>
      <c r="O51" s="418">
        <f t="shared" si="26"/>
        <v>0</v>
      </c>
      <c r="P51" s="647">
        <f>O51-'REVRUNS 12ME1219'!P349-'REVRUNS 12ME1219'!P354</f>
        <v>0</v>
      </c>
    </row>
    <row r="52" spans="9:14" ht="12.75">
      <c r="I52" s="19"/>
      <c r="J52" s="19"/>
      <c r="K52" s="19"/>
      <c r="L52" s="19"/>
      <c r="M52" s="19"/>
      <c r="N52" s="19"/>
    </row>
    <row r="53" spans="1:14" ht="12.75">
      <c r="A53" s="19"/>
      <c r="B53" s="35" t="s">
        <v>514</v>
      </c>
      <c r="I53" s="19"/>
      <c r="J53" s="19"/>
      <c r="K53" s="19"/>
      <c r="L53" s="19"/>
      <c r="M53" s="19"/>
      <c r="N53" s="19"/>
    </row>
    <row r="54" spans="2:19" ht="12.75">
      <c r="B54" s="409" t="s">
        <v>504</v>
      </c>
      <c r="C54" s="414">
        <f>'REVRUNS 12ME1219'!D117+'REVRUNS 12ME1219'!D131</f>
        <v>108358321.55833</v>
      </c>
      <c r="D54" s="414">
        <f>'REVRUNS 12ME1219'!E117+'REVRUNS 12ME1219'!E131</f>
        <v>102275964.95</v>
      </c>
      <c r="E54" s="414">
        <f>'REVRUNS 12ME1219'!F117+'REVRUNS 12ME1219'!F131</f>
        <v>107993601.13467</v>
      </c>
      <c r="F54" s="414">
        <f>'REVRUNS 12ME1219'!G117+'REVRUNS 12ME1219'!G131</f>
        <v>98423683.714</v>
      </c>
      <c r="G54" s="414">
        <f>'REVRUNS 12ME1219'!H117+'REVRUNS 12ME1219'!H131</f>
        <v>96197841.162</v>
      </c>
      <c r="H54" s="414">
        <f>'REVRUNS 12ME1219'!I117+'REVRUNS 12ME1219'!I131</f>
        <v>98782467.813</v>
      </c>
      <c r="I54" s="414">
        <f>'REVRUNS 12ME1219'!J117+'REVRUNS 12ME1219'!J131</f>
        <v>103224516.31</v>
      </c>
      <c r="J54" s="414">
        <f>'REVRUNS 12ME1219'!K117+'REVRUNS 12ME1219'!K131</f>
        <v>103968002.022</v>
      </c>
      <c r="K54" s="414">
        <f>'REVRUNS 12ME1219'!L117+'REVRUNS 12ME1219'!L131</f>
        <v>102026064.064</v>
      </c>
      <c r="L54" s="414">
        <f>'REVRUNS 12ME1219'!M117+'REVRUNS 12ME1219'!M131</f>
        <v>101652667.33967</v>
      </c>
      <c r="M54" s="414">
        <f>'REVRUNS 12ME1219'!N117+'REVRUNS 12ME1219'!N131</f>
        <v>97289918.782</v>
      </c>
      <c r="N54" s="414">
        <f>'REVRUNS 12ME1219'!O117+'REVRUNS 12ME1219'!O131</f>
        <v>109598102.954</v>
      </c>
      <c r="O54" s="413">
        <f>SUM(C54:N54)</f>
        <v>1229791151.80367</v>
      </c>
      <c r="R54" s="43">
        <v>0</v>
      </c>
      <c r="S54" s="424" t="e">
        <f>R54/$R$56</f>
        <v>#DIV/0!</v>
      </c>
    </row>
    <row r="55" spans="2:19" ht="12.75">
      <c r="B55" s="409" t="s">
        <v>505</v>
      </c>
      <c r="C55" s="414">
        <f>'REVRUNS 12ME1219'!D118+'REVRUNS 12ME1219'!D132</f>
        <v>12223095.06667</v>
      </c>
      <c r="D55" s="414">
        <f>'REVRUNS 12ME1219'!E118+'REVRUNS 12ME1219'!E132</f>
        <v>10979830.2</v>
      </c>
      <c r="E55" s="414">
        <f>'REVRUNS 12ME1219'!F118+'REVRUNS 12ME1219'!F132</f>
        <v>11863762.69333</v>
      </c>
      <c r="F55" s="414">
        <f>'REVRUNS 12ME1219'!G118+'REVRUNS 12ME1219'!G132</f>
        <v>10248358.96</v>
      </c>
      <c r="G55" s="414">
        <f>'REVRUNS 12ME1219'!H118+'REVRUNS 12ME1219'!H132</f>
        <v>11158280.64</v>
      </c>
      <c r="H55" s="414">
        <f>'REVRUNS 12ME1219'!I118+'REVRUNS 12ME1219'!I132</f>
        <v>11736635.7</v>
      </c>
      <c r="I55" s="414">
        <f>'REVRUNS 12ME1219'!J118+'REVRUNS 12ME1219'!J132</f>
        <v>13256235.26</v>
      </c>
      <c r="J55" s="414">
        <f>'REVRUNS 12ME1219'!K118+'REVRUNS 12ME1219'!K132</f>
        <v>14153976.56</v>
      </c>
      <c r="K55" s="414">
        <f>'REVRUNS 12ME1219'!L118+'REVRUNS 12ME1219'!L132</f>
        <v>15279978.18</v>
      </c>
      <c r="L55" s="414">
        <f>'REVRUNS 12ME1219'!M118+'REVRUNS 12ME1219'!M132</f>
        <v>11559763.25333</v>
      </c>
      <c r="M55" s="414">
        <f>'REVRUNS 12ME1219'!N118+'REVRUNS 12ME1219'!N132</f>
        <v>10691308.64</v>
      </c>
      <c r="N55" s="414">
        <f>'REVRUNS 12ME1219'!O118+'REVRUNS 12ME1219'!O132</f>
        <v>13086599.3</v>
      </c>
      <c r="O55" s="413">
        <f>SUM(C55:N55)</f>
        <v>146237824.45333</v>
      </c>
      <c r="R55" s="423">
        <v>0</v>
      </c>
      <c r="S55" s="425" t="e">
        <f>R55/$R$56</f>
        <v>#DIV/0!</v>
      </c>
    </row>
    <row r="56" spans="1:19" ht="12.75">
      <c r="A56" s="409" t="s">
        <v>506</v>
      </c>
      <c r="B56" s="35" t="s">
        <v>66</v>
      </c>
      <c r="C56" s="415">
        <f aca="true" t="shared" si="27" ref="C56:H56">SUM(C54:C55)</f>
        <v>120581416.625</v>
      </c>
      <c r="D56" s="415">
        <f t="shared" si="27"/>
        <v>113255795.15</v>
      </c>
      <c r="E56" s="415">
        <f t="shared" si="27"/>
        <v>119857363.82800001</v>
      </c>
      <c r="F56" s="415">
        <f t="shared" si="27"/>
        <v>108672042.674</v>
      </c>
      <c r="G56" s="415">
        <f t="shared" si="27"/>
        <v>107356121.802</v>
      </c>
      <c r="H56" s="415">
        <f t="shared" si="27"/>
        <v>110519103.513</v>
      </c>
      <c r="I56" s="415">
        <f>SUM(I54:I55)</f>
        <v>116480751.57000001</v>
      </c>
      <c r="J56" s="415">
        <f aca="true" t="shared" si="28" ref="J56:O56">SUM(J54:J55)</f>
        <v>118121978.582</v>
      </c>
      <c r="K56" s="415">
        <f t="shared" si="28"/>
        <v>117306042.24399999</v>
      </c>
      <c r="L56" s="415">
        <f t="shared" si="28"/>
        <v>113212430.593</v>
      </c>
      <c r="M56" s="415">
        <f t="shared" si="28"/>
        <v>107981227.422</v>
      </c>
      <c r="N56" s="415">
        <f t="shared" si="28"/>
        <v>122684702.254</v>
      </c>
      <c r="O56" s="415">
        <f t="shared" si="28"/>
        <v>1376028976.257</v>
      </c>
      <c r="R56" s="43">
        <f>SUM(R54:R55)</f>
        <v>0</v>
      </c>
      <c r="S56" s="85" t="e">
        <f>SUM(S54:S55)</f>
        <v>#DIV/0!</v>
      </c>
    </row>
    <row r="57" spans="2:15" ht="12.75">
      <c r="B57" s="409" t="s">
        <v>95</v>
      </c>
      <c r="C57" s="548">
        <f>'REVRUNS 12ME1219'!D284</f>
        <v>120581416.625</v>
      </c>
      <c r="D57" s="548">
        <f>'REVRUNS 12ME1219'!E284</f>
        <v>113255795.15</v>
      </c>
      <c r="E57" s="548">
        <f>'REVRUNS 12ME1219'!F284</f>
        <v>119857363.82800001</v>
      </c>
      <c r="F57" s="548">
        <f>'REVRUNS 12ME1219'!G284</f>
        <v>108672042.674</v>
      </c>
      <c r="G57" s="548">
        <f>'REVRUNS 12ME1219'!H284</f>
        <v>107356121.802</v>
      </c>
      <c r="H57" s="548">
        <f>'REVRUNS 12ME1219'!I284</f>
        <v>110519103.513</v>
      </c>
      <c r="I57" s="548">
        <f>'REVRUNS 12ME1219'!J284</f>
        <v>116480751.57000001</v>
      </c>
      <c r="J57" s="548">
        <f>'REVRUNS 12ME1219'!K284</f>
        <v>118121978.582</v>
      </c>
      <c r="K57" s="548">
        <f>'REVRUNS 12ME1219'!L284</f>
        <v>117306042.244</v>
      </c>
      <c r="L57" s="548">
        <f>'REVRUNS 12ME1219'!M284</f>
        <v>113212430.593</v>
      </c>
      <c r="M57" s="548">
        <f>'REVRUNS 12ME1219'!N284</f>
        <v>107981227.422</v>
      </c>
      <c r="N57" s="548">
        <f>'REVRUNS 12ME1219'!O284</f>
        <v>122684702.254</v>
      </c>
      <c r="O57" s="413">
        <f>SUM(C57:N57)</f>
        <v>1376028976.257</v>
      </c>
    </row>
    <row r="58" spans="3:16" ht="12.75">
      <c r="C58" s="43">
        <f aca="true" t="shared" si="29" ref="C58:N58">C57-C56</f>
        <v>0</v>
      </c>
      <c r="D58" s="43">
        <f t="shared" si="29"/>
        <v>0</v>
      </c>
      <c r="E58" s="43">
        <f t="shared" si="29"/>
        <v>0</v>
      </c>
      <c r="F58" s="43">
        <f t="shared" si="29"/>
        <v>0</v>
      </c>
      <c r="G58" s="43">
        <f t="shared" si="29"/>
        <v>0</v>
      </c>
      <c r="H58" s="43">
        <f t="shared" si="29"/>
        <v>0</v>
      </c>
      <c r="I58" s="43">
        <f t="shared" si="29"/>
        <v>0</v>
      </c>
      <c r="J58" s="307">
        <f t="shared" si="29"/>
        <v>0</v>
      </c>
      <c r="K58" s="307">
        <f t="shared" si="29"/>
        <v>0</v>
      </c>
      <c r="L58" s="43">
        <f t="shared" si="29"/>
        <v>0</v>
      </c>
      <c r="M58" s="307">
        <f t="shared" si="29"/>
        <v>0</v>
      </c>
      <c r="N58" s="43">
        <f t="shared" si="29"/>
        <v>0</v>
      </c>
      <c r="O58" s="413">
        <f>SUM(C58:N58)</f>
        <v>0</v>
      </c>
      <c r="P58" s="417">
        <f>O58/O57</f>
        <v>0</v>
      </c>
    </row>
    <row r="59" spans="3:16" ht="12.75">
      <c r="C59" s="43"/>
      <c r="D59" s="43"/>
      <c r="E59" s="43"/>
      <c r="F59" s="43"/>
      <c r="G59" s="43"/>
      <c r="H59" s="43"/>
      <c r="I59" s="43"/>
      <c r="J59" s="307"/>
      <c r="K59" s="307"/>
      <c r="L59" s="43"/>
      <c r="M59" s="307"/>
      <c r="N59" s="43"/>
      <c r="O59" s="413"/>
      <c r="P59" s="417"/>
    </row>
    <row r="60" spans="2:16" ht="12.75">
      <c r="B60" s="409" t="s">
        <v>504</v>
      </c>
      <c r="C60" s="419">
        <f>(C54/C$56)*C$58</f>
        <v>0</v>
      </c>
      <c r="D60" s="419">
        <f aca="true" t="shared" si="30" ref="D60:N60">(D54/D$56)*D$58</f>
        <v>0</v>
      </c>
      <c r="E60" s="419">
        <f t="shared" si="30"/>
        <v>0</v>
      </c>
      <c r="F60" s="419">
        <f t="shared" si="30"/>
        <v>0</v>
      </c>
      <c r="G60" s="419">
        <f t="shared" si="30"/>
        <v>0</v>
      </c>
      <c r="H60" s="419">
        <f t="shared" si="30"/>
        <v>0</v>
      </c>
      <c r="I60" s="419">
        <f t="shared" si="30"/>
        <v>0</v>
      </c>
      <c r="J60" s="419">
        <f t="shared" si="30"/>
        <v>0</v>
      </c>
      <c r="K60" s="419">
        <f t="shared" si="30"/>
        <v>0</v>
      </c>
      <c r="L60" s="419">
        <f t="shared" si="30"/>
        <v>0</v>
      </c>
      <c r="M60" s="419">
        <f t="shared" si="30"/>
        <v>0</v>
      </c>
      <c r="N60" s="419">
        <f t="shared" si="30"/>
        <v>0</v>
      </c>
      <c r="O60" s="419">
        <f>SUM(C60:N60)</f>
        <v>0</v>
      </c>
      <c r="P60" s="417"/>
    </row>
    <row r="61" spans="2:16" ht="12.75">
      <c r="B61" s="409" t="s">
        <v>505</v>
      </c>
      <c r="C61" s="420">
        <f>(C55/C$56)*C$58</f>
        <v>0</v>
      </c>
      <c r="D61" s="420">
        <f aca="true" t="shared" si="31" ref="D61:N61">(D55/D$56)*D$58</f>
        <v>0</v>
      </c>
      <c r="E61" s="420">
        <f t="shared" si="31"/>
        <v>0</v>
      </c>
      <c r="F61" s="420">
        <f t="shared" si="31"/>
        <v>0</v>
      </c>
      <c r="G61" s="420">
        <f t="shared" si="31"/>
        <v>0</v>
      </c>
      <c r="H61" s="420">
        <f t="shared" si="31"/>
        <v>0</v>
      </c>
      <c r="I61" s="420">
        <f t="shared" si="31"/>
        <v>0</v>
      </c>
      <c r="J61" s="420">
        <f t="shared" si="31"/>
        <v>0</v>
      </c>
      <c r="K61" s="420">
        <f t="shared" si="31"/>
        <v>0</v>
      </c>
      <c r="L61" s="420">
        <f t="shared" si="31"/>
        <v>0</v>
      </c>
      <c r="M61" s="420">
        <f t="shared" si="31"/>
        <v>0</v>
      </c>
      <c r="N61" s="420">
        <f t="shared" si="31"/>
        <v>0</v>
      </c>
      <c r="O61" s="420">
        <f>SUM(C61:N61)</f>
        <v>0</v>
      </c>
      <c r="P61" s="417"/>
    </row>
    <row r="62" spans="3:16" ht="12.75">
      <c r="C62" s="419">
        <f aca="true" t="shared" si="32" ref="C62:O62">SUM(C60:C61)</f>
        <v>0</v>
      </c>
      <c r="D62" s="419">
        <f t="shared" si="32"/>
        <v>0</v>
      </c>
      <c r="E62" s="419">
        <f t="shared" si="32"/>
        <v>0</v>
      </c>
      <c r="F62" s="419">
        <f t="shared" si="32"/>
        <v>0</v>
      </c>
      <c r="G62" s="419">
        <f t="shared" si="32"/>
        <v>0</v>
      </c>
      <c r="H62" s="419">
        <f t="shared" si="32"/>
        <v>0</v>
      </c>
      <c r="I62" s="419">
        <f t="shared" si="32"/>
        <v>0</v>
      </c>
      <c r="J62" s="419">
        <f t="shared" si="32"/>
        <v>0</v>
      </c>
      <c r="K62" s="419">
        <f t="shared" si="32"/>
        <v>0</v>
      </c>
      <c r="L62" s="419">
        <f t="shared" si="32"/>
        <v>0</v>
      </c>
      <c r="M62" s="419">
        <f t="shared" si="32"/>
        <v>0</v>
      </c>
      <c r="N62" s="419">
        <f t="shared" si="32"/>
        <v>0</v>
      </c>
      <c r="O62" s="419">
        <f t="shared" si="32"/>
        <v>0</v>
      </c>
      <c r="P62" s="417"/>
    </row>
    <row r="63" spans="3:16" ht="12.75">
      <c r="C63" s="419"/>
      <c r="D63" s="419"/>
      <c r="E63" s="419"/>
      <c r="F63" s="419"/>
      <c r="G63" s="419"/>
      <c r="H63" s="419"/>
      <c r="I63" s="419"/>
      <c r="J63" s="419"/>
      <c r="K63" s="419"/>
      <c r="L63" s="419"/>
      <c r="M63" s="419"/>
      <c r="N63" s="419"/>
      <c r="O63" s="419"/>
      <c r="P63" s="417"/>
    </row>
    <row r="64" spans="2:16" ht="12.75">
      <c r="B64" s="409" t="s">
        <v>504</v>
      </c>
      <c r="C64" s="419">
        <f>C54+C60</f>
        <v>108358321.55833</v>
      </c>
      <c r="D64" s="419">
        <f aca="true" t="shared" si="33" ref="D64:N64">D54+D60</f>
        <v>102275964.95</v>
      </c>
      <c r="E64" s="419">
        <f t="shared" si="33"/>
        <v>107993601.13467</v>
      </c>
      <c r="F64" s="419">
        <f t="shared" si="33"/>
        <v>98423683.714</v>
      </c>
      <c r="G64" s="419">
        <f t="shared" si="33"/>
        <v>96197841.162</v>
      </c>
      <c r="H64" s="419">
        <f t="shared" si="33"/>
        <v>98782467.813</v>
      </c>
      <c r="I64" s="419">
        <f t="shared" si="33"/>
        <v>103224516.31</v>
      </c>
      <c r="J64" s="419">
        <f t="shared" si="33"/>
        <v>103968002.022</v>
      </c>
      <c r="K64" s="419">
        <f t="shared" si="33"/>
        <v>102026064.064</v>
      </c>
      <c r="L64" s="419">
        <f t="shared" si="33"/>
        <v>101652667.33967</v>
      </c>
      <c r="M64" s="419">
        <f t="shared" si="33"/>
        <v>97289918.782</v>
      </c>
      <c r="N64" s="419">
        <f t="shared" si="33"/>
        <v>109598102.954</v>
      </c>
      <c r="O64" s="419">
        <f>SUM(C64:N64)</f>
        <v>1229791151.80367</v>
      </c>
      <c r="P64" s="417"/>
    </row>
    <row r="65" spans="2:16" ht="12.75">
      <c r="B65" s="409" t="s">
        <v>505</v>
      </c>
      <c r="C65" s="420">
        <f>C55+C61</f>
        <v>12223095.06667</v>
      </c>
      <c r="D65" s="420">
        <f aca="true" t="shared" si="34" ref="D65:N65">D55+D61</f>
        <v>10979830.2</v>
      </c>
      <c r="E65" s="420">
        <f t="shared" si="34"/>
        <v>11863762.69333</v>
      </c>
      <c r="F65" s="420">
        <f t="shared" si="34"/>
        <v>10248358.96</v>
      </c>
      <c r="G65" s="420">
        <f t="shared" si="34"/>
        <v>11158280.64</v>
      </c>
      <c r="H65" s="420">
        <f t="shared" si="34"/>
        <v>11736635.7</v>
      </c>
      <c r="I65" s="420">
        <f t="shared" si="34"/>
        <v>13256235.26</v>
      </c>
      <c r="J65" s="420">
        <f t="shared" si="34"/>
        <v>14153976.56</v>
      </c>
      <c r="K65" s="420">
        <f t="shared" si="34"/>
        <v>15279978.18</v>
      </c>
      <c r="L65" s="420">
        <f t="shared" si="34"/>
        <v>11559763.25333</v>
      </c>
      <c r="M65" s="420">
        <f t="shared" si="34"/>
        <v>10691308.64</v>
      </c>
      <c r="N65" s="420">
        <f t="shared" si="34"/>
        <v>13086599.3</v>
      </c>
      <c r="O65" s="420">
        <f>SUM(C65:N65)</f>
        <v>146237824.45333</v>
      </c>
      <c r="P65" s="417"/>
    </row>
    <row r="66" spans="3:16" ht="12.75">
      <c r="C66" s="419">
        <f aca="true" t="shared" si="35" ref="C66:O66">SUM(C64:C65)</f>
        <v>120581416.625</v>
      </c>
      <c r="D66" s="419">
        <f t="shared" si="35"/>
        <v>113255795.15</v>
      </c>
      <c r="E66" s="419">
        <f t="shared" si="35"/>
        <v>119857363.82800001</v>
      </c>
      <c r="F66" s="419">
        <f t="shared" si="35"/>
        <v>108672042.674</v>
      </c>
      <c r="G66" s="419">
        <f t="shared" si="35"/>
        <v>107356121.802</v>
      </c>
      <c r="H66" s="419">
        <f t="shared" si="35"/>
        <v>110519103.513</v>
      </c>
      <c r="I66" s="419">
        <f t="shared" si="35"/>
        <v>116480751.57000001</v>
      </c>
      <c r="J66" s="419">
        <f t="shared" si="35"/>
        <v>118121978.582</v>
      </c>
      <c r="K66" s="419">
        <f t="shared" si="35"/>
        <v>117306042.24399999</v>
      </c>
      <c r="L66" s="419">
        <f t="shared" si="35"/>
        <v>113212430.593</v>
      </c>
      <c r="M66" s="419">
        <f t="shared" si="35"/>
        <v>107981227.422</v>
      </c>
      <c r="N66" s="419">
        <f t="shared" si="35"/>
        <v>122684702.254</v>
      </c>
      <c r="O66" s="419">
        <f t="shared" si="35"/>
        <v>1376028976.257</v>
      </c>
      <c r="P66" s="417"/>
    </row>
    <row r="67" spans="3:16" ht="12.75">
      <c r="C67" s="413">
        <f aca="true" t="shared" si="36" ref="C67:O67">C66-C57</f>
        <v>0</v>
      </c>
      <c r="D67" s="413">
        <f t="shared" si="36"/>
        <v>0</v>
      </c>
      <c r="E67" s="413">
        <f t="shared" si="36"/>
        <v>0</v>
      </c>
      <c r="F67" s="413">
        <f t="shared" si="36"/>
        <v>0</v>
      </c>
      <c r="G67" s="413">
        <f t="shared" si="36"/>
        <v>0</v>
      </c>
      <c r="H67" s="413">
        <f t="shared" si="36"/>
        <v>0</v>
      </c>
      <c r="I67" s="413">
        <f t="shared" si="36"/>
        <v>0</v>
      </c>
      <c r="J67" s="413">
        <f t="shared" si="36"/>
        <v>0</v>
      </c>
      <c r="K67" s="413">
        <f t="shared" si="36"/>
        <v>0</v>
      </c>
      <c r="L67" s="413">
        <f t="shared" si="36"/>
        <v>0</v>
      </c>
      <c r="M67" s="413">
        <f t="shared" si="36"/>
        <v>0</v>
      </c>
      <c r="N67" s="413">
        <f t="shared" si="36"/>
        <v>0</v>
      </c>
      <c r="O67" s="413">
        <f t="shared" si="36"/>
        <v>0</v>
      </c>
      <c r="P67" s="417"/>
    </row>
    <row r="68" spans="3:16" ht="12.75">
      <c r="C68" s="43"/>
      <c r="D68" s="43"/>
      <c r="E68" s="43"/>
      <c r="F68" s="43"/>
      <c r="G68" s="43"/>
      <c r="H68" s="43"/>
      <c r="I68" s="43"/>
      <c r="J68" s="307"/>
      <c r="K68" s="307"/>
      <c r="L68" s="43"/>
      <c r="M68" s="307"/>
      <c r="N68" s="43"/>
      <c r="O68" s="413"/>
      <c r="P68" s="417"/>
    </row>
    <row r="69" spans="1:2" ht="12.75">
      <c r="A69" s="19"/>
      <c r="B69" s="35" t="s">
        <v>514</v>
      </c>
    </row>
    <row r="70" spans="2:18" ht="12.75">
      <c r="B70" s="409" t="s">
        <v>504</v>
      </c>
      <c r="C70" s="414"/>
      <c r="D70" s="414"/>
      <c r="E70" s="414"/>
      <c r="F70" s="414"/>
      <c r="G70" s="414"/>
      <c r="H70" s="414"/>
      <c r="I70" s="414"/>
      <c r="J70" s="414"/>
      <c r="K70" s="414"/>
      <c r="L70" s="414"/>
      <c r="M70" s="414"/>
      <c r="N70" s="414"/>
      <c r="O70" s="413">
        <f>SUM(C70:N70)</f>
        <v>0</v>
      </c>
      <c r="R70" s="43">
        <v>0</v>
      </c>
    </row>
    <row r="71" spans="2:18" ht="12.75">
      <c r="B71" s="409" t="s">
        <v>505</v>
      </c>
      <c r="C71" s="416">
        <f>('REVRUNS 12ME1219'!D358+'REVRUNS 12ME1219'!D365)/6.5</f>
        <v>208524.54769230768</v>
      </c>
      <c r="D71" s="416">
        <f>('REVRUNS 12ME1219'!E358+'REVRUNS 12ME1219'!E365)/6.5</f>
        <v>202774.69384615385</v>
      </c>
      <c r="E71" s="416">
        <f>('REVRUNS 12ME1219'!F358+'REVRUNS 12ME1219'!F365)/6.5</f>
        <v>216029.02769230772</v>
      </c>
      <c r="F71" s="416">
        <f>('REVRUNS 12ME1219'!G358+'REVRUNS 12ME1219'!G365)/6.5</f>
        <v>205960.78153846154</v>
      </c>
      <c r="G71" s="416">
        <f>('REVRUNS 12ME1219'!H358+'REVRUNS 12ME1219'!H365)/6.5</f>
        <v>209866.62153846154</v>
      </c>
      <c r="H71" s="416">
        <f>('REVRUNS 12ME1219'!I358+'REVRUNS 12ME1219'!I365)/6.5</f>
        <v>229276.4107692308</v>
      </c>
      <c r="I71" s="416">
        <f>('REVRUNS 12ME1219'!J358+'REVRUNS 12ME1219'!J365)/6.5</f>
        <v>233678.21692307692</v>
      </c>
      <c r="J71" s="416">
        <f>('REVRUNS 12ME1219'!K358+'REVRUNS 12ME1219'!K365)/6.5</f>
        <v>240385.66153846154</v>
      </c>
      <c r="K71" s="416">
        <f>('REVRUNS 12ME1219'!L358+'REVRUNS 12ME1219'!L365)/6.5</f>
        <v>232430.70461538463</v>
      </c>
      <c r="L71" s="416">
        <f>('REVRUNS 12ME1219'!M358+'REVRUNS 12ME1219'!M365)/6.5</f>
        <v>237029.42153846152</v>
      </c>
      <c r="M71" s="416">
        <f>('REVRUNS 12ME1219'!N358+'REVRUNS 12ME1219'!N365)/6.5</f>
        <v>219396.10923076922</v>
      </c>
      <c r="N71" s="416">
        <f>('REVRUNS 12ME1219'!O358+'REVRUNS 12ME1219'!O365)/6.5</f>
        <v>212683.40461538458</v>
      </c>
      <c r="O71" s="413">
        <f>SUM(C71:N71)</f>
        <v>2648035.6015384616</v>
      </c>
      <c r="P71" s="542" t="e">
        <f>(#REF!+#REF!)/6.34-O71</f>
        <v>#REF!</v>
      </c>
      <c r="R71" s="423">
        <v>0</v>
      </c>
    </row>
    <row r="72" spans="1:18" ht="12.75">
      <c r="A72" s="409" t="s">
        <v>510</v>
      </c>
      <c r="B72" s="35" t="s">
        <v>66</v>
      </c>
      <c r="C72" s="415">
        <f aca="true" t="shared" si="37" ref="C72:O72">SUM(C70:C71)</f>
        <v>208524.54769230768</v>
      </c>
      <c r="D72" s="415">
        <f t="shared" si="37"/>
        <v>202774.69384615385</v>
      </c>
      <c r="E72" s="415">
        <f t="shared" si="37"/>
        <v>216029.02769230772</v>
      </c>
      <c r="F72" s="415">
        <f t="shared" si="37"/>
        <v>205960.78153846154</v>
      </c>
      <c r="G72" s="415">
        <f t="shared" si="37"/>
        <v>209866.62153846154</v>
      </c>
      <c r="H72" s="415">
        <f t="shared" si="37"/>
        <v>229276.4107692308</v>
      </c>
      <c r="I72" s="415">
        <f t="shared" si="37"/>
        <v>233678.21692307692</v>
      </c>
      <c r="J72" s="415">
        <f t="shared" si="37"/>
        <v>240385.66153846154</v>
      </c>
      <c r="K72" s="415">
        <f t="shared" si="37"/>
        <v>232430.70461538463</v>
      </c>
      <c r="L72" s="415">
        <f t="shared" si="37"/>
        <v>237029.42153846152</v>
      </c>
      <c r="M72" s="415">
        <f t="shared" si="37"/>
        <v>219396.10923076922</v>
      </c>
      <c r="N72" s="415">
        <f t="shared" si="37"/>
        <v>212683.40461538458</v>
      </c>
      <c r="O72" s="415">
        <f t="shared" si="37"/>
        <v>2648035.6015384616</v>
      </c>
      <c r="R72" s="43">
        <f>SUM(R70:R71)</f>
        <v>0</v>
      </c>
    </row>
    <row r="74" spans="1:2" ht="12.75">
      <c r="A74" s="19"/>
      <c r="B74" s="35" t="s">
        <v>514</v>
      </c>
    </row>
    <row r="75" spans="2:18" ht="12.75">
      <c r="B75" s="409" t="s">
        <v>511</v>
      </c>
      <c r="C75" s="416">
        <f>('REVRUNS 12ME1219'!D359+'REVRUNS 12ME1219'!D366)/0.5</f>
        <v>18226.46</v>
      </c>
      <c r="D75" s="416">
        <f>('REVRUNS 12ME1219'!E359+'REVRUNS 12ME1219'!E366)/0.5</f>
        <v>17336.36</v>
      </c>
      <c r="E75" s="416">
        <f>('REVRUNS 12ME1219'!F359+'REVRUNS 12ME1219'!F366)/0.5</f>
        <v>16984.3</v>
      </c>
      <c r="F75" s="416">
        <f>('REVRUNS 12ME1219'!G359+'REVRUNS 12ME1219'!G366)/0.5</f>
        <v>18368.88</v>
      </c>
      <c r="G75" s="416">
        <f>('REVRUNS 12ME1219'!H359+'REVRUNS 12ME1219'!H366)/0.5</f>
        <v>20140.58</v>
      </c>
      <c r="H75" s="416">
        <f>('REVRUNS 12ME1219'!I359+'REVRUNS 12ME1219'!I366)/0.5</f>
        <v>21872.62</v>
      </c>
      <c r="I75" s="416">
        <f>('REVRUNS 12ME1219'!J359+'REVRUNS 12ME1219'!J366)/0.5</f>
        <v>24412.9</v>
      </c>
      <c r="J75" s="416">
        <f>('REVRUNS 12ME1219'!K359+'REVRUNS 12ME1219'!K366)/0.5</f>
        <v>23655.34</v>
      </c>
      <c r="K75" s="416">
        <f>('REVRUNS 12ME1219'!L359+'REVRUNS 12ME1219'!L366)/0.5</f>
        <v>24940.6</v>
      </c>
      <c r="L75" s="416">
        <f>('REVRUNS 12ME1219'!M359+'REVRUNS 12ME1219'!M366)/0.5</f>
        <v>23026.719999999998</v>
      </c>
      <c r="M75" s="416">
        <f>('REVRUNS 12ME1219'!N359+'REVRUNS 12ME1219'!N366)/0.5</f>
        <v>22253.04</v>
      </c>
      <c r="N75" s="416">
        <f>('REVRUNS 12ME1219'!O359+'REVRUNS 12ME1219'!O366)/0.5</f>
        <v>21367.08</v>
      </c>
      <c r="O75" s="413">
        <f>SUM(C75:N75)</f>
        <v>252584.88</v>
      </c>
      <c r="R75" s="43">
        <v>0</v>
      </c>
    </row>
    <row r="76" spans="2:15" ht="12.75">
      <c r="B76" s="409" t="s">
        <v>512</v>
      </c>
      <c r="C76" s="421">
        <v>0.5</v>
      </c>
      <c r="D76" s="421">
        <v>0.5</v>
      </c>
      <c r="E76" s="421">
        <v>0.5</v>
      </c>
      <c r="F76" s="421">
        <v>0.5</v>
      </c>
      <c r="G76" s="421">
        <v>0.5</v>
      </c>
      <c r="H76" s="421">
        <v>0.5</v>
      </c>
      <c r="I76" s="421">
        <v>0.5</v>
      </c>
      <c r="J76" s="421">
        <v>0.5</v>
      </c>
      <c r="K76" s="421">
        <v>0.5</v>
      </c>
      <c r="L76" s="421">
        <v>0.5</v>
      </c>
      <c r="M76" s="421">
        <v>0.5</v>
      </c>
      <c r="N76" s="421">
        <v>0.5</v>
      </c>
      <c r="O76" s="421">
        <v>0.5</v>
      </c>
    </row>
    <row r="77" spans="2:16" ht="12.75">
      <c r="B77" s="409" t="s">
        <v>513</v>
      </c>
      <c r="C77" s="418">
        <f aca="true" t="shared" si="38" ref="C77:H77">C75*C76</f>
        <v>9113.23</v>
      </c>
      <c r="D77" s="418">
        <f t="shared" si="38"/>
        <v>8668.18</v>
      </c>
      <c r="E77" s="418">
        <f t="shared" si="38"/>
        <v>8492.15</v>
      </c>
      <c r="F77" s="418">
        <f t="shared" si="38"/>
        <v>9184.44</v>
      </c>
      <c r="G77" s="418">
        <f t="shared" si="38"/>
        <v>10070.29</v>
      </c>
      <c r="H77" s="418">
        <f t="shared" si="38"/>
        <v>10936.31</v>
      </c>
      <c r="I77" s="418">
        <f>I75*I76</f>
        <v>12206.45</v>
      </c>
      <c r="J77" s="418">
        <f aca="true" t="shared" si="39" ref="J77:O77">J75*J76</f>
        <v>11827.67</v>
      </c>
      <c r="K77" s="418">
        <f t="shared" si="39"/>
        <v>12470.3</v>
      </c>
      <c r="L77" s="418">
        <f t="shared" si="39"/>
        <v>11513.359999999999</v>
      </c>
      <c r="M77" s="418">
        <f t="shared" si="39"/>
        <v>11126.52</v>
      </c>
      <c r="N77" s="418">
        <f t="shared" si="39"/>
        <v>10683.54</v>
      </c>
      <c r="O77" s="418">
        <f t="shared" si="39"/>
        <v>126292.44</v>
      </c>
      <c r="P77" s="647">
        <f>O77-'REVRUNS 12ME1219'!P359-'REVRUNS 12ME1219'!P366</f>
        <v>-2.3305801732931286E-12</v>
      </c>
    </row>
    <row r="79" spans="1:2" ht="12.75">
      <c r="A79" s="19"/>
      <c r="B79" s="35" t="s">
        <v>518</v>
      </c>
    </row>
    <row r="80" spans="2:19" ht="12.75">
      <c r="B80" s="409" t="s">
        <v>504</v>
      </c>
      <c r="C80" s="414">
        <f>'REVRUNS 12ME1219'!D173+'REVRUNS 12ME1219'!D186</f>
        <v>1558446.57068</v>
      </c>
      <c r="D80" s="414">
        <f>'REVRUNS 12ME1219'!E173+'REVRUNS 12ME1219'!E186</f>
        <v>1621911.93167</v>
      </c>
      <c r="E80" s="414">
        <f>'REVRUNS 12ME1219'!F173+'REVRUNS 12ME1219'!F186</f>
        <v>1656268.9913299999</v>
      </c>
      <c r="F80" s="414">
        <f>'REVRUNS 12ME1219'!G173+'REVRUNS 12ME1219'!G186</f>
        <v>1815577.89133</v>
      </c>
      <c r="G80" s="414">
        <f>'REVRUNS 12ME1219'!H173+'REVRUNS 12ME1219'!H186</f>
        <v>3279861.838</v>
      </c>
      <c r="H80" s="414">
        <f>'REVRUNS 12ME1219'!I173+'REVRUNS 12ME1219'!I186</f>
        <v>4298187.57467</v>
      </c>
      <c r="I80" s="414">
        <f>'REVRUNS 12ME1219'!J173+'REVRUNS 12ME1219'!J186</f>
        <v>4736307.777</v>
      </c>
      <c r="J80" s="414">
        <f>'REVRUNS 12ME1219'!K173+'REVRUNS 12ME1219'!K186</f>
        <v>5023006.22883</v>
      </c>
      <c r="K80" s="414">
        <f>'REVRUNS 12ME1219'!L173+'REVRUNS 12ME1219'!L186</f>
        <v>4756270.51234</v>
      </c>
      <c r="L80" s="414">
        <f>'REVRUNS 12ME1219'!M173+'REVRUNS 12ME1219'!M186</f>
        <v>3386712.26599</v>
      </c>
      <c r="M80" s="414">
        <f>'REVRUNS 12ME1219'!N173+'REVRUNS 12ME1219'!N186</f>
        <v>1727064.00851</v>
      </c>
      <c r="N80" s="414">
        <f>'REVRUNS 12ME1219'!O173+'REVRUNS 12ME1219'!O186</f>
        <v>1657402.59216</v>
      </c>
      <c r="O80" s="413">
        <f>SUM(C80:N80)</f>
        <v>35517018.18251</v>
      </c>
      <c r="P80" s="457"/>
      <c r="R80" s="43">
        <v>0</v>
      </c>
      <c r="S80" s="424" t="e">
        <f>R80/$R$83</f>
        <v>#DIV/0!</v>
      </c>
    </row>
    <row r="81" spans="2:19" ht="12.75">
      <c r="B81" s="409" t="s">
        <v>505</v>
      </c>
      <c r="C81" s="414">
        <f>'REVRUNS 12ME1219'!D174+'REVRUNS 12ME1219'!D187</f>
        <v>475843.113</v>
      </c>
      <c r="D81" s="414">
        <f>'REVRUNS 12ME1219'!E174+'REVRUNS 12ME1219'!E187</f>
        <v>469665.33632999996</v>
      </c>
      <c r="E81" s="414">
        <f>'REVRUNS 12ME1219'!F174+'REVRUNS 12ME1219'!F187</f>
        <v>511613.42467</v>
      </c>
      <c r="F81" s="414">
        <f>'REVRUNS 12ME1219'!G174+'REVRUNS 12ME1219'!G187</f>
        <v>494263.284</v>
      </c>
      <c r="G81" s="414">
        <f>'REVRUNS 12ME1219'!H174+'REVRUNS 12ME1219'!H187</f>
        <v>1062983.333</v>
      </c>
      <c r="H81" s="414">
        <f>'REVRUNS 12ME1219'!I174+'REVRUNS 12ME1219'!I187</f>
        <v>1484354.34133</v>
      </c>
      <c r="I81" s="414">
        <f>'REVRUNS 12ME1219'!J174+'REVRUNS 12ME1219'!J187</f>
        <v>1735717.555</v>
      </c>
      <c r="J81" s="414">
        <f>'REVRUNS 12ME1219'!K174+'REVRUNS 12ME1219'!K187</f>
        <v>1767781.146</v>
      </c>
      <c r="K81" s="414">
        <f>'REVRUNS 12ME1219'!L174+'REVRUNS 12ME1219'!L187</f>
        <v>1599467.4870000002</v>
      </c>
      <c r="L81" s="414">
        <f>'REVRUNS 12ME1219'!M174+'REVRUNS 12ME1219'!M187</f>
        <v>780886.32367</v>
      </c>
      <c r="M81" s="414">
        <f>'REVRUNS 12ME1219'!N174+'REVRUNS 12ME1219'!N187</f>
        <v>421693.76432</v>
      </c>
      <c r="N81" s="414">
        <f>'REVRUNS 12ME1219'!O174+'REVRUNS 12ME1219'!O187</f>
        <v>469450.41933999996</v>
      </c>
      <c r="O81" s="413">
        <f>SUM(C81:N81)</f>
        <v>11273719.527659997</v>
      </c>
      <c r="P81" s="457"/>
      <c r="R81" s="43">
        <v>0</v>
      </c>
      <c r="S81" s="424" t="e">
        <f>R81/$R$83</f>
        <v>#DIV/0!</v>
      </c>
    </row>
    <row r="82" spans="2:19" ht="12.75">
      <c r="B82" s="409" t="s">
        <v>516</v>
      </c>
      <c r="C82" s="414">
        <f>'REVRUNS 12ME1219'!D175+'REVRUNS 12ME1219'!D188+'REVRUNS 12ME1219'!D161</f>
        <v>2333522.90032</v>
      </c>
      <c r="D82" s="414">
        <f>'REVRUNS 12ME1219'!E175+'REVRUNS 12ME1219'!E188+'REVRUNS 12ME1219'!E161</f>
        <v>2085330.927</v>
      </c>
      <c r="E82" s="414">
        <f>'REVRUNS 12ME1219'!F175+'REVRUNS 12ME1219'!F188+'REVRUNS 12ME1219'!F161</f>
        <v>2231464.571</v>
      </c>
      <c r="F82" s="414">
        <f>'REVRUNS 12ME1219'!G175+'REVRUNS 12ME1219'!G188+'REVRUNS 12ME1219'!G161</f>
        <v>2305842.4046699996</v>
      </c>
      <c r="G82" s="414">
        <f>'REVRUNS 12ME1219'!H175+'REVRUNS 12ME1219'!H188+'REVRUNS 12ME1219'!H161</f>
        <v>7579181.09</v>
      </c>
      <c r="H82" s="414">
        <f>'REVRUNS 12ME1219'!I175+'REVRUNS 12ME1219'!I188+'REVRUNS 12ME1219'!I161</f>
        <v>12758070.55</v>
      </c>
      <c r="I82" s="414">
        <f>'REVRUNS 12ME1219'!J175+'REVRUNS 12ME1219'!J188+'REVRUNS 12ME1219'!J161</f>
        <v>16855941.529999997</v>
      </c>
      <c r="J82" s="414">
        <f>'REVRUNS 12ME1219'!K175+'REVRUNS 12ME1219'!K188+'REVRUNS 12ME1219'!K161</f>
        <v>18315605.14817</v>
      </c>
      <c r="K82" s="414">
        <f>'REVRUNS 12ME1219'!L175+'REVRUNS 12ME1219'!L188+'REVRUNS 12ME1219'!L161</f>
        <v>17926584.96966</v>
      </c>
      <c r="L82" s="414">
        <f>'REVRUNS 12ME1219'!M175+'REVRUNS 12ME1219'!M188+'REVRUNS 12ME1219'!M161</f>
        <v>6156277.4933400005</v>
      </c>
      <c r="M82" s="414">
        <f>'REVRUNS 12ME1219'!N175+'REVRUNS 12ME1219'!N188+'REVRUNS 12ME1219'!N161</f>
        <v>2047937.33117</v>
      </c>
      <c r="N82" s="414">
        <f>'REVRUNS 12ME1219'!O175+'REVRUNS 12ME1219'!O188+'REVRUNS 12ME1219'!O161</f>
        <v>2173482.4165000003</v>
      </c>
      <c r="O82" s="413">
        <f>SUM(C82:N82)</f>
        <v>92769241.33183</v>
      </c>
      <c r="P82" s="457"/>
      <c r="R82" s="423">
        <v>0</v>
      </c>
      <c r="S82" s="425" t="e">
        <f>R82/$R$83</f>
        <v>#DIV/0!</v>
      </c>
    </row>
    <row r="83" spans="1:19" ht="12.75">
      <c r="A83" s="409" t="s">
        <v>506</v>
      </c>
      <c r="B83" s="35" t="s">
        <v>66</v>
      </c>
      <c r="C83" s="39">
        <f aca="true" t="shared" si="40" ref="C83:O83">SUM(C80:C82)</f>
        <v>4367812.584</v>
      </c>
      <c r="D83" s="39">
        <f t="shared" si="40"/>
        <v>4176908.1950000003</v>
      </c>
      <c r="E83" s="39">
        <f t="shared" si="40"/>
        <v>4399346.987</v>
      </c>
      <c r="F83" s="39">
        <f t="shared" si="40"/>
        <v>4615683.58</v>
      </c>
      <c r="G83" s="39">
        <f t="shared" si="40"/>
        <v>11922026.261</v>
      </c>
      <c r="H83" s="39">
        <f t="shared" si="40"/>
        <v>18540612.466000002</v>
      </c>
      <c r="I83" s="39">
        <f t="shared" si="40"/>
        <v>23327966.861999996</v>
      </c>
      <c r="J83" s="39">
        <f t="shared" si="40"/>
        <v>25106392.523000002</v>
      </c>
      <c r="K83" s="39">
        <f t="shared" si="40"/>
        <v>24282322.968999997</v>
      </c>
      <c r="L83" s="39">
        <f t="shared" si="40"/>
        <v>10323876.083</v>
      </c>
      <c r="M83" s="39">
        <f t="shared" si="40"/>
        <v>4196695.104</v>
      </c>
      <c r="N83" s="39">
        <f t="shared" si="40"/>
        <v>4300335.428</v>
      </c>
      <c r="O83" s="39">
        <f t="shared" si="40"/>
        <v>139559979.042</v>
      </c>
      <c r="P83" s="457"/>
      <c r="R83" s="43">
        <f>SUM(R80:R82)</f>
        <v>0</v>
      </c>
      <c r="S83" s="85" t="e">
        <f>SUM(S80:S82)</f>
        <v>#DIV/0!</v>
      </c>
    </row>
    <row r="84" spans="2:15" ht="12.75">
      <c r="B84" s="409" t="s">
        <v>95</v>
      </c>
      <c r="C84" s="549">
        <f>'REVRUNS 12ME1219'!D286</f>
        <v>4367812.584</v>
      </c>
      <c r="D84" s="549">
        <f>'REVRUNS 12ME1219'!E286</f>
        <v>4176908.195</v>
      </c>
      <c r="E84" s="549">
        <f>'REVRUNS 12ME1219'!F286</f>
        <v>4399346.987</v>
      </c>
      <c r="F84" s="549">
        <f>'REVRUNS 12ME1219'!G286</f>
        <v>4615683.58</v>
      </c>
      <c r="G84" s="549">
        <f>'REVRUNS 12ME1219'!H286</f>
        <v>11922026.261</v>
      </c>
      <c r="H84" s="549">
        <f>'REVRUNS 12ME1219'!I286</f>
        <v>18540612.466</v>
      </c>
      <c r="I84" s="549">
        <f>'REVRUNS 12ME1219'!J286</f>
        <v>23327966.862</v>
      </c>
      <c r="J84" s="549">
        <f>'REVRUNS 12ME1219'!K286</f>
        <v>25106392.523000002</v>
      </c>
      <c r="K84" s="549">
        <f>'REVRUNS 12ME1219'!L286</f>
        <v>24282322.969</v>
      </c>
      <c r="L84" s="549">
        <f>'REVRUNS 12ME1219'!M286</f>
        <v>10323876.083</v>
      </c>
      <c r="M84" s="549">
        <f>'REVRUNS 12ME1219'!N286</f>
        <v>4196695.104</v>
      </c>
      <c r="N84" s="549">
        <f>'REVRUNS 12ME1219'!O286</f>
        <v>4300335.428</v>
      </c>
      <c r="O84" s="413">
        <f>SUM(C84:N84)</f>
        <v>139559979.042</v>
      </c>
    </row>
    <row r="85" spans="3:16" ht="12.75">
      <c r="C85" s="43">
        <f aca="true" t="shared" si="41" ref="C85:N85">C84-C83</f>
        <v>0</v>
      </c>
      <c r="D85" s="43">
        <f t="shared" si="41"/>
        <v>0</v>
      </c>
      <c r="E85" s="43">
        <f t="shared" si="41"/>
        <v>0</v>
      </c>
      <c r="F85" s="43">
        <f t="shared" si="41"/>
        <v>0</v>
      </c>
      <c r="G85" s="43">
        <f t="shared" si="41"/>
        <v>0</v>
      </c>
      <c r="H85" s="43">
        <f t="shared" si="41"/>
        <v>0</v>
      </c>
      <c r="I85" s="43">
        <f t="shared" si="41"/>
        <v>0</v>
      </c>
      <c r="J85" s="307">
        <f t="shared" si="41"/>
        <v>0</v>
      </c>
      <c r="K85" s="43">
        <f t="shared" si="41"/>
        <v>0</v>
      </c>
      <c r="L85" s="43">
        <f t="shared" si="41"/>
        <v>0</v>
      </c>
      <c r="M85" s="43">
        <f t="shared" si="41"/>
        <v>0</v>
      </c>
      <c r="N85" s="43">
        <f t="shared" si="41"/>
        <v>0</v>
      </c>
      <c r="O85" s="413">
        <f>SUM(C85:N85)</f>
        <v>0</v>
      </c>
      <c r="P85" s="417">
        <f>O85/O84</f>
        <v>0</v>
      </c>
    </row>
    <row r="86" spans="3:16" ht="12.75">
      <c r="C86" s="43"/>
      <c r="D86" s="43"/>
      <c r="E86" s="43"/>
      <c r="F86" s="43"/>
      <c r="G86" s="43"/>
      <c r="H86" s="43"/>
      <c r="I86" s="43"/>
      <c r="J86" s="307"/>
      <c r="K86" s="43"/>
      <c r="L86" s="43"/>
      <c r="M86" s="43"/>
      <c r="N86" s="43"/>
      <c r="O86" s="413"/>
      <c r="P86" s="417"/>
    </row>
    <row r="87" spans="2:16" ht="12.75">
      <c r="B87" s="409" t="s">
        <v>504</v>
      </c>
      <c r="C87" s="419">
        <f>(C80/C$83)*C$85</f>
        <v>0</v>
      </c>
      <c r="D87" s="419">
        <f aca="true" t="shared" si="42" ref="D87:N87">(D80/D$83)*D$85</f>
        <v>0</v>
      </c>
      <c r="E87" s="419">
        <f t="shared" si="42"/>
        <v>0</v>
      </c>
      <c r="F87" s="419">
        <f t="shared" si="42"/>
        <v>0</v>
      </c>
      <c r="G87" s="419">
        <f t="shared" si="42"/>
        <v>0</v>
      </c>
      <c r="H87" s="419">
        <f t="shared" si="42"/>
        <v>0</v>
      </c>
      <c r="I87" s="419">
        <f t="shared" si="42"/>
        <v>0</v>
      </c>
      <c r="J87" s="419">
        <f t="shared" si="42"/>
        <v>0</v>
      </c>
      <c r="K87" s="419">
        <f t="shared" si="42"/>
        <v>0</v>
      </c>
      <c r="L87" s="419">
        <f>(L80/L$83)*L$85</f>
        <v>0</v>
      </c>
      <c r="M87" s="419">
        <f t="shared" si="42"/>
        <v>0</v>
      </c>
      <c r="N87" s="419">
        <f t="shared" si="42"/>
        <v>0</v>
      </c>
      <c r="O87" s="419">
        <f>SUM(C87:N87)</f>
        <v>0</v>
      </c>
      <c r="P87" s="417"/>
    </row>
    <row r="88" spans="2:16" ht="12.75">
      <c r="B88" s="409" t="s">
        <v>505</v>
      </c>
      <c r="C88" s="419">
        <f aca="true" t="shared" si="43" ref="C88:N89">(C81/C$83)*C$85</f>
        <v>0</v>
      </c>
      <c r="D88" s="419">
        <f t="shared" si="43"/>
        <v>0</v>
      </c>
      <c r="E88" s="419">
        <f t="shared" si="43"/>
        <v>0</v>
      </c>
      <c r="F88" s="419">
        <f t="shared" si="43"/>
        <v>0</v>
      </c>
      <c r="G88" s="419">
        <f t="shared" si="43"/>
        <v>0</v>
      </c>
      <c r="H88" s="419">
        <f t="shared" si="43"/>
        <v>0</v>
      </c>
      <c r="I88" s="419">
        <f t="shared" si="43"/>
        <v>0</v>
      </c>
      <c r="J88" s="419">
        <f t="shared" si="43"/>
        <v>0</v>
      </c>
      <c r="K88" s="419">
        <f t="shared" si="43"/>
        <v>0</v>
      </c>
      <c r="L88" s="419">
        <f t="shared" si="43"/>
        <v>0</v>
      </c>
      <c r="M88" s="419">
        <f t="shared" si="43"/>
        <v>0</v>
      </c>
      <c r="N88" s="419">
        <f t="shared" si="43"/>
        <v>0</v>
      </c>
      <c r="O88" s="419">
        <f>SUM(C88:N88)</f>
        <v>0</v>
      </c>
      <c r="P88" s="417"/>
    </row>
    <row r="89" spans="2:16" ht="12.75">
      <c r="B89" s="409" t="s">
        <v>516</v>
      </c>
      <c r="C89" s="420">
        <f t="shared" si="43"/>
        <v>0</v>
      </c>
      <c r="D89" s="420">
        <f t="shared" si="43"/>
        <v>0</v>
      </c>
      <c r="E89" s="420">
        <f t="shared" si="43"/>
        <v>0</v>
      </c>
      <c r="F89" s="420">
        <f t="shared" si="43"/>
        <v>0</v>
      </c>
      <c r="G89" s="420">
        <f t="shared" si="43"/>
        <v>0</v>
      </c>
      <c r="H89" s="420">
        <f t="shared" si="43"/>
        <v>0</v>
      </c>
      <c r="I89" s="420">
        <f t="shared" si="43"/>
        <v>0</v>
      </c>
      <c r="J89" s="420">
        <f t="shared" si="43"/>
        <v>0</v>
      </c>
      <c r="K89" s="420">
        <f t="shared" si="43"/>
        <v>0</v>
      </c>
      <c r="L89" s="420">
        <f t="shared" si="43"/>
        <v>0</v>
      </c>
      <c r="M89" s="420">
        <f t="shared" si="43"/>
        <v>0</v>
      </c>
      <c r="N89" s="420">
        <f t="shared" si="43"/>
        <v>0</v>
      </c>
      <c r="O89" s="420">
        <f>SUM(C89:N89)</f>
        <v>0</v>
      </c>
      <c r="P89" s="417"/>
    </row>
    <row r="90" spans="3:16" ht="12.75">
      <c r="C90" s="419">
        <f aca="true" t="shared" si="44" ref="C90:O90">SUM(C87:C89)</f>
        <v>0</v>
      </c>
      <c r="D90" s="419">
        <f t="shared" si="44"/>
        <v>0</v>
      </c>
      <c r="E90" s="419">
        <f t="shared" si="44"/>
        <v>0</v>
      </c>
      <c r="F90" s="419">
        <f t="shared" si="44"/>
        <v>0</v>
      </c>
      <c r="G90" s="419">
        <f t="shared" si="44"/>
        <v>0</v>
      </c>
      <c r="H90" s="419">
        <f t="shared" si="44"/>
        <v>0</v>
      </c>
      <c r="I90" s="419">
        <f t="shared" si="44"/>
        <v>0</v>
      </c>
      <c r="J90" s="419">
        <f t="shared" si="44"/>
        <v>0</v>
      </c>
      <c r="K90" s="419">
        <f t="shared" si="44"/>
        <v>0</v>
      </c>
      <c r="L90" s="419">
        <f t="shared" si="44"/>
        <v>0</v>
      </c>
      <c r="M90" s="419">
        <f t="shared" si="44"/>
        <v>0</v>
      </c>
      <c r="N90" s="419">
        <f t="shared" si="44"/>
        <v>0</v>
      </c>
      <c r="O90" s="419">
        <f t="shared" si="44"/>
        <v>0</v>
      </c>
      <c r="P90" s="417"/>
    </row>
    <row r="91" spans="3:16" ht="12.75">
      <c r="C91" s="419"/>
      <c r="D91" s="419"/>
      <c r="E91" s="419"/>
      <c r="F91" s="419"/>
      <c r="G91" s="419"/>
      <c r="H91" s="419"/>
      <c r="I91" s="419"/>
      <c r="J91" s="419"/>
      <c r="K91" s="419"/>
      <c r="L91" s="419"/>
      <c r="M91" s="419"/>
      <c r="N91" s="419"/>
      <c r="O91" s="419"/>
      <c r="P91" s="417"/>
    </row>
    <row r="92" spans="2:16" ht="12.75">
      <c r="B92" s="409" t="s">
        <v>504</v>
      </c>
      <c r="C92" s="419">
        <f>C80+C87</f>
        <v>1558446.57068</v>
      </c>
      <c r="D92" s="419">
        <f aca="true" t="shared" si="45" ref="D92:N92">D80+D87</f>
        <v>1621911.93167</v>
      </c>
      <c r="E92" s="419">
        <f t="shared" si="45"/>
        <v>1656268.9913299999</v>
      </c>
      <c r="F92" s="419">
        <f t="shared" si="45"/>
        <v>1815577.89133</v>
      </c>
      <c r="G92" s="419">
        <f t="shared" si="45"/>
        <v>3279861.838</v>
      </c>
      <c r="H92" s="419">
        <f t="shared" si="45"/>
        <v>4298187.57467</v>
      </c>
      <c r="I92" s="419">
        <f t="shared" si="45"/>
        <v>4736307.777</v>
      </c>
      <c r="J92" s="419">
        <f t="shared" si="45"/>
        <v>5023006.22883</v>
      </c>
      <c r="K92" s="419">
        <f t="shared" si="45"/>
        <v>4756270.51234</v>
      </c>
      <c r="L92" s="419">
        <f>L80+L87</f>
        <v>3386712.26599</v>
      </c>
      <c r="M92" s="419">
        <f t="shared" si="45"/>
        <v>1727064.00851</v>
      </c>
      <c r="N92" s="419">
        <f t="shared" si="45"/>
        <v>1657402.59216</v>
      </c>
      <c r="O92" s="419">
        <f>SUM(C92:N92)</f>
        <v>35517018.18251</v>
      </c>
      <c r="P92" s="417">
        <f>O92/$O$95</f>
        <v>0.25449285981779424</v>
      </c>
    </row>
    <row r="93" spans="2:16" ht="12.75">
      <c r="B93" s="409" t="s">
        <v>505</v>
      </c>
      <c r="C93" s="419">
        <f aca="true" t="shared" si="46" ref="C93:N94">C81+C88</f>
        <v>475843.113</v>
      </c>
      <c r="D93" s="419">
        <f t="shared" si="46"/>
        <v>469665.33632999996</v>
      </c>
      <c r="E93" s="419">
        <f t="shared" si="46"/>
        <v>511613.42467</v>
      </c>
      <c r="F93" s="419">
        <f t="shared" si="46"/>
        <v>494263.284</v>
      </c>
      <c r="G93" s="419">
        <f t="shared" si="46"/>
        <v>1062983.333</v>
      </c>
      <c r="H93" s="419">
        <f t="shared" si="46"/>
        <v>1484354.34133</v>
      </c>
      <c r="I93" s="419">
        <f t="shared" si="46"/>
        <v>1735717.555</v>
      </c>
      <c r="J93" s="419">
        <f t="shared" si="46"/>
        <v>1767781.146</v>
      </c>
      <c r="K93" s="419">
        <f t="shared" si="46"/>
        <v>1599467.4870000002</v>
      </c>
      <c r="L93" s="419">
        <f t="shared" si="46"/>
        <v>780886.32367</v>
      </c>
      <c r="M93" s="419">
        <f t="shared" si="46"/>
        <v>421693.76432</v>
      </c>
      <c r="N93" s="419">
        <f t="shared" si="46"/>
        <v>469450.41933999996</v>
      </c>
      <c r="O93" s="419">
        <f>SUM(C93:N93)</f>
        <v>11273719.527659997</v>
      </c>
      <c r="P93" s="417">
        <f>O93/$O$95</f>
        <v>0.08078046159828685</v>
      </c>
    </row>
    <row r="94" spans="2:16" ht="12.75">
      <c r="B94" s="409" t="s">
        <v>516</v>
      </c>
      <c r="C94" s="420">
        <f t="shared" si="46"/>
        <v>2333522.90032</v>
      </c>
      <c r="D94" s="420">
        <f t="shared" si="46"/>
        <v>2085330.927</v>
      </c>
      <c r="E94" s="420">
        <f t="shared" si="46"/>
        <v>2231464.571</v>
      </c>
      <c r="F94" s="420">
        <f t="shared" si="46"/>
        <v>2305842.4046699996</v>
      </c>
      <c r="G94" s="420">
        <f t="shared" si="46"/>
        <v>7579181.09</v>
      </c>
      <c r="H94" s="420">
        <f t="shared" si="46"/>
        <v>12758070.55</v>
      </c>
      <c r="I94" s="420">
        <f t="shared" si="46"/>
        <v>16855941.529999997</v>
      </c>
      <c r="J94" s="420">
        <f t="shared" si="46"/>
        <v>18315605.14817</v>
      </c>
      <c r="K94" s="420">
        <f t="shared" si="46"/>
        <v>17926584.96966</v>
      </c>
      <c r="L94" s="420">
        <f t="shared" si="46"/>
        <v>6156277.4933400005</v>
      </c>
      <c r="M94" s="420">
        <f t="shared" si="46"/>
        <v>2047937.33117</v>
      </c>
      <c r="N94" s="420">
        <f t="shared" si="46"/>
        <v>2173482.4165000003</v>
      </c>
      <c r="O94" s="420">
        <f>SUM(C94:N94)</f>
        <v>92769241.33183</v>
      </c>
      <c r="P94" s="417">
        <f>O94/$O$95</f>
        <v>0.664726678583919</v>
      </c>
    </row>
    <row r="95" spans="3:16" ht="12.75">
      <c r="C95" s="419">
        <f aca="true" t="shared" si="47" ref="C95:O95">SUM(C92:C94)</f>
        <v>4367812.584</v>
      </c>
      <c r="D95" s="419">
        <f t="shared" si="47"/>
        <v>4176908.1950000003</v>
      </c>
      <c r="E95" s="419">
        <f t="shared" si="47"/>
        <v>4399346.987</v>
      </c>
      <c r="F95" s="419">
        <f t="shared" si="47"/>
        <v>4615683.58</v>
      </c>
      <c r="G95" s="419">
        <f t="shared" si="47"/>
        <v>11922026.261</v>
      </c>
      <c r="H95" s="419">
        <f t="shared" si="47"/>
        <v>18540612.466000002</v>
      </c>
      <c r="I95" s="419">
        <f t="shared" si="47"/>
        <v>23327966.861999996</v>
      </c>
      <c r="J95" s="419">
        <f t="shared" si="47"/>
        <v>25106392.523000002</v>
      </c>
      <c r="K95" s="419">
        <f t="shared" si="47"/>
        <v>24282322.968999997</v>
      </c>
      <c r="L95" s="419">
        <f t="shared" si="47"/>
        <v>10323876.083</v>
      </c>
      <c r="M95" s="419">
        <f t="shared" si="47"/>
        <v>4196695.104</v>
      </c>
      <c r="N95" s="419">
        <f t="shared" si="47"/>
        <v>4300335.428</v>
      </c>
      <c r="O95" s="419">
        <f t="shared" si="47"/>
        <v>139559979.042</v>
      </c>
      <c r="P95" s="417">
        <f>O95/$O$95</f>
        <v>1</v>
      </c>
    </row>
    <row r="96" spans="3:16" ht="12.75">
      <c r="C96" s="413">
        <f aca="true" t="shared" si="48" ref="C96:O96">C95-C84</f>
        <v>0</v>
      </c>
      <c r="D96" s="413">
        <f t="shared" si="48"/>
        <v>0</v>
      </c>
      <c r="E96" s="413">
        <f t="shared" si="48"/>
        <v>0</v>
      </c>
      <c r="F96" s="413">
        <f t="shared" si="48"/>
        <v>0</v>
      </c>
      <c r="G96" s="413">
        <f t="shared" si="48"/>
        <v>0</v>
      </c>
      <c r="H96" s="413">
        <f t="shared" si="48"/>
        <v>0</v>
      </c>
      <c r="I96" s="413">
        <f t="shared" si="48"/>
        <v>0</v>
      </c>
      <c r="J96" s="413">
        <f t="shared" si="48"/>
        <v>0</v>
      </c>
      <c r="K96" s="413">
        <f t="shared" si="48"/>
        <v>0</v>
      </c>
      <c r="L96" s="413">
        <f t="shared" si="48"/>
        <v>0</v>
      </c>
      <c r="M96" s="413">
        <f t="shared" si="48"/>
        <v>0</v>
      </c>
      <c r="N96" s="413">
        <f t="shared" si="48"/>
        <v>0</v>
      </c>
      <c r="O96" s="413">
        <f t="shared" si="48"/>
        <v>0</v>
      </c>
      <c r="P96" s="417"/>
    </row>
    <row r="97" spans="3:16" ht="12.75">
      <c r="C97" s="43"/>
      <c r="D97" s="43"/>
      <c r="E97" s="43"/>
      <c r="F97" s="43"/>
      <c r="G97" s="43"/>
      <c r="H97" s="43"/>
      <c r="I97" s="43"/>
      <c r="J97" s="307"/>
      <c r="K97" s="43"/>
      <c r="L97" s="43"/>
      <c r="M97" s="43"/>
      <c r="N97" s="43"/>
      <c r="O97" s="413"/>
      <c r="P97" s="417"/>
    </row>
    <row r="98" spans="1:2" ht="12.75">
      <c r="A98" s="19"/>
      <c r="B98" s="35" t="s">
        <v>515</v>
      </c>
    </row>
    <row r="99" spans="2:18" ht="12.75">
      <c r="B99" s="409" t="s">
        <v>511</v>
      </c>
      <c r="C99" s="416">
        <f>('REVRUNS 12ME1219'!D381+'REVRUNS 12ME1219'!D384+'REVRUNS 12ME1219'!D387)/0.5</f>
        <v>0</v>
      </c>
      <c r="D99" s="416">
        <f>('REVRUNS 12ME1219'!E381+'REVRUNS 12ME1219'!E384+'REVRUNS 12ME1219'!E387)/0.5</f>
        <v>0</v>
      </c>
      <c r="E99" s="416">
        <f>('REVRUNS 12ME1219'!F381+'REVRUNS 12ME1219'!F384+'REVRUNS 12ME1219'!F387)/0.5</f>
        <v>0</v>
      </c>
      <c r="F99" s="416">
        <f>('REVRUNS 12ME1219'!G381+'REVRUNS 12ME1219'!G384+'REVRUNS 12ME1219'!G387)/0.5</f>
        <v>0</v>
      </c>
      <c r="G99" s="416">
        <f>('REVRUNS 12ME1219'!H381+'REVRUNS 12ME1219'!H384+'REVRUNS 12ME1219'!H387)/0.5</f>
        <v>0</v>
      </c>
      <c r="H99" s="416">
        <f>('REVRUNS 12ME1219'!I381+'REVRUNS 12ME1219'!I384+'REVRUNS 12ME1219'!I387)/0.5</f>
        <v>0</v>
      </c>
      <c r="I99" s="416">
        <f>('REVRUNS 12ME1219'!J381+'REVRUNS 12ME1219'!J384+'REVRUNS 12ME1219'!J387)/0.5</f>
        <v>0</v>
      </c>
      <c r="J99" s="416">
        <f>('REVRUNS 12ME1219'!K381+'REVRUNS 12ME1219'!K384+'REVRUNS 12ME1219'!K387)/0.5</f>
        <v>0</v>
      </c>
      <c r="K99" s="416">
        <f>('REVRUNS 12ME1219'!L381+'REVRUNS 12ME1219'!L384+'REVRUNS 12ME1219'!L387)/0.5</f>
        <v>0</v>
      </c>
      <c r="L99" s="416">
        <f>('REVRUNS 12ME1219'!M381+'REVRUNS 12ME1219'!M384+'REVRUNS 12ME1219'!M387)/0.5</f>
        <v>0</v>
      </c>
      <c r="M99" s="416">
        <f>('REVRUNS 12ME1219'!N381+'REVRUNS 12ME1219'!N384+'REVRUNS 12ME1219'!N387)/0.5</f>
        <v>0</v>
      </c>
      <c r="N99" s="416">
        <f>('REVRUNS 12ME1219'!O381+'REVRUNS 12ME1219'!O384+'REVRUNS 12ME1219'!O387)/0.5</f>
        <v>0</v>
      </c>
      <c r="O99" s="413">
        <f>SUM(C99:N99)</f>
        <v>0</v>
      </c>
      <c r="R99" s="43">
        <v>0</v>
      </c>
    </row>
    <row r="100" spans="2:15" ht="12.75">
      <c r="B100" s="409" t="s">
        <v>512</v>
      </c>
      <c r="C100" s="418">
        <v>0.5</v>
      </c>
      <c r="D100" s="418">
        <v>0.5</v>
      </c>
      <c r="E100" s="418">
        <v>0.5</v>
      </c>
      <c r="F100" s="418">
        <v>0.5</v>
      </c>
      <c r="G100" s="418">
        <v>0.5</v>
      </c>
      <c r="H100" s="418">
        <v>0.5</v>
      </c>
      <c r="I100" s="418">
        <v>0.5</v>
      </c>
      <c r="J100" s="418">
        <v>0.5</v>
      </c>
      <c r="K100" s="418">
        <v>0.5</v>
      </c>
      <c r="L100" s="418">
        <v>0.5</v>
      </c>
      <c r="M100" s="418">
        <v>0.5</v>
      </c>
      <c r="N100" s="418">
        <v>0.5</v>
      </c>
      <c r="O100" s="418">
        <v>0.5</v>
      </c>
    </row>
    <row r="101" spans="2:16" ht="12.75">
      <c r="B101" s="409" t="s">
        <v>513</v>
      </c>
      <c r="C101" s="418">
        <f aca="true" t="shared" si="49" ref="C101:H101">C99*C100</f>
        <v>0</v>
      </c>
      <c r="D101" s="418">
        <f t="shared" si="49"/>
        <v>0</v>
      </c>
      <c r="E101" s="418">
        <f t="shared" si="49"/>
        <v>0</v>
      </c>
      <c r="F101" s="418">
        <f t="shared" si="49"/>
        <v>0</v>
      </c>
      <c r="G101" s="418">
        <f t="shared" si="49"/>
        <v>0</v>
      </c>
      <c r="H101" s="418">
        <f t="shared" si="49"/>
        <v>0</v>
      </c>
      <c r="I101" s="418">
        <f>I99*I100</f>
        <v>0</v>
      </c>
      <c r="J101" s="418">
        <f aca="true" t="shared" si="50" ref="J101:O101">J99*J100</f>
        <v>0</v>
      </c>
      <c r="K101" s="418">
        <f t="shared" si="50"/>
        <v>0</v>
      </c>
      <c r="L101" s="418">
        <f t="shared" si="50"/>
        <v>0</v>
      </c>
      <c r="M101" s="418">
        <f t="shared" si="50"/>
        <v>0</v>
      </c>
      <c r="N101" s="418">
        <f t="shared" si="50"/>
        <v>0</v>
      </c>
      <c r="O101" s="418">
        <f t="shared" si="50"/>
        <v>0</v>
      </c>
      <c r="P101" s="647">
        <f>O101-'REVRUNS 12ME1219'!P381-'REVRUNS 12ME1219'!P384-'REVRUNS 12ME1219'!P387</f>
        <v>0</v>
      </c>
    </row>
    <row r="105" ht="12.75">
      <c r="C105" s="159"/>
    </row>
    <row r="106" ht="12.75">
      <c r="C106" s="159"/>
    </row>
    <row r="107" ht="12.75">
      <c r="C107" s="422"/>
    </row>
    <row r="108" ht="12.75">
      <c r="C108" s="422"/>
    </row>
    <row r="109" ht="12.75">
      <c r="C109" s="422"/>
    </row>
    <row r="110" ht="12.75">
      <c r="C110" s="422"/>
    </row>
    <row r="111" ht="12.75">
      <c r="C111" s="422"/>
    </row>
    <row r="112" ht="12.75">
      <c r="C112" s="422"/>
    </row>
    <row r="113" ht="12.75">
      <c r="C113" s="422"/>
    </row>
    <row r="114" ht="12.75">
      <c r="C114" s="159"/>
    </row>
    <row r="115" ht="12.75">
      <c r="C115" s="159"/>
    </row>
  </sheetData>
  <printOptions/>
  <pageMargins left="0.45" right="0.34" top="0.57" bottom="2.31" header="0.51" footer="0.3"/>
  <pageSetup horizontalDpi="600" verticalDpi="600" orientation="landscape" scale="6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3:Q388"/>
  <sheetViews>
    <sheetView workbookViewId="0" topLeftCell="A1">
      <selection activeCell="E109" sqref="E109"/>
    </sheetView>
  </sheetViews>
  <sheetFormatPr defaultColWidth="9.140625" defaultRowHeight="12.75"/>
  <cols>
    <col min="1" max="1" width="13.28125" style="0" customWidth="1"/>
    <col min="2" max="2" width="10.57421875" style="0" customWidth="1"/>
    <col min="3" max="3" width="11.28125" style="0" bestFit="1" customWidth="1"/>
    <col min="4" max="14" width="12.7109375" style="0" bestFit="1" customWidth="1"/>
    <col min="15" max="15" width="16.00390625" style="0" bestFit="1" customWidth="1"/>
    <col min="16" max="16" width="14.57421875" style="0" bestFit="1" customWidth="1"/>
  </cols>
  <sheetData>
    <row r="3" spans="1:15" ht="12.75">
      <c r="A3" s="435" t="s">
        <v>954</v>
      </c>
      <c r="B3" s="657"/>
      <c r="C3" s="657"/>
      <c r="D3" s="657"/>
      <c r="E3" s="657"/>
      <c r="F3" s="657"/>
      <c r="G3" s="657"/>
      <c r="H3" s="657"/>
      <c r="I3" s="657"/>
      <c r="J3" s="657"/>
      <c r="K3" s="657"/>
      <c r="L3" s="657"/>
      <c r="M3" s="657"/>
      <c r="N3" s="657"/>
      <c r="O3" s="657"/>
    </row>
    <row r="4" spans="1:15" ht="12.75">
      <c r="A4" s="657"/>
      <c r="B4" s="657"/>
      <c r="C4" s="657"/>
      <c r="D4" s="657"/>
      <c r="E4" s="657"/>
      <c r="F4" s="657"/>
      <c r="G4" s="657"/>
      <c r="H4" s="657"/>
      <c r="I4" s="657"/>
      <c r="J4" s="657"/>
      <c r="K4" s="657"/>
      <c r="L4" s="657"/>
      <c r="M4" s="657"/>
      <c r="N4" s="657"/>
      <c r="O4" s="657"/>
    </row>
    <row r="5" spans="1:15" ht="12.75">
      <c r="A5" s="657" t="s">
        <v>474</v>
      </c>
      <c r="B5" s="657"/>
      <c r="C5" s="657"/>
      <c r="D5" s="657"/>
      <c r="E5" s="657"/>
      <c r="F5" s="657"/>
      <c r="G5" s="657"/>
      <c r="H5" s="657"/>
      <c r="I5" s="657"/>
      <c r="J5" s="657"/>
      <c r="K5" s="657"/>
      <c r="L5" s="657"/>
      <c r="M5" s="657"/>
      <c r="N5" s="657"/>
      <c r="O5" s="657"/>
    </row>
    <row r="6" spans="1:15" ht="12.75">
      <c r="A6" s="657"/>
      <c r="B6" s="657"/>
      <c r="C6" s="657"/>
      <c r="D6" s="657"/>
      <c r="E6" s="657"/>
      <c r="F6" s="657"/>
      <c r="G6" s="657"/>
      <c r="H6" s="657"/>
      <c r="I6" s="657"/>
      <c r="J6" s="657"/>
      <c r="K6" s="657"/>
      <c r="L6" s="657"/>
      <c r="M6" s="657"/>
      <c r="N6" s="657"/>
      <c r="O6" s="657"/>
    </row>
    <row r="7" spans="1:15" ht="12.75">
      <c r="A7" s="657"/>
      <c r="B7" s="657"/>
      <c r="C7" s="657" t="s">
        <v>220</v>
      </c>
      <c r="D7" s="657"/>
      <c r="E7" s="657"/>
      <c r="F7" s="657"/>
      <c r="G7" s="657"/>
      <c r="H7" s="657"/>
      <c r="I7" s="657"/>
      <c r="J7" s="657"/>
      <c r="K7" s="657"/>
      <c r="L7" s="657"/>
      <c r="M7" s="657"/>
      <c r="N7" s="657"/>
      <c r="O7" s="657"/>
    </row>
    <row r="8" spans="1:16" ht="12.75">
      <c r="A8" s="657"/>
      <c r="B8" s="657" t="s">
        <v>475</v>
      </c>
      <c r="C8" s="657">
        <v>201901</v>
      </c>
      <c r="D8" s="752">
        <v>201902</v>
      </c>
      <c r="E8" s="752">
        <v>201903</v>
      </c>
      <c r="F8" s="752">
        <v>201904</v>
      </c>
      <c r="G8" s="752">
        <v>201905</v>
      </c>
      <c r="H8" s="752">
        <v>201906</v>
      </c>
      <c r="I8" s="752">
        <v>201907</v>
      </c>
      <c r="J8" s="752">
        <v>201908</v>
      </c>
      <c r="K8" s="752">
        <v>201909</v>
      </c>
      <c r="L8" s="752">
        <v>201910</v>
      </c>
      <c r="M8" s="752">
        <v>201911</v>
      </c>
      <c r="N8" s="752">
        <v>201912</v>
      </c>
      <c r="O8" s="657" t="s">
        <v>476</v>
      </c>
      <c r="P8" t="s">
        <v>66</v>
      </c>
    </row>
    <row r="9" spans="1:15" ht="12.75">
      <c r="A9" s="657" t="s">
        <v>392</v>
      </c>
      <c r="B9" s="657"/>
      <c r="C9" s="657"/>
      <c r="D9" s="657"/>
      <c r="E9" s="657"/>
      <c r="F9" s="657"/>
      <c r="G9" s="657"/>
      <c r="H9" s="657"/>
      <c r="I9" s="657"/>
      <c r="J9" s="657"/>
      <c r="K9" s="657"/>
      <c r="L9" s="657"/>
      <c r="M9" s="657"/>
      <c r="N9" s="657"/>
      <c r="O9" s="657"/>
    </row>
    <row r="10" spans="1:16" ht="12.75">
      <c r="A10" s="657" t="s">
        <v>652</v>
      </c>
      <c r="B10" s="657"/>
      <c r="C10" s="419">
        <v>217684</v>
      </c>
      <c r="D10" s="419">
        <v>211540</v>
      </c>
      <c r="E10" s="419">
        <v>222366</v>
      </c>
      <c r="F10" s="419">
        <v>215628</v>
      </c>
      <c r="G10" s="419">
        <v>219714</v>
      </c>
      <c r="H10" s="419">
        <v>217018</v>
      </c>
      <c r="I10" s="419">
        <v>217513</v>
      </c>
      <c r="J10" s="419">
        <v>218216</v>
      </c>
      <c r="K10" s="419">
        <v>212112</v>
      </c>
      <c r="L10" s="419">
        <v>224928</v>
      </c>
      <c r="M10" s="419">
        <v>219143</v>
      </c>
      <c r="N10" s="419">
        <v>219477</v>
      </c>
      <c r="O10" s="419">
        <f>AVERAGE(C10:N10)</f>
        <v>217944.91666666666</v>
      </c>
      <c r="P10" s="542">
        <f>SUM(C10:N10)</f>
        <v>2615339</v>
      </c>
    </row>
    <row r="11" spans="1:16" ht="12.75">
      <c r="A11" s="657" t="s">
        <v>653</v>
      </c>
      <c r="B11" s="657"/>
      <c r="C11" s="419">
        <v>388</v>
      </c>
      <c r="D11" s="419">
        <v>362</v>
      </c>
      <c r="E11" s="419">
        <v>381</v>
      </c>
      <c r="F11" s="419">
        <v>365</v>
      </c>
      <c r="G11" s="419">
        <v>373</v>
      </c>
      <c r="H11" s="419">
        <v>366</v>
      </c>
      <c r="I11" s="419">
        <v>359</v>
      </c>
      <c r="J11" s="419">
        <v>351</v>
      </c>
      <c r="K11" s="419">
        <v>343</v>
      </c>
      <c r="L11" s="419">
        <v>272</v>
      </c>
      <c r="M11" s="419">
        <v>290</v>
      </c>
      <c r="N11" s="419">
        <v>328</v>
      </c>
      <c r="O11" s="419">
        <f aca="true" t="shared" si="0" ref="O11:O31">AVERAGE(C11:N11)</f>
        <v>348.1666666666667</v>
      </c>
      <c r="P11" s="542">
        <f aca="true" t="shared" si="1" ref="P11:P24">SUM(C11:N11)</f>
        <v>4178</v>
      </c>
    </row>
    <row r="12" spans="1:16" ht="12.75">
      <c r="A12" s="657" t="s">
        <v>654</v>
      </c>
      <c r="B12" s="657"/>
      <c r="C12" s="419">
        <v>22982</v>
      </c>
      <c r="D12" s="419">
        <v>22350</v>
      </c>
      <c r="E12" s="419">
        <v>23346</v>
      </c>
      <c r="F12" s="419">
        <v>22874</v>
      </c>
      <c r="G12" s="419">
        <v>23001</v>
      </c>
      <c r="H12" s="419">
        <v>22905</v>
      </c>
      <c r="I12" s="419">
        <v>22923</v>
      </c>
      <c r="J12" s="419">
        <v>22963</v>
      </c>
      <c r="K12" s="419">
        <v>22548</v>
      </c>
      <c r="L12" s="419">
        <v>23421</v>
      </c>
      <c r="M12" s="419">
        <v>22854</v>
      </c>
      <c r="N12" s="419">
        <v>22937</v>
      </c>
      <c r="O12" s="419">
        <f t="shared" si="0"/>
        <v>22925.333333333332</v>
      </c>
      <c r="P12" s="542">
        <f t="shared" si="1"/>
        <v>275104</v>
      </c>
    </row>
    <row r="13" spans="1:16" ht="12.75">
      <c r="A13" s="657" t="s">
        <v>655</v>
      </c>
      <c r="B13" s="657"/>
      <c r="C13" s="419">
        <v>9681</v>
      </c>
      <c r="D13" s="419">
        <v>9412</v>
      </c>
      <c r="E13" s="419">
        <v>9903</v>
      </c>
      <c r="F13" s="419">
        <v>9672</v>
      </c>
      <c r="G13" s="419">
        <v>9767</v>
      </c>
      <c r="H13" s="419">
        <v>9693</v>
      </c>
      <c r="I13" s="419">
        <v>9737</v>
      </c>
      <c r="J13" s="419">
        <v>9768</v>
      </c>
      <c r="K13" s="419">
        <v>9550</v>
      </c>
      <c r="L13" s="419">
        <v>10012</v>
      </c>
      <c r="M13" s="419">
        <v>9706</v>
      </c>
      <c r="N13" s="419">
        <v>9796</v>
      </c>
      <c r="O13" s="419">
        <f t="shared" si="0"/>
        <v>9724.75</v>
      </c>
      <c r="P13" s="542">
        <f t="shared" si="1"/>
        <v>116697</v>
      </c>
    </row>
    <row r="14" spans="1:16" ht="12.75">
      <c r="A14" s="657" t="s">
        <v>657</v>
      </c>
      <c r="B14" s="657"/>
      <c r="C14" s="419">
        <v>1860</v>
      </c>
      <c r="D14" s="419">
        <v>1809</v>
      </c>
      <c r="E14" s="419">
        <v>1910</v>
      </c>
      <c r="F14" s="419">
        <v>1865</v>
      </c>
      <c r="G14" s="419">
        <v>1846</v>
      </c>
      <c r="H14" s="419">
        <v>1877</v>
      </c>
      <c r="I14" s="419">
        <v>1876</v>
      </c>
      <c r="J14" s="419">
        <v>1868</v>
      </c>
      <c r="K14" s="419">
        <v>1811</v>
      </c>
      <c r="L14" s="419">
        <v>1920</v>
      </c>
      <c r="M14" s="419">
        <v>1846</v>
      </c>
      <c r="N14" s="419">
        <v>1879</v>
      </c>
      <c r="O14" s="419">
        <f t="shared" si="0"/>
        <v>1863.9166666666667</v>
      </c>
      <c r="P14" s="542">
        <f t="shared" si="1"/>
        <v>22367</v>
      </c>
    </row>
    <row r="15" spans="1:16" ht="12.75">
      <c r="A15" s="657" t="s">
        <v>658</v>
      </c>
      <c r="B15" s="657"/>
      <c r="C15" s="419">
        <v>50</v>
      </c>
      <c r="D15" s="419">
        <v>44</v>
      </c>
      <c r="E15" s="419">
        <v>50</v>
      </c>
      <c r="F15" s="419">
        <v>47</v>
      </c>
      <c r="G15" s="419">
        <v>48</v>
      </c>
      <c r="H15" s="419">
        <v>48</v>
      </c>
      <c r="I15" s="419">
        <v>47</v>
      </c>
      <c r="J15" s="419">
        <v>49</v>
      </c>
      <c r="K15" s="419">
        <v>44</v>
      </c>
      <c r="L15" s="419">
        <v>52</v>
      </c>
      <c r="M15" s="419">
        <v>48</v>
      </c>
      <c r="N15" s="419">
        <v>47</v>
      </c>
      <c r="O15" s="419">
        <f t="shared" si="0"/>
        <v>47.833333333333336</v>
      </c>
      <c r="P15" s="542">
        <f t="shared" si="1"/>
        <v>574</v>
      </c>
    </row>
    <row r="16" spans="1:16" ht="12.75">
      <c r="A16" s="657" t="s">
        <v>659</v>
      </c>
      <c r="B16" s="657"/>
      <c r="C16" s="419">
        <v>23</v>
      </c>
      <c r="D16" s="419">
        <v>23</v>
      </c>
      <c r="E16" s="419">
        <v>23</v>
      </c>
      <c r="F16" s="419">
        <v>23</v>
      </c>
      <c r="G16" s="419">
        <v>23</v>
      </c>
      <c r="H16" s="419">
        <v>23</v>
      </c>
      <c r="I16" s="419">
        <v>23</v>
      </c>
      <c r="J16" s="419">
        <v>23</v>
      </c>
      <c r="K16" s="419">
        <v>23</v>
      </c>
      <c r="L16" s="419">
        <v>23</v>
      </c>
      <c r="M16" s="419">
        <v>23</v>
      </c>
      <c r="N16" s="419">
        <v>23</v>
      </c>
      <c r="O16" s="419">
        <f t="shared" si="0"/>
        <v>23</v>
      </c>
      <c r="P16" s="542">
        <f t="shared" si="1"/>
        <v>276</v>
      </c>
    </row>
    <row r="17" spans="1:16" ht="12.75">
      <c r="A17" s="657" t="s">
        <v>660</v>
      </c>
      <c r="B17" s="657"/>
      <c r="C17" s="419">
        <v>58</v>
      </c>
      <c r="D17" s="419">
        <v>53</v>
      </c>
      <c r="E17" s="419">
        <v>53</v>
      </c>
      <c r="F17" s="419">
        <v>52</v>
      </c>
      <c r="G17" s="419">
        <v>53</v>
      </c>
      <c r="H17" s="419">
        <v>52</v>
      </c>
      <c r="I17" s="419">
        <v>52</v>
      </c>
      <c r="J17" s="419">
        <v>51</v>
      </c>
      <c r="K17" s="419">
        <v>53</v>
      </c>
      <c r="L17" s="419">
        <v>52</v>
      </c>
      <c r="M17" s="419">
        <v>51</v>
      </c>
      <c r="N17" s="419">
        <v>51</v>
      </c>
      <c r="O17" s="419">
        <f t="shared" si="0"/>
        <v>52.583333333333336</v>
      </c>
      <c r="P17" s="542">
        <f t="shared" si="1"/>
        <v>631</v>
      </c>
    </row>
    <row r="18" spans="1:16" ht="12.75">
      <c r="A18" s="657" t="s">
        <v>661</v>
      </c>
      <c r="B18" s="657"/>
      <c r="C18" s="419">
        <v>1216</v>
      </c>
      <c r="D18" s="419">
        <v>1170</v>
      </c>
      <c r="E18" s="419">
        <v>1203</v>
      </c>
      <c r="F18" s="419">
        <v>1200</v>
      </c>
      <c r="G18" s="419">
        <v>1209</v>
      </c>
      <c r="H18" s="419">
        <v>1201</v>
      </c>
      <c r="I18" s="419">
        <v>1212</v>
      </c>
      <c r="J18" s="419">
        <v>1198</v>
      </c>
      <c r="K18" s="419">
        <v>1197</v>
      </c>
      <c r="L18" s="419">
        <v>1228</v>
      </c>
      <c r="M18" s="419">
        <v>1180</v>
      </c>
      <c r="N18" s="419">
        <v>1197</v>
      </c>
      <c r="O18" s="419">
        <f t="shared" si="0"/>
        <v>1200.9166666666667</v>
      </c>
      <c r="P18" s="542">
        <f t="shared" si="1"/>
        <v>14411</v>
      </c>
    </row>
    <row r="19" spans="1:16" ht="12.75">
      <c r="A19" s="657" t="s">
        <v>662</v>
      </c>
      <c r="B19" s="657"/>
      <c r="C19" s="419">
        <v>1211</v>
      </c>
      <c r="D19" s="419">
        <v>1164</v>
      </c>
      <c r="E19" s="419">
        <v>1218</v>
      </c>
      <c r="F19" s="419">
        <v>1227</v>
      </c>
      <c r="G19" s="419">
        <v>1210</v>
      </c>
      <c r="H19" s="419">
        <v>1204</v>
      </c>
      <c r="I19" s="419">
        <v>1183</v>
      </c>
      <c r="J19" s="419">
        <v>1211</v>
      </c>
      <c r="K19" s="419">
        <v>1200</v>
      </c>
      <c r="L19" s="419">
        <v>1232</v>
      </c>
      <c r="M19" s="419">
        <v>1194</v>
      </c>
      <c r="N19" s="419">
        <v>1196</v>
      </c>
      <c r="O19" s="419">
        <f t="shared" si="0"/>
        <v>1204.1666666666667</v>
      </c>
      <c r="P19" s="542">
        <f t="shared" si="1"/>
        <v>14450</v>
      </c>
    </row>
    <row r="20" spans="1:16" ht="12.75">
      <c r="A20" s="657" t="s">
        <v>663</v>
      </c>
      <c r="B20" s="657"/>
      <c r="C20" s="419">
        <v>4</v>
      </c>
      <c r="D20" s="419">
        <v>6</v>
      </c>
      <c r="E20" s="419">
        <v>5</v>
      </c>
      <c r="F20" s="419">
        <v>3</v>
      </c>
      <c r="G20" s="419">
        <v>3</v>
      </c>
      <c r="H20" s="419">
        <v>5</v>
      </c>
      <c r="I20" s="419">
        <v>2</v>
      </c>
      <c r="J20" s="419">
        <v>3</v>
      </c>
      <c r="K20" s="419">
        <v>3</v>
      </c>
      <c r="L20" s="419">
        <v>3</v>
      </c>
      <c r="M20" s="419">
        <v>2</v>
      </c>
      <c r="N20" s="419">
        <v>3</v>
      </c>
      <c r="O20" s="419">
        <f t="shared" si="0"/>
        <v>3.5</v>
      </c>
      <c r="P20" s="542">
        <f t="shared" si="1"/>
        <v>42</v>
      </c>
    </row>
    <row r="21" spans="1:16" ht="12.75">
      <c r="A21" s="657" t="s">
        <v>664</v>
      </c>
      <c r="B21" s="657"/>
      <c r="C21" s="419">
        <v>352</v>
      </c>
      <c r="D21" s="419">
        <v>358</v>
      </c>
      <c r="E21" s="419">
        <v>358</v>
      </c>
      <c r="F21" s="419">
        <v>356</v>
      </c>
      <c r="G21" s="419">
        <v>363</v>
      </c>
      <c r="H21" s="419">
        <v>363</v>
      </c>
      <c r="I21" s="419">
        <v>369</v>
      </c>
      <c r="J21" s="419">
        <v>370</v>
      </c>
      <c r="K21" s="419">
        <v>370</v>
      </c>
      <c r="L21" s="419">
        <v>373</v>
      </c>
      <c r="M21" s="419">
        <v>379</v>
      </c>
      <c r="N21" s="419">
        <v>390</v>
      </c>
      <c r="O21" s="419">
        <f t="shared" si="0"/>
        <v>366.75</v>
      </c>
      <c r="P21" s="542">
        <f t="shared" si="1"/>
        <v>4401</v>
      </c>
    </row>
    <row r="22" spans="1:16" ht="12.75">
      <c r="A22" s="657" t="s">
        <v>665</v>
      </c>
      <c r="B22" s="657"/>
      <c r="C22" s="419">
        <v>12</v>
      </c>
      <c r="D22" s="419">
        <v>12</v>
      </c>
      <c r="E22" s="419">
        <v>12</v>
      </c>
      <c r="F22" s="419">
        <v>12</v>
      </c>
      <c r="G22" s="419">
        <v>12</v>
      </c>
      <c r="H22" s="419">
        <v>12</v>
      </c>
      <c r="I22" s="419">
        <v>12</v>
      </c>
      <c r="J22" s="419">
        <v>12</v>
      </c>
      <c r="K22" s="419">
        <v>12</v>
      </c>
      <c r="L22" s="419">
        <v>12</v>
      </c>
      <c r="M22" s="419">
        <v>12</v>
      </c>
      <c r="N22" s="419">
        <v>12</v>
      </c>
      <c r="O22" s="419">
        <f t="shared" si="0"/>
        <v>12</v>
      </c>
      <c r="P22" s="542">
        <f t="shared" si="1"/>
        <v>144</v>
      </c>
    </row>
    <row r="23" spans="1:16" ht="12.75">
      <c r="A23" s="657" t="s">
        <v>666</v>
      </c>
      <c r="B23" s="657"/>
      <c r="C23" s="419">
        <v>9</v>
      </c>
      <c r="D23" s="419">
        <v>9</v>
      </c>
      <c r="E23" s="419">
        <v>9</v>
      </c>
      <c r="F23" s="419">
        <v>9</v>
      </c>
      <c r="G23" s="419">
        <v>9</v>
      </c>
      <c r="H23" s="419">
        <v>9</v>
      </c>
      <c r="I23" s="419">
        <v>9</v>
      </c>
      <c r="J23" s="419">
        <v>9</v>
      </c>
      <c r="K23" s="419">
        <v>9</v>
      </c>
      <c r="L23" s="419">
        <v>9</v>
      </c>
      <c r="M23" s="419">
        <v>9</v>
      </c>
      <c r="N23" s="419">
        <v>9</v>
      </c>
      <c r="O23" s="419">
        <f t="shared" si="0"/>
        <v>9</v>
      </c>
      <c r="P23" s="542">
        <f t="shared" si="1"/>
        <v>108</v>
      </c>
    </row>
    <row r="24" spans="1:16" ht="12.75">
      <c r="A24" s="657" t="s">
        <v>667</v>
      </c>
      <c r="B24" s="657"/>
      <c r="C24" s="419">
        <v>49</v>
      </c>
      <c r="D24" s="419">
        <v>49</v>
      </c>
      <c r="E24" s="419">
        <v>48</v>
      </c>
      <c r="F24" s="419">
        <v>50</v>
      </c>
      <c r="G24" s="419">
        <v>49</v>
      </c>
      <c r="H24" s="419">
        <v>49</v>
      </c>
      <c r="I24" s="419">
        <v>49</v>
      </c>
      <c r="J24" s="419">
        <v>49</v>
      </c>
      <c r="K24" s="419">
        <v>49</v>
      </c>
      <c r="L24" s="419">
        <v>49</v>
      </c>
      <c r="M24" s="419">
        <v>49</v>
      </c>
      <c r="N24" s="419">
        <v>49</v>
      </c>
      <c r="O24" s="419">
        <f t="shared" si="0"/>
        <v>49</v>
      </c>
      <c r="P24" s="542">
        <f t="shared" si="1"/>
        <v>588</v>
      </c>
    </row>
    <row r="25" spans="1:15" ht="12.75">
      <c r="A25" s="657" t="s">
        <v>668</v>
      </c>
      <c r="B25" s="657"/>
      <c r="C25" s="419">
        <v>0</v>
      </c>
      <c r="D25" s="419">
        <v>0</v>
      </c>
      <c r="E25" s="419">
        <v>0</v>
      </c>
      <c r="F25" s="419">
        <v>0</v>
      </c>
      <c r="G25" s="419">
        <v>0</v>
      </c>
      <c r="H25" s="419">
        <v>0</v>
      </c>
      <c r="I25" s="419">
        <v>0</v>
      </c>
      <c r="J25" s="419">
        <v>0</v>
      </c>
      <c r="K25" s="419">
        <v>0</v>
      </c>
      <c r="L25" s="419">
        <v>0</v>
      </c>
      <c r="M25" s="419">
        <v>0</v>
      </c>
      <c r="N25" s="419">
        <v>0</v>
      </c>
      <c r="O25" s="419">
        <f t="shared" si="0"/>
        <v>0</v>
      </c>
    </row>
    <row r="26" spans="1:15" ht="12.75">
      <c r="A26" s="657" t="s">
        <v>669</v>
      </c>
      <c r="B26" s="657"/>
      <c r="C26" s="419">
        <v>0</v>
      </c>
      <c r="D26" s="419">
        <v>0</v>
      </c>
      <c r="E26" s="419">
        <v>0</v>
      </c>
      <c r="F26" s="419">
        <v>0</v>
      </c>
      <c r="G26" s="419">
        <v>0</v>
      </c>
      <c r="H26" s="419">
        <v>0</v>
      </c>
      <c r="I26" s="419">
        <v>0</v>
      </c>
      <c r="J26" s="419">
        <v>0</v>
      </c>
      <c r="K26" s="419">
        <v>0</v>
      </c>
      <c r="L26" s="419">
        <v>0</v>
      </c>
      <c r="M26" s="419">
        <v>0</v>
      </c>
      <c r="N26" s="419">
        <v>0</v>
      </c>
      <c r="O26" s="419">
        <f t="shared" si="0"/>
        <v>0</v>
      </c>
    </row>
    <row r="27" spans="1:15" ht="12.75">
      <c r="A27" s="657" t="s">
        <v>670</v>
      </c>
      <c r="B27" s="657"/>
      <c r="C27" s="419">
        <v>0</v>
      </c>
      <c r="D27" s="419">
        <v>0</v>
      </c>
      <c r="E27" s="419">
        <v>0</v>
      </c>
      <c r="F27" s="419">
        <v>0</v>
      </c>
      <c r="G27" s="419">
        <v>0</v>
      </c>
      <c r="H27" s="419">
        <v>0</v>
      </c>
      <c r="I27" s="419">
        <v>0</v>
      </c>
      <c r="J27" s="419">
        <v>0</v>
      </c>
      <c r="K27" s="419">
        <v>0</v>
      </c>
      <c r="L27" s="419">
        <v>0</v>
      </c>
      <c r="M27" s="419">
        <v>0</v>
      </c>
      <c r="N27" s="419">
        <v>0</v>
      </c>
      <c r="O27" s="419">
        <f t="shared" si="0"/>
        <v>0</v>
      </c>
    </row>
    <row r="28" spans="1:15" ht="12.75">
      <c r="A28" s="657" t="s">
        <v>671</v>
      </c>
      <c r="B28" s="657"/>
      <c r="C28" s="419">
        <v>0</v>
      </c>
      <c r="D28" s="419">
        <v>0</v>
      </c>
      <c r="E28" s="419">
        <v>0</v>
      </c>
      <c r="F28" s="419">
        <v>0</v>
      </c>
      <c r="G28" s="419">
        <v>0</v>
      </c>
      <c r="H28" s="419">
        <v>0</v>
      </c>
      <c r="I28" s="419">
        <v>0</v>
      </c>
      <c r="J28" s="419">
        <v>0</v>
      </c>
      <c r="K28" s="419">
        <v>0</v>
      </c>
      <c r="L28" s="419">
        <v>0</v>
      </c>
      <c r="M28" s="419">
        <v>0</v>
      </c>
      <c r="N28" s="419">
        <v>0</v>
      </c>
      <c r="O28" s="419">
        <f t="shared" si="0"/>
        <v>0</v>
      </c>
    </row>
    <row r="29" spans="1:15" ht="12.75">
      <c r="A29" s="657" t="s">
        <v>672</v>
      </c>
      <c r="B29" s="657"/>
      <c r="C29" s="419">
        <v>0</v>
      </c>
      <c r="D29" s="419">
        <v>0</v>
      </c>
      <c r="E29" s="419">
        <v>0</v>
      </c>
      <c r="F29" s="419">
        <v>0</v>
      </c>
      <c r="G29" s="419">
        <v>0</v>
      </c>
      <c r="H29" s="419">
        <v>0</v>
      </c>
      <c r="I29" s="419">
        <v>0</v>
      </c>
      <c r="J29" s="419">
        <v>0</v>
      </c>
      <c r="K29" s="419">
        <v>0</v>
      </c>
      <c r="L29" s="419">
        <v>0</v>
      </c>
      <c r="M29" s="419">
        <v>0</v>
      </c>
      <c r="N29" s="419">
        <v>0</v>
      </c>
      <c r="O29" s="419">
        <f t="shared" si="0"/>
        <v>0</v>
      </c>
    </row>
    <row r="30" spans="1:15" ht="12.75">
      <c r="A30" s="657" t="s">
        <v>673</v>
      </c>
      <c r="B30" s="657"/>
      <c r="C30" s="419">
        <v>0</v>
      </c>
      <c r="D30" s="419">
        <v>0</v>
      </c>
      <c r="E30" s="419">
        <v>0</v>
      </c>
      <c r="F30" s="419">
        <v>0</v>
      </c>
      <c r="G30" s="419">
        <v>0</v>
      </c>
      <c r="H30" s="419">
        <v>0</v>
      </c>
      <c r="I30" s="419">
        <v>0</v>
      </c>
      <c r="J30" s="419">
        <v>0</v>
      </c>
      <c r="K30" s="419">
        <v>0</v>
      </c>
      <c r="L30" s="419">
        <v>0</v>
      </c>
      <c r="M30" s="419">
        <v>0</v>
      </c>
      <c r="N30" s="419">
        <v>0</v>
      </c>
      <c r="O30" s="419">
        <f t="shared" si="0"/>
        <v>0</v>
      </c>
    </row>
    <row r="31" spans="1:15" ht="12.75">
      <c r="A31" s="657" t="s">
        <v>674</v>
      </c>
      <c r="B31" s="657"/>
      <c r="C31" s="419">
        <v>0</v>
      </c>
      <c r="D31" s="419">
        <v>0</v>
      </c>
      <c r="E31" s="419">
        <v>0</v>
      </c>
      <c r="F31" s="419">
        <v>0</v>
      </c>
      <c r="G31" s="419">
        <v>0</v>
      </c>
      <c r="H31" s="419">
        <v>0</v>
      </c>
      <c r="I31" s="419">
        <v>0</v>
      </c>
      <c r="J31" s="419">
        <v>0</v>
      </c>
      <c r="K31" s="419">
        <v>0</v>
      </c>
      <c r="L31" s="419">
        <v>0</v>
      </c>
      <c r="M31" s="419">
        <v>0</v>
      </c>
      <c r="N31" s="419">
        <v>0</v>
      </c>
      <c r="O31" s="419">
        <f t="shared" si="0"/>
        <v>0</v>
      </c>
    </row>
    <row r="32" spans="1:16" ht="12.75">
      <c r="A32" s="657" t="s">
        <v>477</v>
      </c>
      <c r="B32" s="657"/>
      <c r="C32" s="419">
        <f>SUM(C10:C31)</f>
        <v>255579</v>
      </c>
      <c r="D32" s="419">
        <f aca="true" t="shared" si="2" ref="D32:P32">SUM(D10:D31)</f>
        <v>248361</v>
      </c>
      <c r="E32" s="419">
        <f t="shared" si="2"/>
        <v>260885</v>
      </c>
      <c r="F32" s="419">
        <f t="shared" si="2"/>
        <v>253383</v>
      </c>
      <c r="G32" s="419">
        <f t="shared" si="2"/>
        <v>257680</v>
      </c>
      <c r="H32" s="419">
        <f t="shared" si="2"/>
        <v>254825</v>
      </c>
      <c r="I32" s="419">
        <f t="shared" si="2"/>
        <v>255366</v>
      </c>
      <c r="J32" s="419">
        <f t="shared" si="2"/>
        <v>256141</v>
      </c>
      <c r="K32" s="419">
        <f t="shared" si="2"/>
        <v>249324</v>
      </c>
      <c r="L32" s="419">
        <f t="shared" si="2"/>
        <v>263586</v>
      </c>
      <c r="M32" s="419">
        <f t="shared" si="2"/>
        <v>256786</v>
      </c>
      <c r="N32" s="419">
        <f t="shared" si="2"/>
        <v>257394</v>
      </c>
      <c r="O32" s="419"/>
      <c r="P32" s="419">
        <f t="shared" si="2"/>
        <v>3069310</v>
      </c>
    </row>
    <row r="35" spans="1:16" ht="12.75">
      <c r="A35" s="657" t="s">
        <v>703</v>
      </c>
      <c r="B35" s="87"/>
      <c r="C35" s="153"/>
      <c r="D35" s="645"/>
      <c r="E35" s="645"/>
      <c r="F35" s="612"/>
      <c r="G35" s="645"/>
      <c r="H35" s="645"/>
      <c r="I35" s="645"/>
      <c r="J35" s="645"/>
      <c r="K35" s="645"/>
      <c r="L35" s="645"/>
      <c r="M35" s="419"/>
      <c r="N35" s="419"/>
      <c r="O35" s="646" t="s">
        <v>676</v>
      </c>
      <c r="P35" s="645" t="s">
        <v>66</v>
      </c>
    </row>
    <row r="36" spans="2:16" s="657" customFormat="1" ht="12.75">
      <c r="B36" s="410" t="s">
        <v>675</v>
      </c>
      <c r="C36" s="412">
        <f>C10+C11</f>
        <v>218072</v>
      </c>
      <c r="D36" s="412">
        <f aca="true" t="shared" si="3" ref="D36:N36">D10+D11</f>
        <v>211902</v>
      </c>
      <c r="E36" s="412">
        <f t="shared" si="3"/>
        <v>222747</v>
      </c>
      <c r="F36" s="412">
        <f t="shared" si="3"/>
        <v>215993</v>
      </c>
      <c r="G36" s="412">
        <f t="shared" si="3"/>
        <v>220087</v>
      </c>
      <c r="H36" s="412">
        <f t="shared" si="3"/>
        <v>217384</v>
      </c>
      <c r="I36" s="412">
        <f t="shared" si="3"/>
        <v>217872</v>
      </c>
      <c r="J36" s="412">
        <f t="shared" si="3"/>
        <v>218567</v>
      </c>
      <c r="K36" s="412">
        <f t="shared" si="3"/>
        <v>212455</v>
      </c>
      <c r="L36" s="412">
        <f t="shared" si="3"/>
        <v>225200</v>
      </c>
      <c r="M36" s="412">
        <f t="shared" si="3"/>
        <v>219433</v>
      </c>
      <c r="N36" s="412">
        <f t="shared" si="3"/>
        <v>219805</v>
      </c>
      <c r="O36" s="645">
        <f aca="true" t="shared" si="4" ref="O36:O41">AVERAGE(C36:N36)</f>
        <v>218293.08333333334</v>
      </c>
      <c r="P36" s="419">
        <f aca="true" t="shared" si="5" ref="P36:P42">SUM(C36:N36)</f>
        <v>2619517</v>
      </c>
    </row>
    <row r="37" spans="2:16" s="657" customFormat="1" ht="12.75">
      <c r="B37" s="410" t="s">
        <v>483</v>
      </c>
      <c r="C37" s="412">
        <f>C12+C13</f>
        <v>32663</v>
      </c>
      <c r="D37" s="412">
        <f aca="true" t="shared" si="6" ref="D37:N37">D12+D13</f>
        <v>31762</v>
      </c>
      <c r="E37" s="412">
        <f t="shared" si="6"/>
        <v>33249</v>
      </c>
      <c r="F37" s="412">
        <f t="shared" si="6"/>
        <v>32546</v>
      </c>
      <c r="G37" s="412">
        <f t="shared" si="6"/>
        <v>32768</v>
      </c>
      <c r="H37" s="412">
        <f t="shared" si="6"/>
        <v>32598</v>
      </c>
      <c r="I37" s="412">
        <f t="shared" si="6"/>
        <v>32660</v>
      </c>
      <c r="J37" s="412">
        <f t="shared" si="6"/>
        <v>32731</v>
      </c>
      <c r="K37" s="412">
        <f t="shared" si="6"/>
        <v>32098</v>
      </c>
      <c r="L37" s="412">
        <f t="shared" si="6"/>
        <v>33433</v>
      </c>
      <c r="M37" s="412">
        <f t="shared" si="6"/>
        <v>32560</v>
      </c>
      <c r="N37" s="412">
        <f t="shared" si="6"/>
        <v>32733</v>
      </c>
      <c r="O37" s="645">
        <f t="shared" si="4"/>
        <v>32650.083333333332</v>
      </c>
      <c r="P37" s="419">
        <f t="shared" si="5"/>
        <v>391801</v>
      </c>
    </row>
    <row r="38" spans="2:16" s="657" customFormat="1" ht="12.75">
      <c r="B38" s="410" t="s">
        <v>484</v>
      </c>
      <c r="C38" s="412">
        <f>C14+C15</f>
        <v>1910</v>
      </c>
      <c r="D38" s="412">
        <f aca="true" t="shared" si="7" ref="D38:N38">D14+D15</f>
        <v>1853</v>
      </c>
      <c r="E38" s="412">
        <f t="shared" si="7"/>
        <v>1960</v>
      </c>
      <c r="F38" s="412">
        <f t="shared" si="7"/>
        <v>1912</v>
      </c>
      <c r="G38" s="412">
        <f t="shared" si="7"/>
        <v>1894</v>
      </c>
      <c r="H38" s="412">
        <f t="shared" si="7"/>
        <v>1925</v>
      </c>
      <c r="I38" s="412">
        <f t="shared" si="7"/>
        <v>1923</v>
      </c>
      <c r="J38" s="412">
        <f t="shared" si="7"/>
        <v>1917</v>
      </c>
      <c r="K38" s="412">
        <f t="shared" si="7"/>
        <v>1855</v>
      </c>
      <c r="L38" s="412">
        <f t="shared" si="7"/>
        <v>1972</v>
      </c>
      <c r="M38" s="412">
        <f t="shared" si="7"/>
        <v>1894</v>
      </c>
      <c r="N38" s="412">
        <f t="shared" si="7"/>
        <v>1926</v>
      </c>
      <c r="O38" s="645">
        <f t="shared" si="4"/>
        <v>1911.75</v>
      </c>
      <c r="P38" s="419">
        <f t="shared" si="5"/>
        <v>22941</v>
      </c>
    </row>
    <row r="39" spans="2:16" s="657" customFormat="1" ht="12.75">
      <c r="B39" s="410" t="s">
        <v>398</v>
      </c>
      <c r="C39" s="412">
        <f>C16</f>
        <v>23</v>
      </c>
      <c r="D39" s="412">
        <f aca="true" t="shared" si="8" ref="D39:N39">D16</f>
        <v>23</v>
      </c>
      <c r="E39" s="412">
        <f t="shared" si="8"/>
        <v>23</v>
      </c>
      <c r="F39" s="412">
        <f t="shared" si="8"/>
        <v>23</v>
      </c>
      <c r="G39" s="412">
        <f t="shared" si="8"/>
        <v>23</v>
      </c>
      <c r="H39" s="412">
        <f t="shared" si="8"/>
        <v>23</v>
      </c>
      <c r="I39" s="412">
        <f t="shared" si="8"/>
        <v>23</v>
      </c>
      <c r="J39" s="412">
        <f t="shared" si="8"/>
        <v>23</v>
      </c>
      <c r="K39" s="412">
        <f t="shared" si="8"/>
        <v>23</v>
      </c>
      <c r="L39" s="412">
        <f t="shared" si="8"/>
        <v>23</v>
      </c>
      <c r="M39" s="412">
        <f t="shared" si="8"/>
        <v>23</v>
      </c>
      <c r="N39" s="412">
        <f t="shared" si="8"/>
        <v>23</v>
      </c>
      <c r="O39" s="645">
        <f t="shared" si="4"/>
        <v>23</v>
      </c>
      <c r="P39" s="419">
        <f t="shared" si="5"/>
        <v>276</v>
      </c>
    </row>
    <row r="40" spans="2:16" s="657" customFormat="1" ht="12.75">
      <c r="B40" s="410" t="s">
        <v>485</v>
      </c>
      <c r="C40" s="412">
        <f>C17+C18+C19</f>
        <v>2485</v>
      </c>
      <c r="D40" s="412">
        <f aca="true" t="shared" si="9" ref="D40:N40">D17+D18+D19</f>
        <v>2387</v>
      </c>
      <c r="E40" s="412">
        <f t="shared" si="9"/>
        <v>2474</v>
      </c>
      <c r="F40" s="412">
        <f t="shared" si="9"/>
        <v>2479</v>
      </c>
      <c r="G40" s="412">
        <f t="shared" si="9"/>
        <v>2472</v>
      </c>
      <c r="H40" s="412">
        <f t="shared" si="9"/>
        <v>2457</v>
      </c>
      <c r="I40" s="412">
        <f t="shared" si="9"/>
        <v>2447</v>
      </c>
      <c r="J40" s="412">
        <f t="shared" si="9"/>
        <v>2460</v>
      </c>
      <c r="K40" s="412">
        <f t="shared" si="9"/>
        <v>2450</v>
      </c>
      <c r="L40" s="412">
        <f t="shared" si="9"/>
        <v>2512</v>
      </c>
      <c r="M40" s="412">
        <f t="shared" si="9"/>
        <v>2425</v>
      </c>
      <c r="N40" s="412">
        <f t="shared" si="9"/>
        <v>2444</v>
      </c>
      <c r="O40" s="645">
        <f t="shared" si="4"/>
        <v>2457.6666666666665</v>
      </c>
      <c r="P40" s="419">
        <f t="shared" si="5"/>
        <v>29492</v>
      </c>
    </row>
    <row r="41" spans="1:16" ht="12.75">
      <c r="A41" s="657"/>
      <c r="B41" s="410" t="s">
        <v>486</v>
      </c>
      <c r="C41" s="412">
        <f>SUM(C20:C26)</f>
        <v>426</v>
      </c>
      <c r="D41" s="412">
        <f aca="true" t="shared" si="10" ref="D41:N41">SUM(D20:D26)</f>
        <v>434</v>
      </c>
      <c r="E41" s="412">
        <f t="shared" si="10"/>
        <v>432</v>
      </c>
      <c r="F41" s="412">
        <f t="shared" si="10"/>
        <v>430</v>
      </c>
      <c r="G41" s="412">
        <f t="shared" si="10"/>
        <v>436</v>
      </c>
      <c r="H41" s="412">
        <f t="shared" si="10"/>
        <v>438</v>
      </c>
      <c r="I41" s="412">
        <f t="shared" si="10"/>
        <v>441</v>
      </c>
      <c r="J41" s="412">
        <f t="shared" si="10"/>
        <v>443</v>
      </c>
      <c r="K41" s="412">
        <f t="shared" si="10"/>
        <v>443</v>
      </c>
      <c r="L41" s="412">
        <f t="shared" si="10"/>
        <v>446</v>
      </c>
      <c r="M41" s="412">
        <f t="shared" si="10"/>
        <v>451</v>
      </c>
      <c r="N41" s="412">
        <f t="shared" si="10"/>
        <v>463</v>
      </c>
      <c r="O41" s="645">
        <f t="shared" si="4"/>
        <v>440.25</v>
      </c>
      <c r="P41" s="419">
        <f t="shared" si="5"/>
        <v>5283</v>
      </c>
    </row>
    <row r="42" spans="1:16" ht="12.75">
      <c r="A42" s="657"/>
      <c r="B42" s="411" t="s">
        <v>66</v>
      </c>
      <c r="C42" s="412">
        <f>SUM(C36:C41)</f>
        <v>255579</v>
      </c>
      <c r="D42" s="645">
        <f aca="true" t="shared" si="11" ref="D42:O42">SUM(D36:D41)</f>
        <v>248361</v>
      </c>
      <c r="E42" s="645">
        <f t="shared" si="11"/>
        <v>260885</v>
      </c>
      <c r="F42" s="645">
        <f t="shared" si="11"/>
        <v>253383</v>
      </c>
      <c r="G42" s="645">
        <f t="shared" si="11"/>
        <v>257680</v>
      </c>
      <c r="H42" s="645">
        <f t="shared" si="11"/>
        <v>254825</v>
      </c>
      <c r="I42" s="645">
        <f t="shared" si="11"/>
        <v>255366</v>
      </c>
      <c r="J42" s="645">
        <f t="shared" si="11"/>
        <v>256141</v>
      </c>
      <c r="K42" s="645">
        <f t="shared" si="11"/>
        <v>249324</v>
      </c>
      <c r="L42" s="645">
        <f t="shared" si="11"/>
        <v>263586</v>
      </c>
      <c r="M42" s="645">
        <f t="shared" si="11"/>
        <v>256786</v>
      </c>
      <c r="N42" s="645">
        <f t="shared" si="11"/>
        <v>257394</v>
      </c>
      <c r="O42" s="645">
        <f t="shared" si="11"/>
        <v>255775.83333333334</v>
      </c>
      <c r="P42" s="419">
        <f t="shared" si="5"/>
        <v>3069310</v>
      </c>
    </row>
    <row r="47" spans="1:16" ht="12.75">
      <c r="A47" s="435" t="s">
        <v>955</v>
      </c>
      <c r="B47" s="657"/>
      <c r="C47" s="657"/>
      <c r="D47" s="657"/>
      <c r="E47" s="657"/>
      <c r="F47" s="657"/>
      <c r="G47" s="657"/>
      <c r="H47" s="657"/>
      <c r="I47" s="657"/>
      <c r="J47" s="657"/>
      <c r="K47" s="657"/>
      <c r="L47" s="657"/>
      <c r="M47" s="657"/>
      <c r="N47" s="657"/>
      <c r="O47" s="657"/>
      <c r="P47" s="657"/>
    </row>
    <row r="48" spans="1:16" ht="12.75">
      <c r="A48" s="657"/>
      <c r="B48" s="657"/>
      <c r="C48" s="657"/>
      <c r="D48" s="657"/>
      <c r="E48" s="657"/>
      <c r="F48" s="657"/>
      <c r="G48" s="657"/>
      <c r="H48" s="657"/>
      <c r="I48" s="657"/>
      <c r="J48" s="657"/>
      <c r="K48" s="657"/>
      <c r="L48" s="657"/>
      <c r="M48" s="657"/>
      <c r="N48" s="657"/>
      <c r="O48" s="657"/>
      <c r="P48" s="657"/>
    </row>
    <row r="49" spans="1:16" ht="12.75">
      <c r="A49" s="657" t="s">
        <v>474</v>
      </c>
      <c r="B49" s="657"/>
      <c r="C49" s="657"/>
      <c r="D49" s="657"/>
      <c r="E49" s="657"/>
      <c r="F49" s="657"/>
      <c r="G49" s="657"/>
      <c r="H49" s="657"/>
      <c r="I49" s="657"/>
      <c r="J49" s="657"/>
      <c r="K49" s="657"/>
      <c r="L49" s="657"/>
      <c r="M49" s="657"/>
      <c r="N49" s="657"/>
      <c r="O49" s="657"/>
      <c r="P49" s="657"/>
    </row>
    <row r="50" spans="1:16" ht="12.75">
      <c r="A50" s="657"/>
      <c r="B50" s="657"/>
      <c r="C50" s="657"/>
      <c r="D50" s="657"/>
      <c r="E50" s="657"/>
      <c r="F50" s="657"/>
      <c r="G50" s="657"/>
      <c r="H50" s="657"/>
      <c r="I50" s="657"/>
      <c r="J50" s="657"/>
      <c r="K50" s="657"/>
      <c r="L50" s="657"/>
      <c r="M50" s="657"/>
      <c r="N50" s="657"/>
      <c r="O50" s="657"/>
      <c r="P50" s="657"/>
    </row>
    <row r="51" spans="1:16" ht="12.75">
      <c r="A51" s="657"/>
      <c r="B51" s="657"/>
      <c r="C51" s="657"/>
      <c r="D51" s="657" t="s">
        <v>221</v>
      </c>
      <c r="E51" s="657"/>
      <c r="F51" s="657"/>
      <c r="G51" s="657"/>
      <c r="H51" s="657"/>
      <c r="I51" s="657"/>
      <c r="J51" s="657"/>
      <c r="K51" s="657"/>
      <c r="L51" s="657"/>
      <c r="M51" s="657"/>
      <c r="N51" s="657"/>
      <c r="O51" s="657"/>
      <c r="P51" s="657"/>
    </row>
    <row r="52" spans="1:16" ht="12.75">
      <c r="A52" s="657"/>
      <c r="B52" s="657"/>
      <c r="C52" s="657" t="s">
        <v>475</v>
      </c>
      <c r="D52" s="685">
        <v>201901</v>
      </c>
      <c r="E52" s="752">
        <v>201902</v>
      </c>
      <c r="F52" s="752">
        <v>201903</v>
      </c>
      <c r="G52" s="752">
        <v>201904</v>
      </c>
      <c r="H52" s="752">
        <v>201905</v>
      </c>
      <c r="I52" s="752">
        <v>201906</v>
      </c>
      <c r="J52" s="752">
        <v>201907</v>
      </c>
      <c r="K52" s="752">
        <v>201908</v>
      </c>
      <c r="L52" s="752">
        <v>201909</v>
      </c>
      <c r="M52" s="752">
        <v>201910</v>
      </c>
      <c r="N52" s="752">
        <v>201911</v>
      </c>
      <c r="O52" s="752">
        <v>201912</v>
      </c>
      <c r="P52" s="657" t="s">
        <v>478</v>
      </c>
    </row>
    <row r="53" spans="1:16" ht="12.75">
      <c r="A53" s="657" t="s">
        <v>392</v>
      </c>
      <c r="B53" s="657" t="s">
        <v>677</v>
      </c>
      <c r="C53" s="657"/>
      <c r="D53" s="657"/>
      <c r="E53" s="657"/>
      <c r="F53" s="657"/>
      <c r="G53" s="657"/>
      <c r="H53" s="657"/>
      <c r="I53" s="657"/>
      <c r="J53" s="657"/>
      <c r="K53" s="657"/>
      <c r="L53" s="657"/>
      <c r="M53" s="657"/>
      <c r="N53" s="657"/>
      <c r="O53" s="657"/>
      <c r="P53" s="657"/>
    </row>
    <row r="54" spans="1:16" ht="12.75">
      <c r="A54" s="657" t="s">
        <v>652</v>
      </c>
      <c r="B54" s="657" t="s">
        <v>679</v>
      </c>
      <c r="C54" s="657"/>
      <c r="D54" s="419">
        <v>0</v>
      </c>
      <c r="E54" s="419">
        <v>0</v>
      </c>
      <c r="F54" s="419">
        <v>0</v>
      </c>
      <c r="G54" s="419">
        <v>0</v>
      </c>
      <c r="H54" s="419">
        <v>0</v>
      </c>
      <c r="I54" s="419">
        <v>0</v>
      </c>
      <c r="J54" s="419">
        <v>0</v>
      </c>
      <c r="K54" s="419">
        <v>0</v>
      </c>
      <c r="L54" s="419">
        <v>0</v>
      </c>
      <c r="M54" s="419">
        <v>0</v>
      </c>
      <c r="N54" s="419">
        <v>0</v>
      </c>
      <c r="O54" s="419">
        <v>0</v>
      </c>
      <c r="P54" s="419">
        <v>0</v>
      </c>
    </row>
    <row r="55" spans="1:16" ht="12.75">
      <c r="A55" s="657"/>
      <c r="B55" s="657" t="s">
        <v>680</v>
      </c>
      <c r="C55" s="657"/>
      <c r="D55" s="419">
        <v>150239177.94231</v>
      </c>
      <c r="E55" s="419">
        <v>142561773.779</v>
      </c>
      <c r="F55" s="419">
        <v>150093866.55488</v>
      </c>
      <c r="G55" s="419">
        <v>133252013.37171</v>
      </c>
      <c r="H55" s="419">
        <v>126172516.54627</v>
      </c>
      <c r="I55" s="419">
        <v>121411746.72475</v>
      </c>
      <c r="J55" s="419">
        <v>126872002.51832</v>
      </c>
      <c r="K55" s="419">
        <v>132095079.98095</v>
      </c>
      <c r="L55" s="419">
        <v>128495578.01073</v>
      </c>
      <c r="M55" s="419">
        <v>131345588.99197</v>
      </c>
      <c r="N55" s="419">
        <v>137241380.78281</v>
      </c>
      <c r="O55" s="419">
        <v>150099576.73242</v>
      </c>
      <c r="P55" s="419">
        <f>SUM(D55:O55)</f>
        <v>1629880301.93612</v>
      </c>
    </row>
    <row r="56" spans="1:16" ht="12.75">
      <c r="A56" s="657"/>
      <c r="B56" s="657" t="s">
        <v>681</v>
      </c>
      <c r="C56" s="657"/>
      <c r="D56" s="419">
        <v>65236329.57469</v>
      </c>
      <c r="E56" s="419">
        <v>58044117.764</v>
      </c>
      <c r="F56" s="419">
        <v>63132076.01812</v>
      </c>
      <c r="G56" s="419">
        <v>37700655.15029</v>
      </c>
      <c r="H56" s="419">
        <v>25182795.01073</v>
      </c>
      <c r="I56" s="419">
        <v>22795358.73525</v>
      </c>
      <c r="J56" s="419">
        <v>30319636.88268</v>
      </c>
      <c r="K56" s="419">
        <v>37589224.08805</v>
      </c>
      <c r="L56" s="419">
        <v>34676234.09627</v>
      </c>
      <c r="M56" s="419">
        <v>27093579.96103</v>
      </c>
      <c r="N56" s="419">
        <v>40013737.71919</v>
      </c>
      <c r="O56" s="419">
        <v>61788895.58158</v>
      </c>
      <c r="P56" s="419">
        <f aca="true" t="shared" si="12" ref="P56:P66">SUM(D56:O56)</f>
        <v>503572640.58188003</v>
      </c>
    </row>
    <row r="57" spans="1:16" ht="12.75">
      <c r="A57" s="657"/>
      <c r="B57" s="657" t="s">
        <v>682</v>
      </c>
      <c r="C57" s="657"/>
      <c r="D57" s="419">
        <v>52369496.808</v>
      </c>
      <c r="E57" s="419">
        <v>47316443.417</v>
      </c>
      <c r="F57" s="419">
        <v>58276421.445</v>
      </c>
      <c r="G57" s="419">
        <v>17913898.327</v>
      </c>
      <c r="H57" s="419">
        <v>7477405.906</v>
      </c>
      <c r="I57" s="419">
        <v>6183682.677</v>
      </c>
      <c r="J57" s="419">
        <v>9560011.332</v>
      </c>
      <c r="K57" s="419">
        <v>12889130.639</v>
      </c>
      <c r="L57" s="419">
        <v>12073352.842</v>
      </c>
      <c r="M57" s="419">
        <v>8321659.5</v>
      </c>
      <c r="N57" s="419">
        <v>19554065.236</v>
      </c>
      <c r="O57" s="419">
        <v>46378535.166</v>
      </c>
      <c r="P57" s="419">
        <f t="shared" si="12"/>
        <v>298314103.29499996</v>
      </c>
    </row>
    <row r="58" spans="1:16" ht="12.75">
      <c r="A58" s="657"/>
      <c r="B58" s="657" t="s">
        <v>678</v>
      </c>
      <c r="C58" s="657"/>
      <c r="D58" s="419">
        <v>-1235</v>
      </c>
      <c r="E58" s="419">
        <v>0</v>
      </c>
      <c r="F58" s="419">
        <v>0</v>
      </c>
      <c r="G58" s="419">
        <v>0</v>
      </c>
      <c r="H58" s="419">
        <v>0</v>
      </c>
      <c r="I58" s="419">
        <v>0</v>
      </c>
      <c r="J58" s="419">
        <v>0</v>
      </c>
      <c r="K58" s="419">
        <v>0</v>
      </c>
      <c r="L58" s="419">
        <v>0</v>
      </c>
      <c r="M58" s="419">
        <v>0</v>
      </c>
      <c r="N58" s="419">
        <v>0</v>
      </c>
      <c r="O58" s="419">
        <v>0</v>
      </c>
      <c r="P58" s="419">
        <f>SUM(D58:O58)</f>
        <v>-1235</v>
      </c>
    </row>
    <row r="59" spans="1:16" ht="12.75">
      <c r="A59" s="657"/>
      <c r="B59" s="657" t="s">
        <v>683</v>
      </c>
      <c r="C59" s="657"/>
      <c r="D59" s="419">
        <v>-1235</v>
      </c>
      <c r="E59" s="419">
        <v>0</v>
      </c>
      <c r="F59" s="419">
        <v>0</v>
      </c>
      <c r="G59" s="419">
        <v>0</v>
      </c>
      <c r="H59" s="419">
        <v>0</v>
      </c>
      <c r="I59" s="419">
        <v>0</v>
      </c>
      <c r="J59" s="419">
        <v>0</v>
      </c>
      <c r="K59" s="419">
        <v>0</v>
      </c>
      <c r="L59" s="419">
        <v>0</v>
      </c>
      <c r="M59" s="419">
        <v>0</v>
      </c>
      <c r="N59" s="419">
        <v>0</v>
      </c>
      <c r="O59" s="419">
        <v>0</v>
      </c>
      <c r="P59" s="419">
        <f>SUM(D59:O59)</f>
        <v>-1235</v>
      </c>
    </row>
    <row r="60" spans="1:16" ht="12.75">
      <c r="A60" s="657"/>
      <c r="B60" s="657" t="s">
        <v>788</v>
      </c>
      <c r="C60" s="657"/>
      <c r="D60" s="419">
        <v>-1235</v>
      </c>
      <c r="E60" s="419">
        <v>0</v>
      </c>
      <c r="F60" s="419">
        <v>0</v>
      </c>
      <c r="G60" s="419">
        <v>0</v>
      </c>
      <c r="H60" s="419">
        <v>0</v>
      </c>
      <c r="I60" s="419">
        <v>0</v>
      </c>
      <c r="J60" s="419">
        <v>0</v>
      </c>
      <c r="K60" s="419">
        <v>0</v>
      </c>
      <c r="L60" s="419">
        <v>0</v>
      </c>
      <c r="M60" s="419">
        <v>0</v>
      </c>
      <c r="N60" s="419">
        <v>0</v>
      </c>
      <c r="O60" s="419">
        <v>0</v>
      </c>
      <c r="P60" s="419">
        <f>SUM(D60:O60)</f>
        <v>-1235</v>
      </c>
    </row>
    <row r="61" spans="1:16" ht="12.75">
      <c r="A61" s="657"/>
      <c r="B61" s="657" t="s">
        <v>731</v>
      </c>
      <c r="C61" s="657"/>
      <c r="D61" s="419">
        <v>0</v>
      </c>
      <c r="E61" s="419">
        <v>0</v>
      </c>
      <c r="F61" s="419">
        <v>0</v>
      </c>
      <c r="G61" s="419">
        <v>0</v>
      </c>
      <c r="H61" s="419">
        <v>0</v>
      </c>
      <c r="I61" s="419">
        <v>0</v>
      </c>
      <c r="J61" s="419">
        <v>0</v>
      </c>
      <c r="K61" s="419">
        <v>0</v>
      </c>
      <c r="L61" s="419">
        <v>0</v>
      </c>
      <c r="M61" s="419">
        <v>0</v>
      </c>
      <c r="N61" s="419">
        <v>0</v>
      </c>
      <c r="O61" s="419">
        <v>0</v>
      </c>
      <c r="P61" s="419">
        <f t="shared" si="12"/>
        <v>0</v>
      </c>
    </row>
    <row r="62" spans="1:16" ht="12.75">
      <c r="A62" s="657"/>
      <c r="B62" s="657" t="s">
        <v>684</v>
      </c>
      <c r="C62" s="657"/>
      <c r="D62" s="419">
        <v>0</v>
      </c>
      <c r="E62" s="419">
        <v>0</v>
      </c>
      <c r="F62" s="419">
        <v>0</v>
      </c>
      <c r="G62" s="419">
        <v>0</v>
      </c>
      <c r="H62" s="419">
        <v>-280</v>
      </c>
      <c r="I62" s="419">
        <v>0</v>
      </c>
      <c r="J62" s="419">
        <v>0</v>
      </c>
      <c r="K62" s="419">
        <v>0</v>
      </c>
      <c r="L62" s="419">
        <v>0</v>
      </c>
      <c r="M62" s="419">
        <v>0</v>
      </c>
      <c r="N62" s="419">
        <v>0</v>
      </c>
      <c r="O62" s="419">
        <v>0</v>
      </c>
      <c r="P62" s="419">
        <f t="shared" si="12"/>
        <v>-280</v>
      </c>
    </row>
    <row r="63" spans="1:16" ht="12.75">
      <c r="A63" s="657"/>
      <c r="B63" s="657" t="s">
        <v>685</v>
      </c>
      <c r="C63" s="657"/>
      <c r="D63" s="419">
        <v>0</v>
      </c>
      <c r="E63" s="419">
        <v>0</v>
      </c>
      <c r="F63" s="419">
        <v>0</v>
      </c>
      <c r="G63" s="419">
        <v>0</v>
      </c>
      <c r="H63" s="419">
        <v>0</v>
      </c>
      <c r="I63" s="419">
        <v>0</v>
      </c>
      <c r="J63" s="419">
        <v>0</v>
      </c>
      <c r="K63" s="419">
        <v>0</v>
      </c>
      <c r="L63" s="419">
        <v>0</v>
      </c>
      <c r="M63" s="419">
        <v>0</v>
      </c>
      <c r="N63" s="419">
        <v>0</v>
      </c>
      <c r="O63" s="419">
        <v>0</v>
      </c>
      <c r="P63" s="419">
        <f t="shared" si="12"/>
        <v>0</v>
      </c>
    </row>
    <row r="64" spans="1:16" ht="12.75">
      <c r="A64" s="657"/>
      <c r="B64" s="657" t="s">
        <v>686</v>
      </c>
      <c r="C64" s="657"/>
      <c r="D64" s="419">
        <v>0</v>
      </c>
      <c r="E64" s="419">
        <v>0</v>
      </c>
      <c r="F64" s="419">
        <v>0</v>
      </c>
      <c r="G64" s="419">
        <v>0</v>
      </c>
      <c r="H64" s="419">
        <v>0</v>
      </c>
      <c r="I64" s="419">
        <v>0</v>
      </c>
      <c r="J64" s="419">
        <v>0</v>
      </c>
      <c r="K64" s="419">
        <v>0</v>
      </c>
      <c r="L64" s="419">
        <v>0</v>
      </c>
      <c r="M64" s="419">
        <v>0</v>
      </c>
      <c r="N64" s="419">
        <v>0</v>
      </c>
      <c r="O64" s="419">
        <v>0</v>
      </c>
      <c r="P64" s="419">
        <f t="shared" si="12"/>
        <v>0</v>
      </c>
    </row>
    <row r="65" spans="1:16" ht="12.75">
      <c r="A65" s="657"/>
      <c r="B65" s="657" t="s">
        <v>687</v>
      </c>
      <c r="C65" s="657"/>
      <c r="D65" s="419">
        <v>0</v>
      </c>
      <c r="E65" s="419">
        <v>0</v>
      </c>
      <c r="F65" s="419">
        <v>0</v>
      </c>
      <c r="G65" s="419">
        <v>0</v>
      </c>
      <c r="H65" s="419">
        <v>0</v>
      </c>
      <c r="I65" s="419">
        <v>0</v>
      </c>
      <c r="J65" s="419">
        <v>0</v>
      </c>
      <c r="K65" s="419">
        <v>0</v>
      </c>
      <c r="L65" s="419">
        <v>0</v>
      </c>
      <c r="M65" s="419">
        <v>0</v>
      </c>
      <c r="N65" s="419">
        <v>0</v>
      </c>
      <c r="O65" s="419">
        <v>0</v>
      </c>
      <c r="P65" s="419">
        <f t="shared" si="12"/>
        <v>0</v>
      </c>
    </row>
    <row r="66" spans="1:16" ht="12.75">
      <c r="A66" s="657"/>
      <c r="B66" s="657" t="s">
        <v>688</v>
      </c>
      <c r="C66" s="657"/>
      <c r="D66" s="419"/>
      <c r="E66" s="419"/>
      <c r="F66" s="419"/>
      <c r="G66" s="419"/>
      <c r="H66" s="419">
        <v>0</v>
      </c>
      <c r="I66" s="419">
        <v>0</v>
      </c>
      <c r="J66" s="419">
        <v>0</v>
      </c>
      <c r="K66" s="419">
        <v>0</v>
      </c>
      <c r="L66" s="419">
        <v>0</v>
      </c>
      <c r="M66" s="419">
        <v>0</v>
      </c>
      <c r="N66" s="419">
        <v>0</v>
      </c>
      <c r="O66" s="419">
        <v>0</v>
      </c>
      <c r="P66" s="419">
        <f t="shared" si="12"/>
        <v>0</v>
      </c>
    </row>
    <row r="67" spans="1:16" ht="12.75">
      <c r="A67" s="657"/>
      <c r="B67" s="657" t="s">
        <v>789</v>
      </c>
      <c r="C67" s="657"/>
      <c r="D67" s="419"/>
      <c r="E67" s="419"/>
      <c r="F67" s="419"/>
      <c r="G67" s="419"/>
      <c r="H67" s="419"/>
      <c r="I67" s="419"/>
      <c r="J67" s="419"/>
      <c r="K67" s="419"/>
      <c r="L67" s="419"/>
      <c r="M67" s="419"/>
      <c r="N67" s="419">
        <v>0</v>
      </c>
      <c r="O67" s="419">
        <v>0</v>
      </c>
      <c r="P67" s="419">
        <v>0</v>
      </c>
    </row>
    <row r="68" spans="1:16" ht="12.75">
      <c r="A68" s="657"/>
      <c r="B68" s="657" t="s">
        <v>66</v>
      </c>
      <c r="C68" s="657"/>
      <c r="D68" s="419">
        <f>SUM(D54:D67)</f>
        <v>267841299.32500002</v>
      </c>
      <c r="E68" s="419">
        <f aca="true" t="shared" si="13" ref="E68:P68">SUM(E54:E67)</f>
        <v>247922334.96</v>
      </c>
      <c r="F68" s="419">
        <f t="shared" si="13"/>
        <v>271502364.018</v>
      </c>
      <c r="G68" s="419">
        <f t="shared" si="13"/>
        <v>188866566.849</v>
      </c>
      <c r="H68" s="419">
        <f t="shared" si="13"/>
        <v>158832437.46299997</v>
      </c>
      <c r="I68" s="419">
        <f t="shared" si="13"/>
        <v>150390788.137</v>
      </c>
      <c r="J68" s="419">
        <f t="shared" si="13"/>
        <v>166751650.73299998</v>
      </c>
      <c r="K68" s="419">
        <f t="shared" si="13"/>
        <v>182573434.708</v>
      </c>
      <c r="L68" s="419">
        <f t="shared" si="13"/>
        <v>175245164.949</v>
      </c>
      <c r="M68" s="419">
        <f t="shared" si="13"/>
        <v>166760828.453</v>
      </c>
      <c r="N68" s="419">
        <f t="shared" si="13"/>
        <v>196809183.738</v>
      </c>
      <c r="O68" s="419">
        <f t="shared" si="13"/>
        <v>258267007.48000002</v>
      </c>
      <c r="P68" s="419">
        <f t="shared" si="13"/>
        <v>2431763060.813</v>
      </c>
    </row>
    <row r="69" spans="1:16" ht="12.75">
      <c r="A69" s="657" t="s">
        <v>653</v>
      </c>
      <c r="B69" s="657" t="s">
        <v>679</v>
      </c>
      <c r="C69" s="657"/>
      <c r="D69" s="419">
        <v>0</v>
      </c>
      <c r="E69" s="419">
        <v>0</v>
      </c>
      <c r="F69" s="419">
        <v>0</v>
      </c>
      <c r="G69" s="419">
        <v>0</v>
      </c>
      <c r="H69" s="419">
        <v>0</v>
      </c>
      <c r="I69" s="419">
        <v>0</v>
      </c>
      <c r="J69" s="419">
        <v>0</v>
      </c>
      <c r="K69" s="419">
        <v>0</v>
      </c>
      <c r="L69" s="419">
        <v>0</v>
      </c>
      <c r="M69" s="419">
        <v>0</v>
      </c>
      <c r="N69" s="419">
        <v>0</v>
      </c>
      <c r="O69" s="419">
        <v>0</v>
      </c>
      <c r="P69" s="419">
        <v>0</v>
      </c>
    </row>
    <row r="70" spans="1:16" ht="12.75">
      <c r="A70" s="657"/>
      <c r="B70" s="657" t="s">
        <v>680</v>
      </c>
      <c r="C70" s="657"/>
      <c r="D70" s="419">
        <v>282319.79067</v>
      </c>
      <c r="E70" s="419">
        <v>266171.89</v>
      </c>
      <c r="F70" s="419">
        <v>277627.167</v>
      </c>
      <c r="G70" s="419">
        <v>250779.12633</v>
      </c>
      <c r="H70" s="419">
        <v>230909.42767</v>
      </c>
      <c r="I70" s="419">
        <v>208540.872</v>
      </c>
      <c r="J70" s="419">
        <v>209651.417</v>
      </c>
      <c r="K70" s="419">
        <v>211165.97767</v>
      </c>
      <c r="L70" s="419">
        <v>207168.157</v>
      </c>
      <c r="M70" s="419">
        <v>171445.26734</v>
      </c>
      <c r="N70" s="419">
        <v>202375.959</v>
      </c>
      <c r="O70" s="419">
        <v>243617.51333</v>
      </c>
      <c r="P70" s="419">
        <f>SUM(D70:O70)</f>
        <v>2761772.5650099996</v>
      </c>
    </row>
    <row r="71" spans="1:16" ht="12.75">
      <c r="A71" s="657"/>
      <c r="B71" s="657" t="s">
        <v>681</v>
      </c>
      <c r="C71" s="657"/>
      <c r="D71" s="419">
        <v>147692.45033</v>
      </c>
      <c r="E71" s="419">
        <v>140490.12</v>
      </c>
      <c r="F71" s="419">
        <v>148660.507</v>
      </c>
      <c r="G71" s="419">
        <v>92606.06267</v>
      </c>
      <c r="H71" s="419">
        <v>55399.35133</v>
      </c>
      <c r="I71" s="419">
        <v>30819</v>
      </c>
      <c r="J71" s="419">
        <v>36480.782</v>
      </c>
      <c r="K71" s="419">
        <v>40266.95933</v>
      </c>
      <c r="L71" s="419">
        <v>36596.476</v>
      </c>
      <c r="M71" s="419">
        <v>42266.25366</v>
      </c>
      <c r="N71" s="419">
        <v>83118.075</v>
      </c>
      <c r="O71" s="419">
        <v>126578.25367</v>
      </c>
      <c r="P71" s="419">
        <f aca="true" t="shared" si="14" ref="P71:P82">SUM(D71:O71)</f>
        <v>980974.29099</v>
      </c>
    </row>
    <row r="72" spans="1:16" ht="12.75">
      <c r="A72" s="657"/>
      <c r="B72" s="657" t="s">
        <v>682</v>
      </c>
      <c r="C72" s="657"/>
      <c r="D72" s="419">
        <v>150041.435</v>
      </c>
      <c r="E72" s="419">
        <v>134645.325</v>
      </c>
      <c r="F72" s="419">
        <v>166052.688</v>
      </c>
      <c r="G72" s="419">
        <v>47437.201</v>
      </c>
      <c r="H72" s="419">
        <v>18268</v>
      </c>
      <c r="I72" s="419">
        <v>10743.348</v>
      </c>
      <c r="J72" s="419">
        <v>13668.396</v>
      </c>
      <c r="K72" s="419">
        <v>16729.957</v>
      </c>
      <c r="L72" s="419">
        <v>15100.16</v>
      </c>
      <c r="M72" s="419">
        <v>15830.723</v>
      </c>
      <c r="N72" s="419">
        <v>46891.189</v>
      </c>
      <c r="O72" s="419">
        <v>123808.74</v>
      </c>
      <c r="P72" s="419">
        <f t="shared" si="14"/>
        <v>759217.162</v>
      </c>
    </row>
    <row r="73" spans="1:16" ht="12.75">
      <c r="A73" s="657"/>
      <c r="B73" s="657" t="s">
        <v>678</v>
      </c>
      <c r="C73" s="657"/>
      <c r="D73" s="419">
        <v>0</v>
      </c>
      <c r="E73" s="419">
        <v>0</v>
      </c>
      <c r="F73" s="419">
        <v>0</v>
      </c>
      <c r="G73" s="419">
        <v>0</v>
      </c>
      <c r="H73" s="419">
        <v>0</v>
      </c>
      <c r="I73" s="419">
        <v>0</v>
      </c>
      <c r="J73" s="419">
        <v>0</v>
      </c>
      <c r="K73" s="419">
        <v>0</v>
      </c>
      <c r="L73" s="419">
        <v>0</v>
      </c>
      <c r="M73" s="419">
        <v>0</v>
      </c>
      <c r="N73" s="419">
        <v>0</v>
      </c>
      <c r="O73" s="419">
        <v>0</v>
      </c>
      <c r="P73" s="419">
        <f t="shared" si="14"/>
        <v>0</v>
      </c>
    </row>
    <row r="74" spans="1:16" ht="12.75">
      <c r="A74" s="657"/>
      <c r="B74" s="657" t="s">
        <v>683</v>
      </c>
      <c r="C74" s="657"/>
      <c r="D74" s="419">
        <v>0</v>
      </c>
      <c r="E74" s="419">
        <v>0</v>
      </c>
      <c r="F74" s="419">
        <v>0</v>
      </c>
      <c r="G74" s="419">
        <v>0</v>
      </c>
      <c r="H74" s="419">
        <v>0</v>
      </c>
      <c r="I74" s="419">
        <v>0</v>
      </c>
      <c r="J74" s="419">
        <v>0</v>
      </c>
      <c r="K74" s="419">
        <v>0</v>
      </c>
      <c r="L74" s="419">
        <v>0</v>
      </c>
      <c r="M74" s="419">
        <v>0</v>
      </c>
      <c r="N74" s="419">
        <v>0</v>
      </c>
      <c r="O74" s="419">
        <v>0</v>
      </c>
      <c r="P74" s="419">
        <f t="shared" si="14"/>
        <v>0</v>
      </c>
    </row>
    <row r="75" spans="1:16" ht="12.75">
      <c r="A75" s="657"/>
      <c r="B75" s="657" t="s">
        <v>731</v>
      </c>
      <c r="C75" s="657"/>
      <c r="D75" s="419">
        <v>0</v>
      </c>
      <c r="E75" s="419">
        <v>0</v>
      </c>
      <c r="F75" s="419">
        <v>0</v>
      </c>
      <c r="G75" s="419">
        <v>0</v>
      </c>
      <c r="H75" s="419">
        <v>0</v>
      </c>
      <c r="I75" s="419">
        <v>0</v>
      </c>
      <c r="J75" s="419">
        <v>0</v>
      </c>
      <c r="K75" s="419">
        <v>0</v>
      </c>
      <c r="L75" s="419">
        <v>0</v>
      </c>
      <c r="M75" s="419">
        <v>0</v>
      </c>
      <c r="N75" s="419">
        <v>0</v>
      </c>
      <c r="O75" s="419">
        <v>0</v>
      </c>
      <c r="P75" s="419">
        <f t="shared" si="14"/>
        <v>0</v>
      </c>
    </row>
    <row r="76" spans="1:16" ht="12.75">
      <c r="A76" s="657"/>
      <c r="B76" s="657" t="s">
        <v>689</v>
      </c>
      <c r="C76" s="657"/>
      <c r="D76" s="419">
        <v>0</v>
      </c>
      <c r="E76" s="419">
        <v>0</v>
      </c>
      <c r="F76" s="419">
        <v>0</v>
      </c>
      <c r="G76" s="419">
        <v>0</v>
      </c>
      <c r="H76" s="419">
        <v>0</v>
      </c>
      <c r="I76" s="419">
        <v>0</v>
      </c>
      <c r="J76" s="419">
        <v>0</v>
      </c>
      <c r="K76" s="419">
        <v>0</v>
      </c>
      <c r="L76" s="419">
        <v>0</v>
      </c>
      <c r="M76" s="419">
        <v>0</v>
      </c>
      <c r="N76" s="419">
        <v>0</v>
      </c>
      <c r="O76" s="419">
        <v>0</v>
      </c>
      <c r="P76" s="419">
        <f t="shared" si="14"/>
        <v>0</v>
      </c>
    </row>
    <row r="77" spans="1:16" ht="12.75">
      <c r="A77" s="657"/>
      <c r="B77" s="657" t="s">
        <v>684</v>
      </c>
      <c r="C77" s="657"/>
      <c r="D77" s="419">
        <v>0</v>
      </c>
      <c r="E77" s="419">
        <v>0</v>
      </c>
      <c r="F77" s="419">
        <v>0</v>
      </c>
      <c r="G77" s="419">
        <v>0</v>
      </c>
      <c r="H77" s="419">
        <v>0</v>
      </c>
      <c r="I77" s="419">
        <v>0</v>
      </c>
      <c r="J77" s="419">
        <v>0</v>
      </c>
      <c r="K77" s="419">
        <v>0</v>
      </c>
      <c r="L77" s="419">
        <v>0</v>
      </c>
      <c r="M77" s="419">
        <v>0</v>
      </c>
      <c r="N77" s="419">
        <v>0</v>
      </c>
      <c r="O77" s="419">
        <v>0</v>
      </c>
      <c r="P77" s="419">
        <f t="shared" si="14"/>
        <v>0</v>
      </c>
    </row>
    <row r="78" spans="1:16" ht="12.75">
      <c r="A78" s="657"/>
      <c r="B78" s="657" t="s">
        <v>685</v>
      </c>
      <c r="C78" s="657"/>
      <c r="D78" s="419">
        <v>0</v>
      </c>
      <c r="E78" s="419">
        <v>0</v>
      </c>
      <c r="F78" s="419">
        <v>0</v>
      </c>
      <c r="G78" s="419">
        <v>0</v>
      </c>
      <c r="H78" s="419">
        <v>0</v>
      </c>
      <c r="I78" s="419">
        <v>0</v>
      </c>
      <c r="J78" s="419">
        <v>0</v>
      </c>
      <c r="K78" s="419">
        <v>0</v>
      </c>
      <c r="L78" s="419">
        <v>0</v>
      </c>
      <c r="M78" s="419">
        <v>0</v>
      </c>
      <c r="N78" s="419">
        <v>0</v>
      </c>
      <c r="O78" s="419">
        <v>0</v>
      </c>
      <c r="P78" s="419">
        <f t="shared" si="14"/>
        <v>0</v>
      </c>
    </row>
    <row r="79" spans="1:16" ht="12.75">
      <c r="A79" s="657"/>
      <c r="B79" s="657" t="s">
        <v>686</v>
      </c>
      <c r="C79" s="657"/>
      <c r="D79" s="419">
        <v>0</v>
      </c>
      <c r="E79" s="419">
        <v>0</v>
      </c>
      <c r="F79" s="419">
        <v>0</v>
      </c>
      <c r="G79" s="419">
        <v>0</v>
      </c>
      <c r="H79" s="419">
        <v>0</v>
      </c>
      <c r="I79" s="419">
        <v>0</v>
      </c>
      <c r="J79" s="419">
        <v>0</v>
      </c>
      <c r="K79" s="419">
        <v>0</v>
      </c>
      <c r="L79" s="419">
        <v>0</v>
      </c>
      <c r="M79" s="419">
        <v>0</v>
      </c>
      <c r="N79" s="419">
        <v>0</v>
      </c>
      <c r="O79" s="419">
        <v>0</v>
      </c>
      <c r="P79" s="419">
        <f t="shared" si="14"/>
        <v>0</v>
      </c>
    </row>
    <row r="80" spans="1:16" ht="12.75">
      <c r="A80" s="657"/>
      <c r="B80" s="657" t="s">
        <v>687</v>
      </c>
      <c r="C80" s="657"/>
      <c r="D80" s="419">
        <v>0</v>
      </c>
      <c r="E80" s="419">
        <v>0</v>
      </c>
      <c r="F80" s="419">
        <v>0</v>
      </c>
      <c r="G80" s="419">
        <v>0</v>
      </c>
      <c r="H80" s="419">
        <v>0</v>
      </c>
      <c r="I80" s="419">
        <v>0</v>
      </c>
      <c r="J80" s="419">
        <v>0</v>
      </c>
      <c r="K80" s="419">
        <v>0</v>
      </c>
      <c r="L80" s="419">
        <v>0</v>
      </c>
      <c r="M80" s="419">
        <v>0</v>
      </c>
      <c r="N80" s="419">
        <v>0</v>
      </c>
      <c r="O80" s="419">
        <v>0</v>
      </c>
      <c r="P80" s="419">
        <f t="shared" si="14"/>
        <v>0</v>
      </c>
    </row>
    <row r="81" spans="1:16" ht="12.75">
      <c r="A81" s="657"/>
      <c r="B81" s="657" t="s">
        <v>688</v>
      </c>
      <c r="C81" s="657"/>
      <c r="D81" s="419">
        <v>0</v>
      </c>
      <c r="E81" s="419">
        <v>0</v>
      </c>
      <c r="F81" s="419">
        <v>0</v>
      </c>
      <c r="G81" s="419">
        <v>0</v>
      </c>
      <c r="H81" s="419">
        <v>0</v>
      </c>
      <c r="I81" s="419">
        <v>0</v>
      </c>
      <c r="J81" s="419">
        <v>0</v>
      </c>
      <c r="K81" s="419">
        <v>0</v>
      </c>
      <c r="L81" s="419">
        <v>0</v>
      </c>
      <c r="M81" s="419">
        <v>0</v>
      </c>
      <c r="N81" s="419">
        <v>0</v>
      </c>
      <c r="O81" s="419">
        <v>0</v>
      </c>
      <c r="P81" s="419">
        <f t="shared" si="14"/>
        <v>0</v>
      </c>
    </row>
    <row r="82" spans="1:16" ht="12.75">
      <c r="A82" s="657"/>
      <c r="B82" s="657" t="s">
        <v>788</v>
      </c>
      <c r="C82" s="657"/>
      <c r="D82" s="419"/>
      <c r="E82" s="419"/>
      <c r="F82" s="419"/>
      <c r="G82" s="419"/>
      <c r="H82" s="419">
        <v>0</v>
      </c>
      <c r="I82" s="419">
        <v>0</v>
      </c>
      <c r="J82" s="419">
        <v>0</v>
      </c>
      <c r="K82" s="419">
        <v>0</v>
      </c>
      <c r="L82" s="419">
        <v>0</v>
      </c>
      <c r="M82" s="419">
        <v>0</v>
      </c>
      <c r="N82" s="419">
        <v>0</v>
      </c>
      <c r="O82" s="419">
        <v>0</v>
      </c>
      <c r="P82" s="419">
        <f t="shared" si="14"/>
        <v>0</v>
      </c>
    </row>
    <row r="83" spans="1:16" ht="12.75">
      <c r="A83" s="657"/>
      <c r="B83" s="657" t="s">
        <v>66</v>
      </c>
      <c r="C83" s="657"/>
      <c r="D83" s="419">
        <f>SUM(D69:D82)</f>
        <v>580053.676</v>
      </c>
      <c r="E83" s="419">
        <f aca="true" t="shared" si="15" ref="E83:P83">SUM(E69:E82)</f>
        <v>541307.335</v>
      </c>
      <c r="F83" s="419">
        <f t="shared" si="15"/>
        <v>592340.362</v>
      </c>
      <c r="G83" s="419">
        <f t="shared" si="15"/>
        <v>390822.39</v>
      </c>
      <c r="H83" s="419">
        <f t="shared" si="15"/>
        <v>304576.779</v>
      </c>
      <c r="I83" s="419">
        <f t="shared" si="15"/>
        <v>250103.22</v>
      </c>
      <c r="J83" s="419">
        <f t="shared" si="15"/>
        <v>259800.595</v>
      </c>
      <c r="K83" s="419">
        <f t="shared" si="15"/>
        <v>268162.894</v>
      </c>
      <c r="L83" s="419">
        <f t="shared" si="15"/>
        <v>258864.793</v>
      </c>
      <c r="M83" s="419">
        <f t="shared" si="15"/>
        <v>229542.244</v>
      </c>
      <c r="N83" s="419">
        <f t="shared" si="15"/>
        <v>332385.223</v>
      </c>
      <c r="O83" s="419">
        <f t="shared" si="15"/>
        <v>494004.507</v>
      </c>
      <c r="P83" s="419">
        <f t="shared" si="15"/>
        <v>4501964.017999999</v>
      </c>
    </row>
    <row r="84" spans="1:16" ht="12.75">
      <c r="A84" s="657" t="s">
        <v>654</v>
      </c>
      <c r="B84" s="657" t="s">
        <v>690</v>
      </c>
      <c r="C84" s="657"/>
      <c r="D84" s="419">
        <v>0</v>
      </c>
      <c r="E84" s="419">
        <v>0</v>
      </c>
      <c r="F84" s="419">
        <v>0</v>
      </c>
      <c r="G84" s="419">
        <v>0</v>
      </c>
      <c r="H84" s="419">
        <v>0</v>
      </c>
      <c r="I84" s="419">
        <v>0</v>
      </c>
      <c r="J84" s="419">
        <v>0</v>
      </c>
      <c r="K84" s="419">
        <v>0</v>
      </c>
      <c r="L84" s="419">
        <v>0</v>
      </c>
      <c r="M84" s="419">
        <v>0</v>
      </c>
      <c r="N84" s="419">
        <v>0</v>
      </c>
      <c r="O84" s="419">
        <v>0</v>
      </c>
      <c r="P84" s="419">
        <f aca="true" t="shared" si="16" ref="P84:P87">SUM(D84:O84)</f>
        <v>0</v>
      </c>
    </row>
    <row r="85" spans="1:16" ht="12.75">
      <c r="A85" s="657"/>
      <c r="B85" s="657" t="s">
        <v>679</v>
      </c>
      <c r="C85" s="657"/>
      <c r="D85" s="419">
        <v>0</v>
      </c>
      <c r="E85" s="419">
        <v>0</v>
      </c>
      <c r="F85" s="419">
        <v>0</v>
      </c>
      <c r="G85" s="419">
        <v>0</v>
      </c>
      <c r="H85" s="419">
        <v>0</v>
      </c>
      <c r="I85" s="419">
        <v>0</v>
      </c>
      <c r="J85" s="419">
        <v>0</v>
      </c>
      <c r="K85" s="419">
        <v>0</v>
      </c>
      <c r="L85" s="419">
        <v>0</v>
      </c>
      <c r="M85" s="419">
        <v>0</v>
      </c>
      <c r="N85" s="419">
        <v>0</v>
      </c>
      <c r="O85" s="419">
        <v>0</v>
      </c>
      <c r="P85" s="419">
        <f t="shared" si="16"/>
        <v>0</v>
      </c>
    </row>
    <row r="86" spans="1:16" ht="12.75">
      <c r="A86" s="657"/>
      <c r="B86" s="657" t="s">
        <v>691</v>
      </c>
      <c r="C86" s="657"/>
      <c r="D86" s="419">
        <v>0</v>
      </c>
      <c r="E86" s="419">
        <v>0</v>
      </c>
      <c r="F86" s="419">
        <v>0</v>
      </c>
      <c r="G86" s="419">
        <v>0</v>
      </c>
      <c r="H86" s="419">
        <v>0</v>
      </c>
      <c r="I86" s="419">
        <v>0</v>
      </c>
      <c r="J86" s="419">
        <v>0</v>
      </c>
      <c r="K86" s="419">
        <v>0</v>
      </c>
      <c r="L86" s="419">
        <v>0</v>
      </c>
      <c r="M86" s="419">
        <v>0</v>
      </c>
      <c r="N86" s="419">
        <v>0</v>
      </c>
      <c r="O86" s="419">
        <v>0</v>
      </c>
      <c r="P86" s="419">
        <f t="shared" si="16"/>
        <v>0</v>
      </c>
    </row>
    <row r="87" spans="1:16" ht="12.75">
      <c r="A87" s="657"/>
      <c r="B87" s="657" t="s">
        <v>692</v>
      </c>
      <c r="C87" s="657"/>
      <c r="D87" s="419">
        <v>0</v>
      </c>
      <c r="E87" s="419">
        <v>0</v>
      </c>
      <c r="F87" s="419">
        <v>0</v>
      </c>
      <c r="G87" s="419">
        <v>0</v>
      </c>
      <c r="H87" s="419">
        <v>0</v>
      </c>
      <c r="I87" s="419">
        <v>0</v>
      </c>
      <c r="J87" s="419">
        <v>0</v>
      </c>
      <c r="K87" s="419">
        <v>0</v>
      </c>
      <c r="L87" s="419">
        <v>0</v>
      </c>
      <c r="M87" s="419">
        <v>0</v>
      </c>
      <c r="N87" s="419">
        <v>0</v>
      </c>
      <c r="O87" s="419">
        <v>0</v>
      </c>
      <c r="P87" s="419">
        <f t="shared" si="16"/>
        <v>0</v>
      </c>
    </row>
    <row r="88" spans="1:16" ht="13.5" thickBot="1">
      <c r="A88" s="657"/>
      <c r="B88" s="657" t="s">
        <v>680</v>
      </c>
      <c r="C88" s="657"/>
      <c r="D88" s="761">
        <v>35144446.58969</v>
      </c>
      <c r="E88" s="761">
        <v>34125485.37966</v>
      </c>
      <c r="F88" s="761">
        <v>35841250.56963</v>
      </c>
      <c r="G88" s="761">
        <v>31539769.65834</v>
      </c>
      <c r="H88" s="761">
        <v>29421546.76167</v>
      </c>
      <c r="I88" s="761">
        <v>28955105.11035</v>
      </c>
      <c r="J88" s="761">
        <v>29764550.10767</v>
      </c>
      <c r="K88" s="761">
        <v>30840013.04869</v>
      </c>
      <c r="L88" s="761">
        <v>30660685.31799</v>
      </c>
      <c r="M88" s="761">
        <v>30031154.87453</v>
      </c>
      <c r="N88" s="761">
        <v>31333256.80464</v>
      </c>
      <c r="O88" s="761">
        <v>34970385.771</v>
      </c>
      <c r="P88" s="419">
        <f>SUM(D88:O88)</f>
        <v>382627649.99386</v>
      </c>
    </row>
    <row r="89" spans="1:16" ht="13.5" thickBot="1">
      <c r="A89" s="657"/>
      <c r="B89" s="657" t="s">
        <v>681</v>
      </c>
      <c r="C89" s="657"/>
      <c r="D89" s="761">
        <v>17938585.73131</v>
      </c>
      <c r="E89" s="761">
        <v>17121296.63534</v>
      </c>
      <c r="F89" s="761">
        <v>18516249.17237</v>
      </c>
      <c r="G89" s="761">
        <v>13297757.44166</v>
      </c>
      <c r="H89" s="761">
        <v>12040477.10033</v>
      </c>
      <c r="I89" s="761">
        <v>12701977.10365</v>
      </c>
      <c r="J89" s="761">
        <v>14907579.34133</v>
      </c>
      <c r="K89" s="761">
        <v>16453298.31331</v>
      </c>
      <c r="L89" s="761">
        <v>16419901.52701</v>
      </c>
      <c r="M89" s="761">
        <v>12259528.03947</v>
      </c>
      <c r="N89" s="761">
        <v>13290056.32636</v>
      </c>
      <c r="O89" s="761">
        <v>18503812.553</v>
      </c>
      <c r="P89" s="419">
        <f aca="true" t="shared" si="17" ref="P89:P97">SUM(D89:O89)</f>
        <v>183450519.28513998</v>
      </c>
    </row>
    <row r="90" spans="1:16" ht="12.75">
      <c r="A90" s="657"/>
      <c r="B90" s="657" t="s">
        <v>678</v>
      </c>
      <c r="C90" s="657"/>
      <c r="D90" s="419">
        <v>0</v>
      </c>
      <c r="E90" s="419">
        <v>0</v>
      </c>
      <c r="F90" s="419">
        <v>0</v>
      </c>
      <c r="G90" s="419">
        <v>0</v>
      </c>
      <c r="H90" s="419">
        <v>0</v>
      </c>
      <c r="I90" s="419">
        <v>0</v>
      </c>
      <c r="J90" s="419">
        <v>0</v>
      </c>
      <c r="K90" s="419">
        <v>0</v>
      </c>
      <c r="L90" s="419">
        <v>0</v>
      </c>
      <c r="M90" s="419">
        <v>0</v>
      </c>
      <c r="N90" s="419">
        <v>0</v>
      </c>
      <c r="O90" s="419">
        <v>0</v>
      </c>
      <c r="P90" s="419">
        <f t="shared" si="17"/>
        <v>0</v>
      </c>
    </row>
    <row r="91" spans="1:16" ht="12.75">
      <c r="A91" s="657"/>
      <c r="B91" s="657" t="s">
        <v>731</v>
      </c>
      <c r="C91" s="657"/>
      <c r="D91" s="419">
        <v>0</v>
      </c>
      <c r="E91" s="419">
        <v>0</v>
      </c>
      <c r="F91" s="419">
        <v>0</v>
      </c>
      <c r="G91" s="419">
        <v>0</v>
      </c>
      <c r="H91" s="419">
        <v>0</v>
      </c>
      <c r="I91" s="419">
        <v>0</v>
      </c>
      <c r="J91" s="419">
        <v>0</v>
      </c>
      <c r="K91" s="419">
        <v>0</v>
      </c>
      <c r="L91" s="419">
        <v>0</v>
      </c>
      <c r="M91" s="419">
        <v>0</v>
      </c>
      <c r="N91" s="419">
        <v>0</v>
      </c>
      <c r="O91" s="419">
        <v>0</v>
      </c>
      <c r="P91" s="419">
        <f t="shared" si="17"/>
        <v>0</v>
      </c>
    </row>
    <row r="92" spans="1:16" ht="12.75">
      <c r="A92" s="657"/>
      <c r="B92" s="657" t="s">
        <v>684</v>
      </c>
      <c r="C92" s="657"/>
      <c r="D92" s="419">
        <v>0</v>
      </c>
      <c r="E92" s="419">
        <v>0</v>
      </c>
      <c r="F92" s="419">
        <v>0</v>
      </c>
      <c r="G92" s="419">
        <v>0</v>
      </c>
      <c r="H92" s="419">
        <v>0</v>
      </c>
      <c r="I92" s="419">
        <v>0</v>
      </c>
      <c r="J92" s="419">
        <v>0</v>
      </c>
      <c r="K92" s="419">
        <v>0</v>
      </c>
      <c r="L92" s="419">
        <v>0</v>
      </c>
      <c r="M92" s="419">
        <v>0</v>
      </c>
      <c r="N92" s="419">
        <v>0</v>
      </c>
      <c r="O92" s="419">
        <v>0</v>
      </c>
      <c r="P92" s="419">
        <f t="shared" si="17"/>
        <v>0</v>
      </c>
    </row>
    <row r="93" spans="1:16" ht="12.75">
      <c r="A93" s="657"/>
      <c r="B93" s="657" t="s">
        <v>685</v>
      </c>
      <c r="C93" s="657"/>
      <c r="D93" s="419">
        <v>0</v>
      </c>
      <c r="E93" s="419">
        <v>0</v>
      </c>
      <c r="F93" s="419">
        <v>0</v>
      </c>
      <c r="G93" s="419">
        <v>0</v>
      </c>
      <c r="H93" s="419">
        <v>0</v>
      </c>
      <c r="I93" s="419">
        <v>0</v>
      </c>
      <c r="J93" s="419">
        <v>0</v>
      </c>
      <c r="K93" s="419">
        <v>0</v>
      </c>
      <c r="L93" s="419">
        <v>0</v>
      </c>
      <c r="M93" s="419">
        <v>0</v>
      </c>
      <c r="N93" s="419">
        <v>0</v>
      </c>
      <c r="O93" s="419">
        <v>0</v>
      </c>
      <c r="P93" s="419">
        <f t="shared" si="17"/>
        <v>0</v>
      </c>
    </row>
    <row r="94" spans="1:16" ht="12.75">
      <c r="A94" s="657"/>
      <c r="B94" s="657" t="s">
        <v>686</v>
      </c>
      <c r="C94" s="657"/>
      <c r="D94" s="419">
        <v>0</v>
      </c>
      <c r="E94" s="419">
        <v>0</v>
      </c>
      <c r="F94" s="419">
        <v>0</v>
      </c>
      <c r="G94" s="419">
        <v>0</v>
      </c>
      <c r="H94" s="419">
        <v>0</v>
      </c>
      <c r="I94" s="419">
        <v>0</v>
      </c>
      <c r="J94" s="419">
        <v>0</v>
      </c>
      <c r="K94" s="419">
        <v>0</v>
      </c>
      <c r="L94" s="419">
        <v>0</v>
      </c>
      <c r="M94" s="419">
        <v>0</v>
      </c>
      <c r="N94" s="419">
        <v>0</v>
      </c>
      <c r="O94" s="419">
        <v>0</v>
      </c>
      <c r="P94" s="419">
        <f t="shared" si="17"/>
        <v>0</v>
      </c>
    </row>
    <row r="95" spans="1:16" ht="12.75">
      <c r="A95" s="657"/>
      <c r="B95" s="657" t="s">
        <v>687</v>
      </c>
      <c r="C95" s="657"/>
      <c r="D95" s="419">
        <v>0</v>
      </c>
      <c r="E95" s="419">
        <v>0</v>
      </c>
      <c r="F95" s="419">
        <v>0</v>
      </c>
      <c r="G95" s="419">
        <v>0</v>
      </c>
      <c r="H95" s="419">
        <v>0</v>
      </c>
      <c r="I95" s="419">
        <v>0</v>
      </c>
      <c r="J95" s="419">
        <v>0</v>
      </c>
      <c r="K95" s="419">
        <v>0</v>
      </c>
      <c r="L95" s="419">
        <v>0</v>
      </c>
      <c r="M95" s="419">
        <v>0</v>
      </c>
      <c r="N95" s="419">
        <v>0</v>
      </c>
      <c r="O95" s="419">
        <v>0</v>
      </c>
      <c r="P95" s="419">
        <f t="shared" si="17"/>
        <v>0</v>
      </c>
    </row>
    <row r="96" spans="1:16" ht="12.75">
      <c r="A96" s="657"/>
      <c r="B96" s="657" t="s">
        <v>688</v>
      </c>
      <c r="C96" s="657"/>
      <c r="D96" s="419">
        <v>0</v>
      </c>
      <c r="E96" s="419">
        <v>0</v>
      </c>
      <c r="F96" s="419">
        <v>0</v>
      </c>
      <c r="G96" s="419">
        <v>0</v>
      </c>
      <c r="H96" s="419">
        <v>0</v>
      </c>
      <c r="I96" s="419">
        <v>0</v>
      </c>
      <c r="J96" s="419">
        <v>0</v>
      </c>
      <c r="K96" s="419">
        <v>0</v>
      </c>
      <c r="L96" s="419">
        <v>0</v>
      </c>
      <c r="M96" s="419">
        <v>0</v>
      </c>
      <c r="N96" s="419">
        <v>0</v>
      </c>
      <c r="O96" s="419">
        <v>0</v>
      </c>
      <c r="P96" s="419">
        <f t="shared" si="17"/>
        <v>0</v>
      </c>
    </row>
    <row r="97" spans="1:16" ht="12.75">
      <c r="A97" s="657"/>
      <c r="B97" s="657" t="s">
        <v>788</v>
      </c>
      <c r="C97" s="657"/>
      <c r="D97" s="419"/>
      <c r="E97" s="419"/>
      <c r="F97" s="419"/>
      <c r="G97" s="419"/>
      <c r="H97" s="419">
        <v>0</v>
      </c>
      <c r="I97" s="419">
        <v>0</v>
      </c>
      <c r="J97" s="419">
        <v>0</v>
      </c>
      <c r="K97" s="419">
        <v>0</v>
      </c>
      <c r="L97" s="419">
        <v>0</v>
      </c>
      <c r="M97" s="419">
        <v>0</v>
      </c>
      <c r="N97" s="419">
        <v>0</v>
      </c>
      <c r="O97" s="419">
        <v>0</v>
      </c>
      <c r="P97" s="419">
        <f t="shared" si="17"/>
        <v>0</v>
      </c>
    </row>
    <row r="98" spans="1:16" ht="12.75">
      <c r="A98" s="657"/>
      <c r="B98" s="657" t="s">
        <v>66</v>
      </c>
      <c r="C98" s="657"/>
      <c r="D98" s="419">
        <f>SUM(D84:D97)</f>
        <v>53083032.320999995</v>
      </c>
      <c r="E98" s="419">
        <f aca="true" t="shared" si="18" ref="E98:O98">SUM(E84:E97)</f>
        <v>51246782.015</v>
      </c>
      <c r="F98" s="419">
        <f t="shared" si="18"/>
        <v>54357499.742</v>
      </c>
      <c r="G98" s="419">
        <f t="shared" si="18"/>
        <v>44837527.1</v>
      </c>
      <c r="H98" s="419">
        <f t="shared" si="18"/>
        <v>41462023.862</v>
      </c>
      <c r="I98" s="419">
        <f t="shared" si="18"/>
        <v>41657082.214</v>
      </c>
      <c r="J98" s="419">
        <f t="shared" si="18"/>
        <v>44672129.449</v>
      </c>
      <c r="K98" s="419">
        <f t="shared" si="18"/>
        <v>47293311.361999996</v>
      </c>
      <c r="L98" s="419">
        <f t="shared" si="18"/>
        <v>47080586.845</v>
      </c>
      <c r="M98" s="419">
        <f t="shared" si="18"/>
        <v>42290682.914</v>
      </c>
      <c r="N98" s="419">
        <f t="shared" si="18"/>
        <v>44623313.131</v>
      </c>
      <c r="O98" s="419">
        <f t="shared" si="18"/>
        <v>53474198.324</v>
      </c>
      <c r="P98" s="419">
        <f>SUM(P84:P97)</f>
        <v>566078169.279</v>
      </c>
    </row>
    <row r="99" spans="1:16" ht="12.75">
      <c r="A99" s="657" t="s">
        <v>655</v>
      </c>
      <c r="B99" s="657" t="s">
        <v>690</v>
      </c>
      <c r="C99" s="657"/>
      <c r="D99" s="419">
        <v>0</v>
      </c>
      <c r="E99" s="419">
        <v>0</v>
      </c>
      <c r="F99" s="419">
        <v>0</v>
      </c>
      <c r="G99" s="419">
        <v>0</v>
      </c>
      <c r="H99" s="419">
        <v>0</v>
      </c>
      <c r="I99" s="419">
        <v>0</v>
      </c>
      <c r="J99" s="419">
        <v>0</v>
      </c>
      <c r="K99" s="419">
        <v>0</v>
      </c>
      <c r="L99" s="419">
        <v>0</v>
      </c>
      <c r="M99" s="419">
        <v>0</v>
      </c>
      <c r="N99" s="419">
        <v>0</v>
      </c>
      <c r="O99" s="419">
        <v>0</v>
      </c>
      <c r="P99" s="419">
        <f aca="true" t="shared" si="19" ref="P99:P101">SUM(D99:O99)</f>
        <v>0</v>
      </c>
    </row>
    <row r="100" spans="1:16" ht="12.75">
      <c r="A100" s="657"/>
      <c r="B100" s="657" t="s">
        <v>679</v>
      </c>
      <c r="C100" s="657"/>
      <c r="D100" s="419">
        <v>0</v>
      </c>
      <c r="E100" s="419">
        <v>0</v>
      </c>
      <c r="F100" s="419">
        <v>0</v>
      </c>
      <c r="G100" s="419">
        <v>0</v>
      </c>
      <c r="H100" s="419">
        <v>0</v>
      </c>
      <c r="I100" s="419">
        <v>0</v>
      </c>
      <c r="J100" s="419">
        <v>0</v>
      </c>
      <c r="K100" s="419">
        <v>0</v>
      </c>
      <c r="L100" s="419">
        <v>0</v>
      </c>
      <c r="M100" s="419">
        <v>0</v>
      </c>
      <c r="N100" s="419">
        <v>0</v>
      </c>
      <c r="O100" s="419">
        <v>0</v>
      </c>
      <c r="P100" s="419">
        <f t="shared" si="19"/>
        <v>0</v>
      </c>
    </row>
    <row r="101" spans="1:16" ht="12.75">
      <c r="A101" s="657"/>
      <c r="B101" s="657" t="s">
        <v>692</v>
      </c>
      <c r="C101" s="657"/>
      <c r="D101" s="419">
        <v>0</v>
      </c>
      <c r="E101" s="419">
        <v>0</v>
      </c>
      <c r="F101" s="419">
        <v>0</v>
      </c>
      <c r="G101" s="419">
        <v>0</v>
      </c>
      <c r="H101" s="419">
        <v>0</v>
      </c>
      <c r="I101" s="419">
        <v>0</v>
      </c>
      <c r="J101" s="419">
        <v>0</v>
      </c>
      <c r="K101" s="419">
        <v>0</v>
      </c>
      <c r="L101" s="419">
        <v>0</v>
      </c>
      <c r="M101" s="419">
        <v>0</v>
      </c>
      <c r="N101" s="419">
        <v>0</v>
      </c>
      <c r="O101" s="419">
        <v>0</v>
      </c>
      <c r="P101" s="419">
        <f t="shared" si="19"/>
        <v>0</v>
      </c>
    </row>
    <row r="102" spans="1:16" ht="12.75">
      <c r="A102" s="657"/>
      <c r="B102" s="657" t="s">
        <v>680</v>
      </c>
      <c r="C102" s="657"/>
      <c r="D102" s="419">
        <v>5911989.39434</v>
      </c>
      <c r="E102" s="419">
        <v>5638132.33366</v>
      </c>
      <c r="F102" s="419">
        <v>6214207.77733</v>
      </c>
      <c r="G102" s="419">
        <v>4536457.535</v>
      </c>
      <c r="H102" s="419">
        <v>3673456.59733</v>
      </c>
      <c r="I102" s="419">
        <v>3241941.681</v>
      </c>
      <c r="J102" s="419">
        <v>3342032.587</v>
      </c>
      <c r="K102" s="419">
        <v>3420877.079</v>
      </c>
      <c r="L102" s="419">
        <v>3443081.196</v>
      </c>
      <c r="M102" s="419">
        <v>3720230.68633</v>
      </c>
      <c r="N102" s="419">
        <v>4420583.36066</v>
      </c>
      <c r="O102" s="419">
        <v>5788652.79633</v>
      </c>
      <c r="P102" s="419">
        <f>SUM(D102:O102)</f>
        <v>53351643.02398</v>
      </c>
    </row>
    <row r="103" spans="1:16" ht="12.75">
      <c r="A103" s="657"/>
      <c r="B103" s="657" t="s">
        <v>681</v>
      </c>
      <c r="C103" s="657"/>
      <c r="D103" s="419">
        <v>925305.40766</v>
      </c>
      <c r="E103" s="419">
        <v>954574.13834</v>
      </c>
      <c r="F103" s="419">
        <v>1005252.90467</v>
      </c>
      <c r="G103" s="419">
        <v>595784.213</v>
      </c>
      <c r="H103" s="419">
        <v>348637.28567</v>
      </c>
      <c r="I103" s="419">
        <v>354568.566</v>
      </c>
      <c r="J103" s="419">
        <v>388873.031</v>
      </c>
      <c r="K103" s="419">
        <v>550407.967</v>
      </c>
      <c r="L103" s="419">
        <v>577513.998</v>
      </c>
      <c r="M103" s="419">
        <v>513935.82067</v>
      </c>
      <c r="N103" s="419">
        <v>564813.51134</v>
      </c>
      <c r="O103" s="419">
        <v>886263.38967</v>
      </c>
      <c r="P103" s="419">
        <f aca="true" t="shared" si="20" ref="P103:P112">SUM(D103:O103)</f>
        <v>7665930.23302</v>
      </c>
    </row>
    <row r="104" spans="1:16" ht="12.75">
      <c r="A104" s="657"/>
      <c r="B104" s="657" t="s">
        <v>678</v>
      </c>
      <c r="C104" s="657"/>
      <c r="D104" s="419">
        <v>0</v>
      </c>
      <c r="E104" s="419">
        <v>0</v>
      </c>
      <c r="F104" s="419">
        <v>0</v>
      </c>
      <c r="G104" s="419">
        <v>0</v>
      </c>
      <c r="H104" s="419">
        <v>0</v>
      </c>
      <c r="I104" s="419">
        <v>0</v>
      </c>
      <c r="J104" s="419">
        <v>0</v>
      </c>
      <c r="K104" s="419">
        <v>0</v>
      </c>
      <c r="L104" s="419">
        <v>0</v>
      </c>
      <c r="M104" s="419">
        <v>0</v>
      </c>
      <c r="N104" s="419">
        <v>0</v>
      </c>
      <c r="O104" s="419">
        <v>0</v>
      </c>
      <c r="P104" s="419">
        <f t="shared" si="20"/>
        <v>0</v>
      </c>
    </row>
    <row r="105" spans="1:16" ht="12.75">
      <c r="A105" s="657"/>
      <c r="B105" s="657" t="s">
        <v>683</v>
      </c>
      <c r="C105" s="657"/>
      <c r="D105" s="419">
        <v>0</v>
      </c>
      <c r="E105" s="419">
        <v>0</v>
      </c>
      <c r="F105" s="419">
        <v>0</v>
      </c>
      <c r="G105" s="419">
        <v>0</v>
      </c>
      <c r="H105" s="419">
        <v>0</v>
      </c>
      <c r="I105" s="419">
        <v>0</v>
      </c>
      <c r="J105" s="419">
        <v>0</v>
      </c>
      <c r="K105" s="419">
        <v>0</v>
      </c>
      <c r="L105" s="419">
        <v>0</v>
      </c>
      <c r="M105" s="419">
        <v>0</v>
      </c>
      <c r="N105" s="419">
        <v>0</v>
      </c>
      <c r="O105" s="419">
        <v>0</v>
      </c>
      <c r="P105" s="419">
        <f t="shared" si="20"/>
        <v>0</v>
      </c>
    </row>
    <row r="106" spans="1:16" ht="12.75">
      <c r="A106" s="657"/>
      <c r="B106" s="657" t="s">
        <v>731</v>
      </c>
      <c r="C106" s="657"/>
      <c r="D106" s="419">
        <v>0</v>
      </c>
      <c r="E106" s="419">
        <v>0</v>
      </c>
      <c r="F106" s="419">
        <v>0</v>
      </c>
      <c r="G106" s="419">
        <v>0</v>
      </c>
      <c r="H106" s="419">
        <v>0</v>
      </c>
      <c r="I106" s="419">
        <v>0</v>
      </c>
      <c r="J106" s="419">
        <v>0</v>
      </c>
      <c r="K106" s="419">
        <v>0</v>
      </c>
      <c r="L106" s="419">
        <v>0</v>
      </c>
      <c r="M106" s="419">
        <v>0</v>
      </c>
      <c r="N106" s="419">
        <v>0</v>
      </c>
      <c r="O106" s="419">
        <v>0</v>
      </c>
      <c r="P106" s="419">
        <f t="shared" si="20"/>
        <v>0</v>
      </c>
    </row>
    <row r="107" spans="1:16" ht="12.75">
      <c r="A107" s="657"/>
      <c r="B107" s="657" t="s">
        <v>684</v>
      </c>
      <c r="C107" s="657"/>
      <c r="D107" s="419">
        <v>0</v>
      </c>
      <c r="E107" s="419">
        <v>0</v>
      </c>
      <c r="F107" s="419">
        <v>0</v>
      </c>
      <c r="G107" s="419">
        <v>0</v>
      </c>
      <c r="H107" s="419">
        <v>-240</v>
      </c>
      <c r="I107" s="419">
        <v>0</v>
      </c>
      <c r="J107" s="419">
        <v>0</v>
      </c>
      <c r="K107" s="419">
        <v>0</v>
      </c>
      <c r="L107" s="419">
        <v>0</v>
      </c>
      <c r="M107" s="419">
        <v>0</v>
      </c>
      <c r="N107" s="419">
        <v>0</v>
      </c>
      <c r="O107" s="419">
        <v>0</v>
      </c>
      <c r="P107" s="419">
        <f t="shared" si="20"/>
        <v>-240</v>
      </c>
    </row>
    <row r="108" spans="1:16" ht="12.75">
      <c r="A108" s="657"/>
      <c r="B108" s="657" t="s">
        <v>685</v>
      </c>
      <c r="C108" s="657"/>
      <c r="D108" s="419">
        <v>0</v>
      </c>
      <c r="E108" s="419">
        <v>0</v>
      </c>
      <c r="F108" s="419">
        <v>0</v>
      </c>
      <c r="G108" s="419">
        <v>0</v>
      </c>
      <c r="H108" s="419">
        <v>0</v>
      </c>
      <c r="I108" s="419">
        <v>0</v>
      </c>
      <c r="J108" s="419">
        <v>0</v>
      </c>
      <c r="K108" s="419">
        <v>0</v>
      </c>
      <c r="L108" s="419">
        <v>0</v>
      </c>
      <c r="M108" s="419">
        <v>0</v>
      </c>
      <c r="N108" s="419">
        <v>0</v>
      </c>
      <c r="O108" s="419">
        <v>0</v>
      </c>
      <c r="P108" s="419">
        <f t="shared" si="20"/>
        <v>0</v>
      </c>
    </row>
    <row r="109" spans="1:16" ht="12.75">
      <c r="A109" s="657"/>
      <c r="B109" s="657" t="s">
        <v>686</v>
      </c>
      <c r="C109" s="657"/>
      <c r="D109" s="419">
        <v>0</v>
      </c>
      <c r="E109" s="419">
        <v>0</v>
      </c>
      <c r="F109" s="419">
        <v>0</v>
      </c>
      <c r="G109" s="419">
        <v>0</v>
      </c>
      <c r="H109" s="419">
        <v>0</v>
      </c>
      <c r="I109" s="419">
        <v>0</v>
      </c>
      <c r="J109" s="419">
        <v>0</v>
      </c>
      <c r="K109" s="419">
        <v>0</v>
      </c>
      <c r="L109" s="419">
        <v>0</v>
      </c>
      <c r="M109" s="419">
        <v>0</v>
      </c>
      <c r="N109" s="419">
        <v>0</v>
      </c>
      <c r="O109" s="419">
        <v>0</v>
      </c>
      <c r="P109" s="419">
        <f t="shared" si="20"/>
        <v>0</v>
      </c>
    </row>
    <row r="110" spans="1:16" ht="12.75">
      <c r="A110" s="657"/>
      <c r="B110" s="657" t="s">
        <v>687</v>
      </c>
      <c r="C110" s="657"/>
      <c r="D110" s="419">
        <v>0</v>
      </c>
      <c r="E110" s="419">
        <v>0</v>
      </c>
      <c r="F110" s="419">
        <v>0</v>
      </c>
      <c r="G110" s="419">
        <v>0</v>
      </c>
      <c r="H110" s="419">
        <v>0</v>
      </c>
      <c r="I110" s="419">
        <v>0</v>
      </c>
      <c r="J110" s="419">
        <v>0</v>
      </c>
      <c r="K110" s="419">
        <v>0</v>
      </c>
      <c r="L110" s="419">
        <v>0</v>
      </c>
      <c r="M110" s="419">
        <v>0</v>
      </c>
      <c r="N110" s="419">
        <v>0</v>
      </c>
      <c r="O110" s="419">
        <v>0</v>
      </c>
      <c r="P110" s="419">
        <f t="shared" si="20"/>
        <v>0</v>
      </c>
    </row>
    <row r="111" spans="1:16" ht="12.75">
      <c r="A111" s="657"/>
      <c r="B111" s="657" t="s">
        <v>688</v>
      </c>
      <c r="C111" s="657"/>
      <c r="D111" s="419">
        <v>0</v>
      </c>
      <c r="E111" s="419">
        <v>0</v>
      </c>
      <c r="F111" s="419">
        <v>0</v>
      </c>
      <c r="G111" s="419">
        <v>0</v>
      </c>
      <c r="H111" s="419">
        <v>0</v>
      </c>
      <c r="I111" s="419">
        <v>0</v>
      </c>
      <c r="J111" s="419">
        <v>0</v>
      </c>
      <c r="K111" s="419">
        <v>0</v>
      </c>
      <c r="L111" s="419">
        <v>0</v>
      </c>
      <c r="M111" s="419">
        <v>0</v>
      </c>
      <c r="N111" s="419">
        <v>0</v>
      </c>
      <c r="O111" s="419">
        <v>0</v>
      </c>
      <c r="P111" s="419">
        <f t="shared" si="20"/>
        <v>0</v>
      </c>
    </row>
    <row r="112" spans="1:16" ht="12.75">
      <c r="A112" s="657"/>
      <c r="B112" s="657" t="s">
        <v>788</v>
      </c>
      <c r="C112" s="657"/>
      <c r="D112" s="419"/>
      <c r="E112" s="419"/>
      <c r="F112" s="419"/>
      <c r="G112" s="419"/>
      <c r="H112" s="419">
        <v>0</v>
      </c>
      <c r="I112" s="419">
        <v>0</v>
      </c>
      <c r="J112" s="419">
        <v>0</v>
      </c>
      <c r="K112" s="419">
        <v>0</v>
      </c>
      <c r="L112" s="419">
        <v>0</v>
      </c>
      <c r="M112" s="419">
        <v>0</v>
      </c>
      <c r="N112" s="419">
        <v>0</v>
      </c>
      <c r="O112" s="419">
        <v>0</v>
      </c>
      <c r="P112" s="419">
        <f t="shared" si="20"/>
        <v>0</v>
      </c>
    </row>
    <row r="113" spans="1:16" ht="12.75">
      <c r="A113" s="657"/>
      <c r="B113" s="657" t="s">
        <v>66</v>
      </c>
      <c r="C113" s="657"/>
      <c r="D113" s="419">
        <f>SUM(D99:D112)</f>
        <v>6837294.802</v>
      </c>
      <c r="E113" s="419">
        <f aca="true" t="shared" si="21" ref="E113:O113">SUM(E99:E112)</f>
        <v>6592706.472</v>
      </c>
      <c r="F113" s="419">
        <f t="shared" si="21"/>
        <v>7219460.682</v>
      </c>
      <c r="G113" s="419">
        <f t="shared" si="21"/>
        <v>5132241.748</v>
      </c>
      <c r="H113" s="419">
        <f t="shared" si="21"/>
        <v>4021853.883</v>
      </c>
      <c r="I113" s="419">
        <f t="shared" si="21"/>
        <v>3596510.247</v>
      </c>
      <c r="J113" s="419">
        <f t="shared" si="21"/>
        <v>3730905.618</v>
      </c>
      <c r="K113" s="419">
        <f t="shared" si="21"/>
        <v>3971285.046</v>
      </c>
      <c r="L113" s="419">
        <f t="shared" si="21"/>
        <v>4020595.194</v>
      </c>
      <c r="M113" s="419">
        <f t="shared" si="21"/>
        <v>4234166.507</v>
      </c>
      <c r="N113" s="419">
        <f t="shared" si="21"/>
        <v>4985396.8719999995</v>
      </c>
      <c r="O113" s="419">
        <f t="shared" si="21"/>
        <v>6674916.186000001</v>
      </c>
      <c r="P113" s="419">
        <f>SUM(P99:P112)</f>
        <v>61017333.257</v>
      </c>
    </row>
    <row r="114" spans="1:16" ht="12.75">
      <c r="A114" s="657" t="s">
        <v>657</v>
      </c>
      <c r="B114" s="657" t="s">
        <v>679</v>
      </c>
      <c r="C114" s="657"/>
      <c r="D114" s="419">
        <v>0</v>
      </c>
      <c r="E114" s="419">
        <v>0</v>
      </c>
      <c r="F114" s="419">
        <v>0</v>
      </c>
      <c r="G114" s="419">
        <v>0</v>
      </c>
      <c r="H114" s="419">
        <v>0</v>
      </c>
      <c r="I114" s="419">
        <v>0</v>
      </c>
      <c r="J114" s="419">
        <v>0</v>
      </c>
      <c r="K114" s="419">
        <v>0</v>
      </c>
      <c r="L114" s="419">
        <v>0</v>
      </c>
      <c r="M114" s="419">
        <v>0</v>
      </c>
      <c r="N114" s="419">
        <v>0</v>
      </c>
      <c r="O114" s="419">
        <v>0</v>
      </c>
      <c r="P114" s="419">
        <f aca="true" t="shared" si="22" ref="P114:P116">SUM(D114:O114)</f>
        <v>0</v>
      </c>
    </row>
    <row r="115" spans="1:16" ht="12.75">
      <c r="A115" s="657"/>
      <c r="B115" s="657" t="s">
        <v>691</v>
      </c>
      <c r="C115" s="657"/>
      <c r="D115" s="419">
        <v>0</v>
      </c>
      <c r="E115" s="419">
        <v>0</v>
      </c>
      <c r="F115" s="419">
        <v>0</v>
      </c>
      <c r="G115" s="419">
        <v>0</v>
      </c>
      <c r="H115" s="419">
        <v>0</v>
      </c>
      <c r="I115" s="419">
        <v>0</v>
      </c>
      <c r="J115" s="419">
        <v>0</v>
      </c>
      <c r="K115" s="419">
        <v>0</v>
      </c>
      <c r="L115" s="419">
        <v>0</v>
      </c>
      <c r="M115" s="419">
        <v>0</v>
      </c>
      <c r="N115" s="419">
        <v>0</v>
      </c>
      <c r="O115" s="419">
        <v>0</v>
      </c>
      <c r="P115" s="419">
        <f t="shared" si="22"/>
        <v>0</v>
      </c>
    </row>
    <row r="116" spans="1:16" ht="12.75">
      <c r="A116" s="657"/>
      <c r="B116" s="657" t="s">
        <v>692</v>
      </c>
      <c r="C116" s="657"/>
      <c r="D116" s="419">
        <v>0</v>
      </c>
      <c r="E116" s="419">
        <v>0</v>
      </c>
      <c r="F116" s="419">
        <v>0</v>
      </c>
      <c r="G116" s="419">
        <v>0</v>
      </c>
      <c r="H116" s="419">
        <v>0</v>
      </c>
      <c r="I116" s="419">
        <v>0</v>
      </c>
      <c r="J116" s="419">
        <v>0</v>
      </c>
      <c r="K116" s="419">
        <v>0</v>
      </c>
      <c r="L116" s="419">
        <v>0</v>
      </c>
      <c r="M116" s="419">
        <v>0</v>
      </c>
      <c r="N116" s="419">
        <v>0</v>
      </c>
      <c r="O116" s="419">
        <v>0</v>
      </c>
      <c r="P116" s="419">
        <f t="shared" si="22"/>
        <v>0</v>
      </c>
    </row>
    <row r="117" spans="1:16" ht="12.75">
      <c r="A117" s="657"/>
      <c r="B117" s="657" t="s">
        <v>680</v>
      </c>
      <c r="C117" s="657"/>
      <c r="D117" s="419">
        <v>104819824.11833</v>
      </c>
      <c r="E117" s="419">
        <v>99058751.03</v>
      </c>
      <c r="F117" s="419">
        <v>104385145.29467</v>
      </c>
      <c r="G117" s="419">
        <v>95819636.994</v>
      </c>
      <c r="H117" s="419">
        <v>93950445.962</v>
      </c>
      <c r="I117" s="419">
        <v>96611639.213</v>
      </c>
      <c r="J117" s="419">
        <v>100931281.47</v>
      </c>
      <c r="K117" s="419">
        <v>101449414.502</v>
      </c>
      <c r="L117" s="419">
        <v>99711817.104</v>
      </c>
      <c r="M117" s="419">
        <v>99110245.45967</v>
      </c>
      <c r="N117" s="419">
        <v>94665849.422</v>
      </c>
      <c r="O117" s="419">
        <v>106308240.714</v>
      </c>
      <c r="P117" s="419">
        <f>SUM(D117:O117)</f>
        <v>1196822291.28367</v>
      </c>
    </row>
    <row r="118" spans="1:16" ht="12.75">
      <c r="A118" s="657"/>
      <c r="B118" s="657" t="s">
        <v>681</v>
      </c>
      <c r="C118" s="657"/>
      <c r="D118" s="419">
        <v>12203335.06667</v>
      </c>
      <c r="E118" s="419">
        <v>10935110.2</v>
      </c>
      <c r="F118" s="419">
        <v>11819762.69333</v>
      </c>
      <c r="G118" s="419">
        <v>10193798.96</v>
      </c>
      <c r="H118" s="419">
        <v>11158280.64</v>
      </c>
      <c r="I118" s="419">
        <v>11736635.7</v>
      </c>
      <c r="J118" s="419">
        <v>13256235.26</v>
      </c>
      <c r="K118" s="419">
        <v>14144176.56</v>
      </c>
      <c r="L118" s="419">
        <v>15279978.18</v>
      </c>
      <c r="M118" s="419">
        <v>11559763.25333</v>
      </c>
      <c r="N118" s="419">
        <v>10691308.64</v>
      </c>
      <c r="O118" s="419">
        <v>13086599.3</v>
      </c>
      <c r="P118" s="419">
        <f aca="true" t="shared" si="23" ref="P118:P127">SUM(D118:O118)</f>
        <v>146064984.45333</v>
      </c>
    </row>
    <row r="119" spans="1:16" ht="12.75">
      <c r="A119" s="657"/>
      <c r="B119" s="657" t="s">
        <v>678</v>
      </c>
      <c r="C119" s="657"/>
      <c r="D119" s="419">
        <v>0</v>
      </c>
      <c r="E119" s="419">
        <v>0</v>
      </c>
      <c r="F119" s="419">
        <v>0</v>
      </c>
      <c r="G119" s="419">
        <v>0</v>
      </c>
      <c r="H119" s="419">
        <v>0</v>
      </c>
      <c r="I119" s="419">
        <v>0</v>
      </c>
      <c r="J119" s="419">
        <v>0</v>
      </c>
      <c r="K119" s="419">
        <v>0</v>
      </c>
      <c r="L119" s="419">
        <v>0</v>
      </c>
      <c r="M119" s="419">
        <v>0</v>
      </c>
      <c r="N119" s="419">
        <v>0</v>
      </c>
      <c r="O119" s="419">
        <v>0</v>
      </c>
      <c r="P119" s="419">
        <f t="shared" si="23"/>
        <v>0</v>
      </c>
    </row>
    <row r="120" spans="1:16" ht="12.75">
      <c r="A120" s="657"/>
      <c r="B120" s="657" t="s">
        <v>693</v>
      </c>
      <c r="C120" s="657"/>
      <c r="D120" s="419">
        <v>0</v>
      </c>
      <c r="E120" s="419">
        <v>0</v>
      </c>
      <c r="F120" s="419">
        <v>0</v>
      </c>
      <c r="G120" s="419">
        <v>0</v>
      </c>
      <c r="H120" s="419">
        <v>0</v>
      </c>
      <c r="I120" s="419">
        <v>0</v>
      </c>
      <c r="J120" s="419">
        <v>0</v>
      </c>
      <c r="K120" s="419">
        <v>0</v>
      </c>
      <c r="L120" s="419">
        <v>0</v>
      </c>
      <c r="M120" s="419">
        <v>0</v>
      </c>
      <c r="N120" s="419">
        <v>0</v>
      </c>
      <c r="O120" s="419">
        <v>0</v>
      </c>
      <c r="P120" s="419">
        <f t="shared" si="23"/>
        <v>0</v>
      </c>
    </row>
    <row r="121" spans="1:16" ht="12.75">
      <c r="A121" s="657"/>
      <c r="B121" s="657" t="s">
        <v>731</v>
      </c>
      <c r="C121" s="657"/>
      <c r="D121" s="419">
        <v>0</v>
      </c>
      <c r="E121" s="419">
        <v>0</v>
      </c>
      <c r="F121" s="419">
        <v>0</v>
      </c>
      <c r="G121" s="419">
        <v>0</v>
      </c>
      <c r="H121" s="419">
        <v>0</v>
      </c>
      <c r="I121" s="419">
        <v>0</v>
      </c>
      <c r="J121" s="419">
        <v>0</v>
      </c>
      <c r="K121" s="419">
        <v>0</v>
      </c>
      <c r="L121" s="419">
        <v>0</v>
      </c>
      <c r="M121" s="419">
        <v>0</v>
      </c>
      <c r="N121" s="419">
        <v>0</v>
      </c>
      <c r="O121" s="419">
        <v>0</v>
      </c>
      <c r="P121" s="419">
        <f t="shared" si="23"/>
        <v>0</v>
      </c>
    </row>
    <row r="122" spans="1:16" ht="12.75">
      <c r="A122" s="657"/>
      <c r="B122" s="657" t="s">
        <v>684</v>
      </c>
      <c r="C122" s="657"/>
      <c r="D122" s="419">
        <v>0</v>
      </c>
      <c r="E122" s="419">
        <v>0</v>
      </c>
      <c r="F122" s="419">
        <v>0</v>
      </c>
      <c r="G122" s="419">
        <v>0</v>
      </c>
      <c r="H122" s="419">
        <v>0</v>
      </c>
      <c r="I122" s="419">
        <v>0</v>
      </c>
      <c r="J122" s="419">
        <v>0</v>
      </c>
      <c r="K122" s="419">
        <v>0</v>
      </c>
      <c r="L122" s="419">
        <v>0</v>
      </c>
      <c r="M122" s="419">
        <v>0</v>
      </c>
      <c r="N122" s="419">
        <v>0</v>
      </c>
      <c r="O122" s="419">
        <v>0</v>
      </c>
      <c r="P122" s="419">
        <f t="shared" si="23"/>
        <v>0</v>
      </c>
    </row>
    <row r="123" spans="1:16" ht="12.75">
      <c r="A123" s="657"/>
      <c r="B123" s="657" t="s">
        <v>685</v>
      </c>
      <c r="C123" s="657"/>
      <c r="D123" s="419">
        <v>0</v>
      </c>
      <c r="E123" s="419">
        <v>0</v>
      </c>
      <c r="F123" s="419">
        <v>0</v>
      </c>
      <c r="G123" s="419">
        <v>0</v>
      </c>
      <c r="H123" s="419">
        <v>0</v>
      </c>
      <c r="I123" s="419">
        <v>0</v>
      </c>
      <c r="J123" s="419">
        <v>0</v>
      </c>
      <c r="K123" s="419">
        <v>0</v>
      </c>
      <c r="L123" s="419">
        <v>0</v>
      </c>
      <c r="M123" s="419">
        <v>0</v>
      </c>
      <c r="N123" s="419">
        <v>0</v>
      </c>
      <c r="O123" s="419">
        <v>0</v>
      </c>
      <c r="P123" s="419">
        <f t="shared" si="23"/>
        <v>0</v>
      </c>
    </row>
    <row r="124" spans="1:16" ht="12.75">
      <c r="A124" s="657"/>
      <c r="B124" s="657" t="s">
        <v>686</v>
      </c>
      <c r="C124" s="657"/>
      <c r="D124" s="419">
        <v>0</v>
      </c>
      <c r="E124" s="419">
        <v>0</v>
      </c>
      <c r="F124" s="419">
        <v>0</v>
      </c>
      <c r="G124" s="419">
        <v>0</v>
      </c>
      <c r="H124" s="419">
        <v>0</v>
      </c>
      <c r="I124" s="419">
        <v>0</v>
      </c>
      <c r="J124" s="419">
        <v>0</v>
      </c>
      <c r="K124" s="419">
        <v>0</v>
      </c>
      <c r="L124" s="419">
        <v>0</v>
      </c>
      <c r="M124" s="419">
        <v>0</v>
      </c>
      <c r="N124" s="419">
        <v>0</v>
      </c>
      <c r="O124" s="419">
        <v>0</v>
      </c>
      <c r="P124" s="419">
        <f t="shared" si="23"/>
        <v>0</v>
      </c>
    </row>
    <row r="125" spans="1:16" ht="12.75">
      <c r="A125" s="657"/>
      <c r="B125" s="657" t="s">
        <v>687</v>
      </c>
      <c r="C125" s="657"/>
      <c r="D125" s="419">
        <v>0</v>
      </c>
      <c r="E125" s="419">
        <v>0</v>
      </c>
      <c r="F125" s="419">
        <v>0</v>
      </c>
      <c r="G125" s="419">
        <v>0</v>
      </c>
      <c r="H125" s="419">
        <v>0</v>
      </c>
      <c r="I125" s="419">
        <v>0</v>
      </c>
      <c r="J125" s="419">
        <v>0</v>
      </c>
      <c r="K125" s="419">
        <v>0</v>
      </c>
      <c r="L125" s="419">
        <v>0</v>
      </c>
      <c r="M125" s="419">
        <v>0</v>
      </c>
      <c r="N125" s="419">
        <v>0</v>
      </c>
      <c r="O125" s="419">
        <v>0</v>
      </c>
      <c r="P125" s="419">
        <f t="shared" si="23"/>
        <v>0</v>
      </c>
    </row>
    <row r="126" spans="1:16" ht="12.75">
      <c r="A126" s="657"/>
      <c r="B126" s="657" t="s">
        <v>688</v>
      </c>
      <c r="C126" s="657"/>
      <c r="D126" s="419">
        <v>0</v>
      </c>
      <c r="E126" s="419">
        <v>0</v>
      </c>
      <c r="F126" s="419">
        <v>0</v>
      </c>
      <c r="G126" s="419">
        <v>0</v>
      </c>
      <c r="H126" s="419">
        <v>0</v>
      </c>
      <c r="I126" s="419">
        <v>0</v>
      </c>
      <c r="J126" s="419">
        <v>0</v>
      </c>
      <c r="K126" s="419">
        <v>0</v>
      </c>
      <c r="L126" s="419">
        <v>0</v>
      </c>
      <c r="M126" s="419">
        <v>0</v>
      </c>
      <c r="N126" s="419">
        <v>0</v>
      </c>
      <c r="O126" s="419">
        <v>0</v>
      </c>
      <c r="P126" s="419">
        <f t="shared" si="23"/>
        <v>0</v>
      </c>
    </row>
    <row r="127" spans="1:16" ht="12.75">
      <c r="A127" s="657"/>
      <c r="B127" s="657" t="s">
        <v>788</v>
      </c>
      <c r="C127" s="657"/>
      <c r="D127" s="419"/>
      <c r="E127" s="419"/>
      <c r="F127" s="419"/>
      <c r="G127" s="419"/>
      <c r="H127" s="419">
        <v>0</v>
      </c>
      <c r="I127" s="419">
        <v>0</v>
      </c>
      <c r="J127" s="419">
        <v>0</v>
      </c>
      <c r="K127" s="419">
        <v>0</v>
      </c>
      <c r="L127" s="419">
        <v>0</v>
      </c>
      <c r="M127" s="419">
        <v>0</v>
      </c>
      <c r="N127" s="419">
        <v>0</v>
      </c>
      <c r="O127" s="419">
        <v>0</v>
      </c>
      <c r="P127" s="419">
        <f t="shared" si="23"/>
        <v>0</v>
      </c>
    </row>
    <row r="128" spans="1:16" ht="12.75">
      <c r="A128" s="657"/>
      <c r="B128" s="657" t="s">
        <v>66</v>
      </c>
      <c r="C128" s="657"/>
      <c r="D128" s="419">
        <f>SUM(D114:D127)</f>
        <v>117023159.185</v>
      </c>
      <c r="E128" s="419">
        <f aca="true" t="shared" si="24" ref="E128:P128">SUM(E114:E127)</f>
        <v>109993861.23</v>
      </c>
      <c r="F128" s="419">
        <f t="shared" si="24"/>
        <v>116204907.988</v>
      </c>
      <c r="G128" s="419">
        <f t="shared" si="24"/>
        <v>106013435.954</v>
      </c>
      <c r="H128" s="419">
        <f t="shared" si="24"/>
        <v>105108726.602</v>
      </c>
      <c r="I128" s="419">
        <f t="shared" si="24"/>
        <v>108348274.913</v>
      </c>
      <c r="J128" s="419">
        <f t="shared" si="24"/>
        <v>114187516.73</v>
      </c>
      <c r="K128" s="419">
        <f t="shared" si="24"/>
        <v>115593591.062</v>
      </c>
      <c r="L128" s="419">
        <f t="shared" si="24"/>
        <v>114991795.28400001</v>
      </c>
      <c r="M128" s="419">
        <f t="shared" si="24"/>
        <v>110670008.713</v>
      </c>
      <c r="N128" s="419">
        <f t="shared" si="24"/>
        <v>105357158.062</v>
      </c>
      <c r="O128" s="419">
        <f t="shared" si="24"/>
        <v>119394840.014</v>
      </c>
      <c r="P128" s="419">
        <f t="shared" si="24"/>
        <v>1342887275.737</v>
      </c>
    </row>
    <row r="129" spans="1:16" ht="12.75">
      <c r="A129" s="657" t="s">
        <v>658</v>
      </c>
      <c r="B129" s="657" t="s">
        <v>679</v>
      </c>
      <c r="C129" s="657"/>
      <c r="D129" s="419">
        <v>0</v>
      </c>
      <c r="E129" s="419">
        <v>0</v>
      </c>
      <c r="F129" s="419">
        <v>0</v>
      </c>
      <c r="G129" s="419">
        <v>0</v>
      </c>
      <c r="H129" s="419">
        <v>0</v>
      </c>
      <c r="I129" s="419">
        <v>0</v>
      </c>
      <c r="J129" s="419">
        <v>0</v>
      </c>
      <c r="K129" s="419">
        <v>0</v>
      </c>
      <c r="L129" s="419">
        <v>0</v>
      </c>
      <c r="M129" s="419">
        <v>0</v>
      </c>
      <c r="N129" s="419">
        <v>0</v>
      </c>
      <c r="O129" s="419">
        <v>0</v>
      </c>
      <c r="P129" s="419">
        <v>0</v>
      </c>
    </row>
    <row r="130" spans="1:16" ht="12.75">
      <c r="A130" s="657"/>
      <c r="B130" s="657" t="s">
        <v>692</v>
      </c>
      <c r="C130" s="657"/>
      <c r="D130" s="419">
        <v>0</v>
      </c>
      <c r="E130" s="419">
        <v>0</v>
      </c>
      <c r="F130" s="419">
        <v>0</v>
      </c>
      <c r="G130" s="419">
        <v>0</v>
      </c>
      <c r="H130" s="419">
        <v>0</v>
      </c>
      <c r="I130" s="419">
        <v>0</v>
      </c>
      <c r="J130" s="419">
        <v>0</v>
      </c>
      <c r="K130" s="419">
        <v>0</v>
      </c>
      <c r="L130" s="419">
        <v>0</v>
      </c>
      <c r="M130" s="419">
        <v>0</v>
      </c>
      <c r="N130" s="419">
        <v>0</v>
      </c>
      <c r="O130" s="419">
        <v>0</v>
      </c>
      <c r="P130" s="419">
        <v>0</v>
      </c>
    </row>
    <row r="131" spans="1:16" ht="12.75">
      <c r="A131" s="657"/>
      <c r="B131" s="657" t="s">
        <v>680</v>
      </c>
      <c r="C131" s="657"/>
      <c r="D131" s="419">
        <v>3538497.44</v>
      </c>
      <c r="E131" s="419">
        <v>3217213.92</v>
      </c>
      <c r="F131" s="419">
        <v>3608455.84</v>
      </c>
      <c r="G131" s="419">
        <v>2604046.72</v>
      </c>
      <c r="H131" s="419">
        <v>2247395.2</v>
      </c>
      <c r="I131" s="419">
        <v>2170828.6</v>
      </c>
      <c r="J131" s="419">
        <v>2293234.84</v>
      </c>
      <c r="K131" s="419">
        <v>2518587.52</v>
      </c>
      <c r="L131" s="419">
        <v>2314246.96</v>
      </c>
      <c r="M131" s="419">
        <v>2542421.88</v>
      </c>
      <c r="N131" s="419">
        <v>2624069.36</v>
      </c>
      <c r="O131" s="419">
        <v>3289862.24</v>
      </c>
      <c r="P131" s="419">
        <f>SUM(D131:O131)</f>
        <v>32968860.520000003</v>
      </c>
    </row>
    <row r="132" spans="1:16" ht="12.75">
      <c r="A132" s="657"/>
      <c r="B132" s="657" t="s">
        <v>681</v>
      </c>
      <c r="C132" s="657"/>
      <c r="D132" s="419">
        <v>19760</v>
      </c>
      <c r="E132" s="419">
        <v>44720</v>
      </c>
      <c r="F132" s="419">
        <v>44000</v>
      </c>
      <c r="G132" s="419">
        <v>54560</v>
      </c>
      <c r="H132" s="419">
        <v>0</v>
      </c>
      <c r="I132" s="419">
        <v>0</v>
      </c>
      <c r="J132" s="419">
        <v>0</v>
      </c>
      <c r="K132" s="419">
        <v>9800</v>
      </c>
      <c r="L132" s="419">
        <v>0</v>
      </c>
      <c r="M132" s="419">
        <v>0</v>
      </c>
      <c r="N132" s="419">
        <v>0</v>
      </c>
      <c r="O132" s="419">
        <v>0</v>
      </c>
      <c r="P132" s="419">
        <f>SUM(D132:O132)</f>
        <v>172840</v>
      </c>
    </row>
    <row r="133" spans="1:16" ht="12.75">
      <c r="A133" s="657"/>
      <c r="B133" s="657" t="s">
        <v>678</v>
      </c>
      <c r="C133" s="657"/>
      <c r="D133" s="419">
        <v>0</v>
      </c>
      <c r="E133" s="419">
        <v>0</v>
      </c>
      <c r="F133" s="419">
        <v>0</v>
      </c>
      <c r="G133" s="419">
        <v>0</v>
      </c>
      <c r="H133" s="419">
        <v>0</v>
      </c>
      <c r="I133" s="419">
        <v>0</v>
      </c>
      <c r="J133" s="419">
        <v>0</v>
      </c>
      <c r="K133" s="419">
        <v>0</v>
      </c>
      <c r="L133" s="419">
        <v>0</v>
      </c>
      <c r="M133" s="419">
        <v>0</v>
      </c>
      <c r="N133" s="419">
        <v>0</v>
      </c>
      <c r="O133" s="419">
        <v>0</v>
      </c>
      <c r="P133" s="419">
        <v>0</v>
      </c>
    </row>
    <row r="134" spans="1:16" ht="12.75">
      <c r="A134" s="657"/>
      <c r="B134" s="657" t="s">
        <v>683</v>
      </c>
      <c r="C134" s="657"/>
      <c r="D134" s="419">
        <v>0</v>
      </c>
      <c r="E134" s="419">
        <v>0</v>
      </c>
      <c r="F134" s="419">
        <v>0</v>
      </c>
      <c r="G134" s="419">
        <v>0</v>
      </c>
      <c r="H134" s="419">
        <v>0</v>
      </c>
      <c r="I134" s="419">
        <v>0</v>
      </c>
      <c r="J134" s="419">
        <v>0</v>
      </c>
      <c r="K134" s="419">
        <v>0</v>
      </c>
      <c r="L134" s="419">
        <v>0</v>
      </c>
      <c r="M134" s="419">
        <v>0</v>
      </c>
      <c r="N134" s="419">
        <v>0</v>
      </c>
      <c r="O134" s="419">
        <v>0</v>
      </c>
      <c r="P134" s="419">
        <v>0</v>
      </c>
    </row>
    <row r="135" spans="1:16" ht="12.75">
      <c r="A135" s="657"/>
      <c r="B135" s="657" t="s">
        <v>731</v>
      </c>
      <c r="C135" s="657"/>
      <c r="D135" s="419">
        <v>0</v>
      </c>
      <c r="E135" s="419">
        <v>0</v>
      </c>
      <c r="F135" s="419">
        <v>0</v>
      </c>
      <c r="G135" s="419">
        <v>0</v>
      </c>
      <c r="H135" s="419">
        <v>0</v>
      </c>
      <c r="I135" s="419">
        <v>0</v>
      </c>
      <c r="J135" s="419">
        <v>0</v>
      </c>
      <c r="K135" s="419">
        <v>0</v>
      </c>
      <c r="L135" s="419">
        <v>0</v>
      </c>
      <c r="M135" s="419">
        <v>0</v>
      </c>
      <c r="N135" s="419">
        <v>0</v>
      </c>
      <c r="O135" s="419">
        <v>0</v>
      </c>
      <c r="P135" s="419">
        <v>0</v>
      </c>
    </row>
    <row r="136" spans="1:16" ht="12.75">
      <c r="A136" s="657"/>
      <c r="B136" s="657" t="s">
        <v>684</v>
      </c>
      <c r="C136" s="657"/>
      <c r="D136" s="419">
        <v>0</v>
      </c>
      <c r="E136" s="419">
        <v>0</v>
      </c>
      <c r="F136" s="419">
        <v>0</v>
      </c>
      <c r="G136" s="419">
        <v>0</v>
      </c>
      <c r="H136" s="419">
        <v>0</v>
      </c>
      <c r="I136" s="419">
        <v>0</v>
      </c>
      <c r="J136" s="419">
        <v>0</v>
      </c>
      <c r="K136" s="419">
        <v>0</v>
      </c>
      <c r="L136" s="419">
        <v>0</v>
      </c>
      <c r="M136" s="419">
        <v>0</v>
      </c>
      <c r="N136" s="419">
        <v>0</v>
      </c>
      <c r="O136" s="419">
        <v>0</v>
      </c>
      <c r="P136" s="419">
        <v>0</v>
      </c>
    </row>
    <row r="137" spans="1:16" ht="12.75">
      <c r="A137" s="657"/>
      <c r="B137" s="657" t="s">
        <v>685</v>
      </c>
      <c r="C137" s="657"/>
      <c r="D137" s="419">
        <v>0</v>
      </c>
      <c r="E137" s="419">
        <v>0</v>
      </c>
      <c r="F137" s="419">
        <v>0</v>
      </c>
      <c r="G137" s="419">
        <v>0</v>
      </c>
      <c r="H137" s="419">
        <v>0</v>
      </c>
      <c r="I137" s="419">
        <v>0</v>
      </c>
      <c r="J137" s="419">
        <v>0</v>
      </c>
      <c r="K137" s="419">
        <v>0</v>
      </c>
      <c r="L137" s="419">
        <v>0</v>
      </c>
      <c r="M137" s="419">
        <v>0</v>
      </c>
      <c r="N137" s="419">
        <v>0</v>
      </c>
      <c r="O137" s="419">
        <v>0</v>
      </c>
      <c r="P137" s="419">
        <v>0</v>
      </c>
    </row>
    <row r="138" spans="1:16" ht="12.75">
      <c r="A138" s="657"/>
      <c r="B138" s="657" t="s">
        <v>686</v>
      </c>
      <c r="C138" s="657"/>
      <c r="D138" s="419">
        <v>0</v>
      </c>
      <c r="E138" s="419">
        <v>0</v>
      </c>
      <c r="F138" s="419">
        <v>0</v>
      </c>
      <c r="G138" s="419">
        <v>0</v>
      </c>
      <c r="H138" s="419">
        <v>0</v>
      </c>
      <c r="I138" s="419">
        <v>0</v>
      </c>
      <c r="J138" s="419">
        <v>0</v>
      </c>
      <c r="K138" s="419">
        <v>0</v>
      </c>
      <c r="L138" s="419">
        <v>0</v>
      </c>
      <c r="M138" s="419">
        <v>0</v>
      </c>
      <c r="N138" s="419">
        <v>0</v>
      </c>
      <c r="O138" s="419">
        <v>0</v>
      </c>
      <c r="P138" s="419">
        <v>0</v>
      </c>
    </row>
    <row r="139" spans="1:16" ht="12.75">
      <c r="A139" s="657"/>
      <c r="B139" s="657" t="s">
        <v>687</v>
      </c>
      <c r="C139" s="657"/>
      <c r="D139" s="419">
        <v>0</v>
      </c>
      <c r="E139" s="419">
        <v>0</v>
      </c>
      <c r="F139" s="419">
        <v>0</v>
      </c>
      <c r="G139" s="419">
        <v>0</v>
      </c>
      <c r="H139" s="419">
        <v>0</v>
      </c>
      <c r="I139" s="419">
        <v>0</v>
      </c>
      <c r="J139" s="419">
        <v>0</v>
      </c>
      <c r="K139" s="419">
        <v>0</v>
      </c>
      <c r="L139" s="419">
        <v>0</v>
      </c>
      <c r="M139" s="419">
        <v>0</v>
      </c>
      <c r="N139" s="419">
        <v>0</v>
      </c>
      <c r="O139" s="419">
        <v>0</v>
      </c>
      <c r="P139" s="419">
        <v>0</v>
      </c>
    </row>
    <row r="140" spans="1:16" ht="12.75">
      <c r="A140" s="657"/>
      <c r="B140" s="657" t="s">
        <v>688</v>
      </c>
      <c r="C140" s="657"/>
      <c r="D140" s="419">
        <v>0</v>
      </c>
      <c r="E140" s="419">
        <v>0</v>
      </c>
      <c r="F140" s="419">
        <v>0</v>
      </c>
      <c r="G140" s="419">
        <v>0</v>
      </c>
      <c r="H140" s="419">
        <v>0</v>
      </c>
      <c r="I140" s="419">
        <v>0</v>
      </c>
      <c r="J140" s="419">
        <v>0</v>
      </c>
      <c r="K140" s="419">
        <v>0</v>
      </c>
      <c r="L140" s="419">
        <v>0</v>
      </c>
      <c r="M140" s="419">
        <v>0</v>
      </c>
      <c r="N140" s="419">
        <v>0</v>
      </c>
      <c r="O140" s="419">
        <v>0</v>
      </c>
      <c r="P140" s="419">
        <v>0</v>
      </c>
    </row>
    <row r="141" spans="1:16" ht="12.75">
      <c r="A141" s="657"/>
      <c r="B141" s="657" t="s">
        <v>691</v>
      </c>
      <c r="C141" s="657"/>
      <c r="D141" s="419"/>
      <c r="E141" s="419"/>
      <c r="F141" s="419"/>
      <c r="G141" s="419"/>
      <c r="H141" s="419">
        <v>0</v>
      </c>
      <c r="I141" s="419">
        <v>0</v>
      </c>
      <c r="J141" s="419">
        <v>0</v>
      </c>
      <c r="K141" s="419">
        <v>0</v>
      </c>
      <c r="L141" s="419">
        <v>0</v>
      </c>
      <c r="M141" s="419">
        <v>0</v>
      </c>
      <c r="N141" s="419">
        <v>0</v>
      </c>
      <c r="O141" s="419">
        <v>0</v>
      </c>
      <c r="P141" s="419">
        <v>0</v>
      </c>
    </row>
    <row r="142" spans="1:16" ht="12.75">
      <c r="A142" s="657"/>
      <c r="B142" s="657" t="s">
        <v>788</v>
      </c>
      <c r="C142" s="657"/>
      <c r="D142" s="419"/>
      <c r="E142" s="419"/>
      <c r="F142" s="419"/>
      <c r="G142" s="419"/>
      <c r="H142" s="419">
        <v>0</v>
      </c>
      <c r="I142" s="419">
        <v>0</v>
      </c>
      <c r="J142" s="419">
        <v>0</v>
      </c>
      <c r="K142" s="419">
        <v>0</v>
      </c>
      <c r="L142" s="419">
        <v>0</v>
      </c>
      <c r="M142" s="419">
        <v>0</v>
      </c>
      <c r="N142" s="419">
        <v>0</v>
      </c>
      <c r="O142" s="419">
        <v>0</v>
      </c>
      <c r="P142" s="419">
        <v>0</v>
      </c>
    </row>
    <row r="143" spans="1:16" ht="12.75">
      <c r="A143" s="657"/>
      <c r="B143" s="657" t="s">
        <v>66</v>
      </c>
      <c r="C143" s="657"/>
      <c r="D143" s="419">
        <f>SUM(D129:D142)</f>
        <v>3558257.44</v>
      </c>
      <c r="E143" s="419">
        <f aca="true" t="shared" si="25" ref="E143:P143">SUM(E129:E142)</f>
        <v>3261933.92</v>
      </c>
      <c r="F143" s="419">
        <f t="shared" si="25"/>
        <v>3652455.84</v>
      </c>
      <c r="G143" s="419">
        <f t="shared" si="25"/>
        <v>2658606.72</v>
      </c>
      <c r="H143" s="419">
        <f t="shared" si="25"/>
        <v>2247395.2</v>
      </c>
      <c r="I143" s="419">
        <f t="shared" si="25"/>
        <v>2170828.6</v>
      </c>
      <c r="J143" s="419">
        <f t="shared" si="25"/>
        <v>2293234.84</v>
      </c>
      <c r="K143" s="419">
        <f t="shared" si="25"/>
        <v>2528387.52</v>
      </c>
      <c r="L143" s="419">
        <f t="shared" si="25"/>
        <v>2314246.96</v>
      </c>
      <c r="M143" s="419">
        <f t="shared" si="25"/>
        <v>2542421.88</v>
      </c>
      <c r="N143" s="419">
        <f t="shared" si="25"/>
        <v>2624069.36</v>
      </c>
      <c r="O143" s="419">
        <f t="shared" si="25"/>
        <v>3289862.24</v>
      </c>
      <c r="P143" s="419">
        <f t="shared" si="25"/>
        <v>33141700.520000003</v>
      </c>
    </row>
    <row r="144" spans="1:16" ht="12.75">
      <c r="A144" s="657" t="s">
        <v>659</v>
      </c>
      <c r="B144" s="657" t="s">
        <v>679</v>
      </c>
      <c r="C144" s="657"/>
      <c r="D144" s="419">
        <v>0</v>
      </c>
      <c r="E144" s="419">
        <v>0</v>
      </c>
      <c r="F144" s="419">
        <v>0</v>
      </c>
      <c r="G144" s="419">
        <v>0</v>
      </c>
      <c r="H144" s="419">
        <v>0</v>
      </c>
      <c r="I144" s="419">
        <v>0</v>
      </c>
      <c r="J144" s="419">
        <v>0</v>
      </c>
      <c r="K144" s="419">
        <v>0</v>
      </c>
      <c r="L144" s="419">
        <v>0</v>
      </c>
      <c r="M144" s="419">
        <v>0</v>
      </c>
      <c r="N144" s="419">
        <v>0</v>
      </c>
      <c r="O144" s="419">
        <v>0</v>
      </c>
      <c r="P144" s="419">
        <f aca="true" t="shared" si="26" ref="P144:P145">SUM(D144:O144)</f>
        <v>0</v>
      </c>
    </row>
    <row r="145" spans="1:16" ht="12.75">
      <c r="A145" s="657"/>
      <c r="B145" s="657" t="s">
        <v>692</v>
      </c>
      <c r="C145" s="657"/>
      <c r="D145" s="419">
        <v>0</v>
      </c>
      <c r="E145" s="419">
        <v>0</v>
      </c>
      <c r="F145" s="419">
        <v>0</v>
      </c>
      <c r="G145" s="419">
        <v>0</v>
      </c>
      <c r="H145" s="419">
        <v>0</v>
      </c>
      <c r="I145" s="419">
        <v>0</v>
      </c>
      <c r="J145" s="419">
        <v>0</v>
      </c>
      <c r="K145" s="419">
        <v>0</v>
      </c>
      <c r="L145" s="419">
        <v>0</v>
      </c>
      <c r="M145" s="419">
        <v>0</v>
      </c>
      <c r="N145" s="419">
        <v>0</v>
      </c>
      <c r="O145" s="419">
        <v>0</v>
      </c>
      <c r="P145" s="419">
        <f t="shared" si="26"/>
        <v>0</v>
      </c>
    </row>
    <row r="146" spans="1:16" ht="12.75">
      <c r="A146" s="657"/>
      <c r="B146" s="657" t="s">
        <v>680</v>
      </c>
      <c r="C146" s="657"/>
      <c r="D146" s="419">
        <v>11500000</v>
      </c>
      <c r="E146" s="419">
        <v>11500000</v>
      </c>
      <c r="F146" s="419">
        <v>11500000</v>
      </c>
      <c r="G146" s="419">
        <v>11500000</v>
      </c>
      <c r="H146" s="419">
        <v>11500000</v>
      </c>
      <c r="I146" s="419">
        <v>11500000</v>
      </c>
      <c r="J146" s="419">
        <v>11500000</v>
      </c>
      <c r="K146" s="419">
        <v>11500000</v>
      </c>
      <c r="L146" s="419">
        <v>11500000</v>
      </c>
      <c r="M146" s="419">
        <v>11500000</v>
      </c>
      <c r="N146" s="419">
        <v>11500000</v>
      </c>
      <c r="O146" s="419">
        <v>11500000</v>
      </c>
      <c r="P146" s="419">
        <f>SUM(D146:O146)</f>
        <v>138000000</v>
      </c>
    </row>
    <row r="147" spans="1:16" ht="12.75">
      <c r="A147" s="657"/>
      <c r="B147" s="657" t="s">
        <v>681</v>
      </c>
      <c r="C147" s="657"/>
      <c r="D147" s="419">
        <v>45592060.937</v>
      </c>
      <c r="E147" s="419">
        <v>49242664.22</v>
      </c>
      <c r="F147" s="419">
        <v>44700784.48</v>
      </c>
      <c r="G147" s="419">
        <v>48566697.5</v>
      </c>
      <c r="H147" s="419">
        <v>42007743.9</v>
      </c>
      <c r="I147" s="419">
        <v>47534759.4</v>
      </c>
      <c r="J147" s="419">
        <v>46952995</v>
      </c>
      <c r="K147" s="419">
        <v>49905372.09</v>
      </c>
      <c r="L147" s="419">
        <v>51856869.141</v>
      </c>
      <c r="M147" s="419">
        <v>47161086.794</v>
      </c>
      <c r="N147" s="419">
        <v>47751854.77</v>
      </c>
      <c r="O147" s="419">
        <v>44075477.17</v>
      </c>
      <c r="P147" s="419">
        <f aca="true" t="shared" si="27" ref="P147:P157">SUM(D147:O147)</f>
        <v>565348365.402</v>
      </c>
    </row>
    <row r="148" spans="1:16" ht="12.75">
      <c r="A148" s="657"/>
      <c r="B148" s="657" t="s">
        <v>682</v>
      </c>
      <c r="C148" s="657"/>
      <c r="D148" s="419">
        <v>35383480</v>
      </c>
      <c r="E148" s="419">
        <v>30592247.4</v>
      </c>
      <c r="F148" s="419">
        <v>29055804</v>
      </c>
      <c r="G148" s="419">
        <v>30048328.8</v>
      </c>
      <c r="H148" s="419">
        <v>28282368</v>
      </c>
      <c r="I148" s="419">
        <v>33251464</v>
      </c>
      <c r="J148" s="419">
        <v>32185947</v>
      </c>
      <c r="K148" s="419">
        <v>34794329.6</v>
      </c>
      <c r="L148" s="419">
        <v>35012148.2</v>
      </c>
      <c r="M148" s="419">
        <v>33205161.6</v>
      </c>
      <c r="N148" s="419">
        <v>34639056</v>
      </c>
      <c r="O148" s="419">
        <v>27404254</v>
      </c>
      <c r="P148" s="419">
        <f t="shared" si="27"/>
        <v>383854588.6</v>
      </c>
    </row>
    <row r="149" spans="1:16" ht="12.75">
      <c r="A149" s="657"/>
      <c r="B149" s="657" t="s">
        <v>678</v>
      </c>
      <c r="C149" s="657"/>
      <c r="D149" s="419">
        <v>0</v>
      </c>
      <c r="E149" s="419">
        <v>0</v>
      </c>
      <c r="F149" s="419">
        <v>0</v>
      </c>
      <c r="G149" s="419">
        <v>0</v>
      </c>
      <c r="H149" s="419">
        <v>0</v>
      </c>
      <c r="I149" s="419">
        <v>0</v>
      </c>
      <c r="J149" s="419">
        <v>0</v>
      </c>
      <c r="K149" s="419">
        <v>0</v>
      </c>
      <c r="L149" s="419">
        <v>0</v>
      </c>
      <c r="M149" s="419">
        <v>0</v>
      </c>
      <c r="N149" s="419">
        <v>0</v>
      </c>
      <c r="O149" s="419">
        <v>0</v>
      </c>
      <c r="P149" s="419">
        <f t="shared" si="27"/>
        <v>0</v>
      </c>
    </row>
    <row r="150" spans="1:16" ht="12.75">
      <c r="A150" s="657"/>
      <c r="B150" s="657" t="s">
        <v>693</v>
      </c>
      <c r="C150" s="657"/>
      <c r="D150" s="419">
        <v>0</v>
      </c>
      <c r="E150" s="419">
        <v>0</v>
      </c>
      <c r="F150" s="419">
        <v>0</v>
      </c>
      <c r="G150" s="419">
        <v>0</v>
      </c>
      <c r="H150" s="419">
        <v>0</v>
      </c>
      <c r="I150" s="419">
        <v>0</v>
      </c>
      <c r="J150" s="419">
        <v>0</v>
      </c>
      <c r="K150" s="419">
        <v>0</v>
      </c>
      <c r="L150" s="419">
        <v>0</v>
      </c>
      <c r="M150" s="419">
        <v>0</v>
      </c>
      <c r="N150" s="419">
        <v>0</v>
      </c>
      <c r="O150" s="419">
        <v>0</v>
      </c>
      <c r="P150" s="419">
        <f t="shared" si="27"/>
        <v>0</v>
      </c>
    </row>
    <row r="151" spans="1:16" ht="12.75">
      <c r="A151" s="657"/>
      <c r="B151" s="657" t="s">
        <v>731</v>
      </c>
      <c r="C151" s="657"/>
      <c r="D151" s="419">
        <v>0</v>
      </c>
      <c r="E151" s="419">
        <v>0</v>
      </c>
      <c r="F151" s="419">
        <v>0</v>
      </c>
      <c r="G151" s="419">
        <v>0</v>
      </c>
      <c r="H151" s="419">
        <v>0</v>
      </c>
      <c r="I151" s="419">
        <v>0</v>
      </c>
      <c r="J151" s="419">
        <v>0</v>
      </c>
      <c r="K151" s="419">
        <v>0</v>
      </c>
      <c r="L151" s="419">
        <v>0</v>
      </c>
      <c r="M151" s="419">
        <v>0</v>
      </c>
      <c r="N151" s="419">
        <v>0</v>
      </c>
      <c r="O151" s="419">
        <v>0</v>
      </c>
      <c r="P151" s="419">
        <f t="shared" si="27"/>
        <v>0</v>
      </c>
    </row>
    <row r="152" spans="1:16" ht="12.75">
      <c r="A152" s="657"/>
      <c r="B152" s="657" t="s">
        <v>684</v>
      </c>
      <c r="C152" s="657"/>
      <c r="D152" s="419">
        <v>0</v>
      </c>
      <c r="E152" s="419">
        <v>0</v>
      </c>
      <c r="F152" s="419">
        <v>0</v>
      </c>
      <c r="G152" s="419">
        <v>0</v>
      </c>
      <c r="H152" s="419">
        <v>0</v>
      </c>
      <c r="I152" s="419">
        <v>0</v>
      </c>
      <c r="J152" s="419">
        <v>0</v>
      </c>
      <c r="K152" s="419">
        <v>0</v>
      </c>
      <c r="L152" s="419">
        <v>0</v>
      </c>
      <c r="M152" s="419">
        <v>0</v>
      </c>
      <c r="N152" s="419">
        <v>0</v>
      </c>
      <c r="O152" s="419">
        <v>0</v>
      </c>
      <c r="P152" s="419">
        <f t="shared" si="27"/>
        <v>0</v>
      </c>
    </row>
    <row r="153" spans="1:16" ht="12.75">
      <c r="A153" s="657"/>
      <c r="B153" s="657" t="s">
        <v>685</v>
      </c>
      <c r="C153" s="657"/>
      <c r="D153" s="419">
        <v>0</v>
      </c>
      <c r="E153" s="419">
        <v>0</v>
      </c>
      <c r="F153" s="419">
        <v>0</v>
      </c>
      <c r="G153" s="419">
        <v>0</v>
      </c>
      <c r="H153" s="419">
        <v>0</v>
      </c>
      <c r="I153" s="419">
        <v>0</v>
      </c>
      <c r="J153" s="419">
        <v>0</v>
      </c>
      <c r="K153" s="419">
        <v>0</v>
      </c>
      <c r="L153" s="419">
        <v>0</v>
      </c>
      <c r="M153" s="419">
        <v>0</v>
      </c>
      <c r="N153" s="419">
        <v>0</v>
      </c>
      <c r="O153" s="419">
        <v>0</v>
      </c>
      <c r="P153" s="419">
        <f t="shared" si="27"/>
        <v>0</v>
      </c>
    </row>
    <row r="154" spans="1:16" ht="12.75">
      <c r="A154" s="657"/>
      <c r="B154" s="657" t="s">
        <v>686</v>
      </c>
      <c r="C154" s="657"/>
      <c r="D154" s="419">
        <v>0</v>
      </c>
      <c r="E154" s="419">
        <v>0</v>
      </c>
      <c r="F154" s="419">
        <v>0</v>
      </c>
      <c r="G154" s="419">
        <v>0</v>
      </c>
      <c r="H154" s="419">
        <v>0</v>
      </c>
      <c r="I154" s="419">
        <v>0</v>
      </c>
      <c r="J154" s="419">
        <v>0</v>
      </c>
      <c r="K154" s="419">
        <v>0</v>
      </c>
      <c r="L154" s="419">
        <v>0</v>
      </c>
      <c r="M154" s="419">
        <v>0</v>
      </c>
      <c r="N154" s="419">
        <v>0</v>
      </c>
      <c r="O154" s="419">
        <v>0</v>
      </c>
      <c r="P154" s="419">
        <f t="shared" si="27"/>
        <v>0</v>
      </c>
    </row>
    <row r="155" spans="1:16" ht="12.75">
      <c r="A155" s="657"/>
      <c r="B155" s="657" t="s">
        <v>687</v>
      </c>
      <c r="C155" s="657"/>
      <c r="D155" s="419">
        <v>0</v>
      </c>
      <c r="E155" s="419">
        <v>0</v>
      </c>
      <c r="F155" s="419">
        <v>0</v>
      </c>
      <c r="G155" s="419">
        <v>0</v>
      </c>
      <c r="H155" s="419">
        <v>0</v>
      </c>
      <c r="I155" s="419">
        <v>0</v>
      </c>
      <c r="J155" s="419">
        <v>0</v>
      </c>
      <c r="K155" s="419">
        <v>0</v>
      </c>
      <c r="L155" s="419">
        <v>0</v>
      </c>
      <c r="M155" s="419">
        <v>0</v>
      </c>
      <c r="N155" s="419">
        <v>0</v>
      </c>
      <c r="O155" s="419">
        <v>0</v>
      </c>
      <c r="P155" s="419">
        <f t="shared" si="27"/>
        <v>0</v>
      </c>
    </row>
    <row r="156" spans="1:16" ht="12.75">
      <c r="A156" s="657"/>
      <c r="B156" s="657" t="s">
        <v>688</v>
      </c>
      <c r="C156" s="657"/>
      <c r="D156" s="419">
        <v>0</v>
      </c>
      <c r="E156" s="419">
        <v>0</v>
      </c>
      <c r="F156" s="419">
        <v>0</v>
      </c>
      <c r="G156" s="419">
        <v>0</v>
      </c>
      <c r="H156" s="419">
        <v>0</v>
      </c>
      <c r="I156" s="419">
        <v>0</v>
      </c>
      <c r="J156" s="419">
        <v>0</v>
      </c>
      <c r="K156" s="419">
        <v>0</v>
      </c>
      <c r="L156" s="419">
        <v>0</v>
      </c>
      <c r="M156" s="419">
        <v>0</v>
      </c>
      <c r="N156" s="419">
        <v>0</v>
      </c>
      <c r="O156" s="419">
        <v>0</v>
      </c>
      <c r="P156" s="419">
        <f t="shared" si="27"/>
        <v>0</v>
      </c>
    </row>
    <row r="157" spans="1:16" ht="12.75">
      <c r="A157" s="657"/>
      <c r="B157" s="657" t="s">
        <v>788</v>
      </c>
      <c r="C157" s="657"/>
      <c r="D157" s="419"/>
      <c r="E157" s="419"/>
      <c r="F157" s="419"/>
      <c r="G157" s="419"/>
      <c r="H157" s="419"/>
      <c r="I157" s="419">
        <v>0</v>
      </c>
      <c r="J157" s="419">
        <v>0</v>
      </c>
      <c r="K157" s="419">
        <v>0</v>
      </c>
      <c r="L157" s="419">
        <v>0</v>
      </c>
      <c r="M157" s="419">
        <v>0</v>
      </c>
      <c r="N157" s="419">
        <v>0</v>
      </c>
      <c r="O157" s="419">
        <v>0</v>
      </c>
      <c r="P157" s="419">
        <f t="shared" si="27"/>
        <v>0</v>
      </c>
    </row>
    <row r="158" spans="1:16" ht="12.75">
      <c r="A158" s="657"/>
      <c r="B158" s="657" t="s">
        <v>66</v>
      </c>
      <c r="C158" s="657"/>
      <c r="D158" s="419">
        <f>SUM(D144:D157)</f>
        <v>92475540.937</v>
      </c>
      <c r="E158" s="419">
        <f aca="true" t="shared" si="28" ref="E158:P158">SUM(E144:E157)</f>
        <v>91334911.62</v>
      </c>
      <c r="F158" s="419">
        <f t="shared" si="28"/>
        <v>85256588.47999999</v>
      </c>
      <c r="G158" s="419">
        <f t="shared" si="28"/>
        <v>90115026.3</v>
      </c>
      <c r="H158" s="419">
        <f t="shared" si="28"/>
        <v>81790111.9</v>
      </c>
      <c r="I158" s="419">
        <f t="shared" si="28"/>
        <v>92286223.4</v>
      </c>
      <c r="J158" s="419">
        <f t="shared" si="28"/>
        <v>90638942</v>
      </c>
      <c r="K158" s="419">
        <f t="shared" si="28"/>
        <v>96199701.69</v>
      </c>
      <c r="L158" s="419">
        <f t="shared" si="28"/>
        <v>98369017.341</v>
      </c>
      <c r="M158" s="419">
        <f t="shared" si="28"/>
        <v>91866248.394</v>
      </c>
      <c r="N158" s="419">
        <f t="shared" si="28"/>
        <v>93890910.77000001</v>
      </c>
      <c r="O158" s="419">
        <f t="shared" si="28"/>
        <v>82979731.17</v>
      </c>
      <c r="P158" s="419">
        <f t="shared" si="28"/>
        <v>1087202954.0019999</v>
      </c>
    </row>
    <row r="159" spans="1:16" ht="12.75">
      <c r="A159" s="657" t="s">
        <v>660</v>
      </c>
      <c r="B159" s="657" t="s">
        <v>679</v>
      </c>
      <c r="C159" s="657"/>
      <c r="D159" s="419">
        <v>0</v>
      </c>
      <c r="E159" s="419">
        <v>0</v>
      </c>
      <c r="F159" s="419">
        <v>0</v>
      </c>
      <c r="G159" s="419">
        <v>0</v>
      </c>
      <c r="H159" s="419">
        <v>0</v>
      </c>
      <c r="I159" s="419">
        <v>0</v>
      </c>
      <c r="J159" s="419">
        <v>0</v>
      </c>
      <c r="K159" s="419">
        <v>0</v>
      </c>
      <c r="L159" s="419">
        <v>0</v>
      </c>
      <c r="M159" s="419">
        <v>0</v>
      </c>
      <c r="N159" s="419">
        <v>0</v>
      </c>
      <c r="O159" s="419">
        <v>0</v>
      </c>
      <c r="P159" s="419">
        <f aca="true" t="shared" si="29" ref="P159:P160">SUM(D159:O159)</f>
        <v>0</v>
      </c>
    </row>
    <row r="160" spans="1:16" ht="12.75">
      <c r="A160" s="657"/>
      <c r="B160" s="657" t="s">
        <v>691</v>
      </c>
      <c r="C160" s="657"/>
      <c r="D160" s="419">
        <v>0</v>
      </c>
      <c r="E160" s="419">
        <v>0</v>
      </c>
      <c r="F160" s="419">
        <v>0</v>
      </c>
      <c r="G160" s="419">
        <v>0</v>
      </c>
      <c r="H160" s="419">
        <v>0</v>
      </c>
      <c r="I160" s="419">
        <v>0</v>
      </c>
      <c r="J160" s="419">
        <v>0</v>
      </c>
      <c r="K160" s="419">
        <v>0</v>
      </c>
      <c r="L160" s="419">
        <v>0</v>
      </c>
      <c r="M160" s="419">
        <v>0</v>
      </c>
      <c r="N160" s="419">
        <v>0</v>
      </c>
      <c r="O160" s="419">
        <v>0</v>
      </c>
      <c r="P160" s="419">
        <f t="shared" si="29"/>
        <v>0</v>
      </c>
    </row>
    <row r="161" spans="1:16" ht="12.75">
      <c r="A161" s="657"/>
      <c r="B161" s="657" t="s">
        <v>680</v>
      </c>
      <c r="C161" s="657"/>
      <c r="D161" s="419">
        <v>6893.983</v>
      </c>
      <c r="E161" s="419">
        <v>6616.562</v>
      </c>
      <c r="F161" s="419">
        <v>8013.921</v>
      </c>
      <c r="G161" s="419">
        <v>155068.422</v>
      </c>
      <c r="H161" s="419">
        <v>3631764.45</v>
      </c>
      <c r="I161" s="419">
        <v>5611284.43</v>
      </c>
      <c r="J161" s="419">
        <v>6277474.708</v>
      </c>
      <c r="K161" s="419">
        <v>5034975.283</v>
      </c>
      <c r="L161" s="419">
        <v>6450053.379</v>
      </c>
      <c r="M161" s="419">
        <v>2328934.095</v>
      </c>
      <c r="N161" s="419">
        <v>146425.319</v>
      </c>
      <c r="O161" s="419">
        <v>-6149.681</v>
      </c>
      <c r="P161" s="419">
        <f>SUM(D161:O161)</f>
        <v>29651354.870999996</v>
      </c>
    </row>
    <row r="162" spans="1:16" ht="12.75">
      <c r="A162" s="657"/>
      <c r="B162" s="657" t="s">
        <v>678</v>
      </c>
      <c r="C162" s="657"/>
      <c r="D162" s="419">
        <v>0</v>
      </c>
      <c r="E162" s="419">
        <v>0</v>
      </c>
      <c r="F162" s="419">
        <v>0</v>
      </c>
      <c r="G162" s="419">
        <v>0</v>
      </c>
      <c r="H162" s="419">
        <v>0</v>
      </c>
      <c r="I162" s="419">
        <v>0</v>
      </c>
      <c r="J162" s="419">
        <v>0</v>
      </c>
      <c r="K162" s="419">
        <v>0</v>
      </c>
      <c r="L162" s="419">
        <v>0</v>
      </c>
      <c r="M162" s="419">
        <v>0</v>
      </c>
      <c r="N162" s="419">
        <v>0</v>
      </c>
      <c r="O162" s="419">
        <v>0</v>
      </c>
      <c r="P162" s="419">
        <f aca="true" t="shared" si="30" ref="P162:P169">SUM(D162:O162)</f>
        <v>0</v>
      </c>
    </row>
    <row r="163" spans="1:16" ht="12.75">
      <c r="A163" s="657"/>
      <c r="B163" s="657" t="s">
        <v>731</v>
      </c>
      <c r="C163" s="657"/>
      <c r="D163" s="419">
        <v>0</v>
      </c>
      <c r="E163" s="419">
        <v>0</v>
      </c>
      <c r="F163" s="419">
        <v>0</v>
      </c>
      <c r="G163" s="419">
        <v>0</v>
      </c>
      <c r="H163" s="419">
        <v>0</v>
      </c>
      <c r="I163" s="419">
        <v>0</v>
      </c>
      <c r="J163" s="419">
        <v>0</v>
      </c>
      <c r="K163" s="419">
        <v>0</v>
      </c>
      <c r="L163" s="419">
        <v>0</v>
      </c>
      <c r="M163" s="419">
        <v>0</v>
      </c>
      <c r="N163" s="419">
        <v>0</v>
      </c>
      <c r="O163" s="419">
        <v>0</v>
      </c>
      <c r="P163" s="419">
        <f t="shared" si="30"/>
        <v>0</v>
      </c>
    </row>
    <row r="164" spans="1:16" ht="12.75">
      <c r="A164" s="657"/>
      <c r="B164" s="657" t="s">
        <v>684</v>
      </c>
      <c r="C164" s="657"/>
      <c r="D164" s="419">
        <v>0</v>
      </c>
      <c r="E164" s="419">
        <v>0</v>
      </c>
      <c r="F164" s="419">
        <v>0</v>
      </c>
      <c r="G164" s="419">
        <v>0</v>
      </c>
      <c r="H164" s="419">
        <v>0</v>
      </c>
      <c r="I164" s="419">
        <v>0</v>
      </c>
      <c r="J164" s="419">
        <v>0</v>
      </c>
      <c r="K164" s="419">
        <v>0</v>
      </c>
      <c r="L164" s="419">
        <v>0</v>
      </c>
      <c r="M164" s="419">
        <v>0</v>
      </c>
      <c r="N164" s="419">
        <v>0</v>
      </c>
      <c r="O164" s="419">
        <v>0</v>
      </c>
      <c r="P164" s="419">
        <f t="shared" si="30"/>
        <v>0</v>
      </c>
    </row>
    <row r="165" spans="1:16" ht="12.75">
      <c r="A165" s="657"/>
      <c r="B165" s="657" t="s">
        <v>685</v>
      </c>
      <c r="C165" s="657"/>
      <c r="D165" s="419">
        <v>0</v>
      </c>
      <c r="E165" s="419">
        <v>0</v>
      </c>
      <c r="F165" s="419">
        <v>0</v>
      </c>
      <c r="G165" s="419">
        <v>0</v>
      </c>
      <c r="H165" s="419">
        <v>0</v>
      </c>
      <c r="I165" s="419">
        <v>0</v>
      </c>
      <c r="J165" s="419">
        <v>0</v>
      </c>
      <c r="K165" s="419">
        <v>0</v>
      </c>
      <c r="L165" s="419">
        <v>0</v>
      </c>
      <c r="M165" s="419">
        <v>0</v>
      </c>
      <c r="N165" s="419">
        <v>0</v>
      </c>
      <c r="O165" s="419">
        <v>0</v>
      </c>
      <c r="P165" s="419">
        <f t="shared" si="30"/>
        <v>0</v>
      </c>
    </row>
    <row r="166" spans="1:16" ht="12.75">
      <c r="A166" s="657"/>
      <c r="B166" s="657" t="s">
        <v>686</v>
      </c>
      <c r="C166" s="657"/>
      <c r="D166" s="419">
        <v>0</v>
      </c>
      <c r="E166" s="419">
        <v>0</v>
      </c>
      <c r="F166" s="419">
        <v>0</v>
      </c>
      <c r="G166" s="419">
        <v>0</v>
      </c>
      <c r="H166" s="419">
        <v>0</v>
      </c>
      <c r="I166" s="419">
        <v>0</v>
      </c>
      <c r="J166" s="419">
        <v>0</v>
      </c>
      <c r="K166" s="419">
        <v>0</v>
      </c>
      <c r="L166" s="419">
        <v>0</v>
      </c>
      <c r="M166" s="419">
        <v>0</v>
      </c>
      <c r="N166" s="419">
        <v>0</v>
      </c>
      <c r="O166" s="419">
        <v>0</v>
      </c>
      <c r="P166" s="419">
        <f t="shared" si="30"/>
        <v>0</v>
      </c>
    </row>
    <row r="167" spans="1:16" ht="12.75">
      <c r="A167" s="657"/>
      <c r="B167" s="657" t="s">
        <v>687</v>
      </c>
      <c r="C167" s="657"/>
      <c r="D167" s="419">
        <v>0</v>
      </c>
      <c r="E167" s="419">
        <v>0</v>
      </c>
      <c r="F167" s="419">
        <v>0</v>
      </c>
      <c r="G167" s="419">
        <v>0</v>
      </c>
      <c r="H167" s="419">
        <v>0</v>
      </c>
      <c r="I167" s="419">
        <v>0</v>
      </c>
      <c r="J167" s="419">
        <v>0</v>
      </c>
      <c r="K167" s="419">
        <v>0</v>
      </c>
      <c r="L167" s="419">
        <v>0</v>
      </c>
      <c r="M167" s="419">
        <v>0</v>
      </c>
      <c r="N167" s="419">
        <v>0</v>
      </c>
      <c r="O167" s="419">
        <v>0</v>
      </c>
      <c r="P167" s="419">
        <f t="shared" si="30"/>
        <v>0</v>
      </c>
    </row>
    <row r="168" spans="1:16" ht="12.75">
      <c r="A168" s="657"/>
      <c r="B168" s="657" t="s">
        <v>688</v>
      </c>
      <c r="C168" s="657"/>
      <c r="D168" s="419">
        <v>0</v>
      </c>
      <c r="E168" s="419">
        <v>0</v>
      </c>
      <c r="F168" s="419">
        <v>0</v>
      </c>
      <c r="G168" s="419">
        <v>0</v>
      </c>
      <c r="H168" s="419">
        <v>0</v>
      </c>
      <c r="I168" s="419">
        <v>0</v>
      </c>
      <c r="J168" s="419">
        <v>0</v>
      </c>
      <c r="K168" s="419">
        <v>0</v>
      </c>
      <c r="L168" s="419">
        <v>0</v>
      </c>
      <c r="M168" s="419">
        <v>0</v>
      </c>
      <c r="N168" s="419">
        <v>0</v>
      </c>
      <c r="O168" s="419">
        <v>0</v>
      </c>
      <c r="P168" s="419">
        <f t="shared" si="30"/>
        <v>0</v>
      </c>
    </row>
    <row r="169" spans="1:16" ht="12.75">
      <c r="A169" s="657"/>
      <c r="B169" s="657" t="s">
        <v>788</v>
      </c>
      <c r="C169" s="657"/>
      <c r="D169" s="419"/>
      <c r="E169" s="419"/>
      <c r="F169" s="419"/>
      <c r="G169" s="419"/>
      <c r="H169" s="419">
        <v>0</v>
      </c>
      <c r="I169" s="419">
        <v>0</v>
      </c>
      <c r="J169" s="419">
        <v>0</v>
      </c>
      <c r="K169" s="419">
        <v>0</v>
      </c>
      <c r="L169" s="419">
        <v>0</v>
      </c>
      <c r="M169" s="419">
        <v>0</v>
      </c>
      <c r="N169" s="419">
        <v>0</v>
      </c>
      <c r="O169" s="419">
        <v>0</v>
      </c>
      <c r="P169" s="419">
        <f t="shared" si="30"/>
        <v>0</v>
      </c>
    </row>
    <row r="170" spans="1:16" ht="12.75">
      <c r="A170" s="657"/>
      <c r="B170" s="657" t="s">
        <v>66</v>
      </c>
      <c r="C170" s="657"/>
      <c r="D170" s="419">
        <f>SUM(D159:D169)</f>
        <v>6893.983</v>
      </c>
      <c r="E170" s="419">
        <f aca="true" t="shared" si="31" ref="E170:P170">SUM(E159:E169)</f>
        <v>6616.562</v>
      </c>
      <c r="F170" s="419">
        <f t="shared" si="31"/>
        <v>8013.921</v>
      </c>
      <c r="G170" s="419">
        <f t="shared" si="31"/>
        <v>155068.422</v>
      </c>
      <c r="H170" s="419">
        <f t="shared" si="31"/>
        <v>3631764.45</v>
      </c>
      <c r="I170" s="419">
        <f t="shared" si="31"/>
        <v>5611284.43</v>
      </c>
      <c r="J170" s="419">
        <f t="shared" si="31"/>
        <v>6277474.708</v>
      </c>
      <c r="K170" s="419">
        <f t="shared" si="31"/>
        <v>5034975.283</v>
      </c>
      <c r="L170" s="419">
        <f t="shared" si="31"/>
        <v>6450053.379</v>
      </c>
      <c r="M170" s="419">
        <f t="shared" si="31"/>
        <v>2328934.095</v>
      </c>
      <c r="N170" s="419">
        <f t="shared" si="31"/>
        <v>146425.319</v>
      </c>
      <c r="O170" s="419">
        <f t="shared" si="31"/>
        <v>-6149.681</v>
      </c>
      <c r="P170" s="419">
        <f t="shared" si="31"/>
        <v>29651354.870999996</v>
      </c>
    </row>
    <row r="171" spans="1:16" ht="12.75">
      <c r="A171" s="657" t="s">
        <v>661</v>
      </c>
      <c r="B171" s="657" t="s">
        <v>679</v>
      </c>
      <c r="C171" s="657"/>
      <c r="D171" s="419">
        <v>0</v>
      </c>
      <c r="E171" s="419">
        <v>0</v>
      </c>
      <c r="F171" s="419">
        <v>0</v>
      </c>
      <c r="G171" s="419">
        <v>0</v>
      </c>
      <c r="H171" s="419">
        <v>0</v>
      </c>
      <c r="I171" s="419">
        <v>0</v>
      </c>
      <c r="J171" s="419">
        <v>0</v>
      </c>
      <c r="K171" s="419">
        <v>0</v>
      </c>
      <c r="L171" s="419">
        <v>0</v>
      </c>
      <c r="M171" s="419">
        <v>0</v>
      </c>
      <c r="N171" s="419">
        <v>0</v>
      </c>
      <c r="O171" s="419">
        <v>0</v>
      </c>
      <c r="P171" s="419">
        <f aca="true" t="shared" si="32" ref="P171:P172">SUM(D171:O171)</f>
        <v>0</v>
      </c>
    </row>
    <row r="172" spans="1:16" ht="12.75">
      <c r="A172" s="657"/>
      <c r="B172" s="657" t="s">
        <v>691</v>
      </c>
      <c r="C172" s="657"/>
      <c r="D172" s="419">
        <v>0</v>
      </c>
      <c r="E172" s="419">
        <v>0</v>
      </c>
      <c r="F172" s="419">
        <v>0</v>
      </c>
      <c r="G172" s="419">
        <v>0</v>
      </c>
      <c r="H172" s="419">
        <v>0</v>
      </c>
      <c r="I172" s="419">
        <v>0</v>
      </c>
      <c r="J172" s="419">
        <v>0</v>
      </c>
      <c r="K172" s="419">
        <v>0</v>
      </c>
      <c r="L172" s="419">
        <v>0</v>
      </c>
      <c r="M172" s="419">
        <v>0</v>
      </c>
      <c r="N172" s="419">
        <v>0</v>
      </c>
      <c r="O172" s="419">
        <v>0</v>
      </c>
      <c r="P172" s="419">
        <f t="shared" si="32"/>
        <v>0</v>
      </c>
    </row>
    <row r="173" spans="1:16" ht="12.75">
      <c r="A173" s="657"/>
      <c r="B173" s="657" t="s">
        <v>680</v>
      </c>
      <c r="C173" s="657"/>
      <c r="D173" s="419">
        <v>1435210.87468</v>
      </c>
      <c r="E173" s="419">
        <v>1503739.273</v>
      </c>
      <c r="F173" s="419">
        <v>1523709.75467</v>
      </c>
      <c r="G173" s="419">
        <v>1665652.06799</v>
      </c>
      <c r="H173" s="419">
        <v>3003869.04167</v>
      </c>
      <c r="I173" s="419">
        <v>3927772.814</v>
      </c>
      <c r="J173" s="419">
        <v>4255547.174</v>
      </c>
      <c r="K173" s="419">
        <v>4519070.05882</v>
      </c>
      <c r="L173" s="419">
        <v>4311855.04301</v>
      </c>
      <c r="M173" s="419">
        <v>3150820.23899</v>
      </c>
      <c r="N173" s="419">
        <v>1598417.04317</v>
      </c>
      <c r="O173" s="419">
        <v>1537210.85383</v>
      </c>
      <c r="P173" s="419">
        <f>SUM(D173:O173)</f>
        <v>32432874.23783</v>
      </c>
    </row>
    <row r="174" spans="1:16" ht="12.75">
      <c r="A174" s="657"/>
      <c r="B174" s="657" t="s">
        <v>681</v>
      </c>
      <c r="C174" s="657"/>
      <c r="D174" s="419">
        <v>412666.02</v>
      </c>
      <c r="E174" s="419">
        <v>406370.925</v>
      </c>
      <c r="F174" s="419">
        <v>442605.27733</v>
      </c>
      <c r="G174" s="419">
        <v>424487.97434</v>
      </c>
      <c r="H174" s="419">
        <v>926384.78133</v>
      </c>
      <c r="I174" s="419">
        <v>1280712.528</v>
      </c>
      <c r="J174" s="419">
        <v>1417870.832</v>
      </c>
      <c r="K174" s="419">
        <v>1438310.41801</v>
      </c>
      <c r="L174" s="419">
        <v>1325965.60333</v>
      </c>
      <c r="M174" s="419">
        <v>690173.21367</v>
      </c>
      <c r="N174" s="419">
        <v>367700.73066</v>
      </c>
      <c r="O174" s="419">
        <v>410897.53267</v>
      </c>
      <c r="P174" s="419">
        <f aca="true" t="shared" si="33" ref="P174:P183">SUM(D174:O174)</f>
        <v>9544145.83634</v>
      </c>
    </row>
    <row r="175" spans="1:16" ht="12.75">
      <c r="A175" s="657"/>
      <c r="B175" s="657" t="s">
        <v>682</v>
      </c>
      <c r="C175" s="657"/>
      <c r="D175" s="419">
        <v>2200634.70932</v>
      </c>
      <c r="E175" s="419">
        <v>1960626.794</v>
      </c>
      <c r="F175" s="419">
        <v>2088688.014</v>
      </c>
      <c r="G175" s="419">
        <v>2049603.10867</v>
      </c>
      <c r="H175" s="419">
        <v>3674504.159</v>
      </c>
      <c r="I175" s="419">
        <v>6745724.374</v>
      </c>
      <c r="J175" s="419">
        <v>9685573.905</v>
      </c>
      <c r="K175" s="419">
        <v>12476606.64117</v>
      </c>
      <c r="L175" s="419">
        <v>10887708.60066</v>
      </c>
      <c r="M175" s="419">
        <v>3687442.13834</v>
      </c>
      <c r="N175" s="419">
        <v>1810188.65117</v>
      </c>
      <c r="O175" s="419">
        <v>2051928.8295</v>
      </c>
      <c r="P175" s="419">
        <f t="shared" si="33"/>
        <v>59319229.92483</v>
      </c>
    </row>
    <row r="176" spans="1:16" ht="12.75">
      <c r="A176" s="657"/>
      <c r="B176" s="657" t="s">
        <v>678</v>
      </c>
      <c r="C176" s="657"/>
      <c r="D176" s="419">
        <v>0</v>
      </c>
      <c r="E176" s="419">
        <v>0</v>
      </c>
      <c r="F176" s="419">
        <v>0</v>
      </c>
      <c r="G176" s="419">
        <v>0</v>
      </c>
      <c r="H176" s="419">
        <v>0</v>
      </c>
      <c r="I176" s="419">
        <v>0</v>
      </c>
      <c r="J176" s="419">
        <v>0</v>
      </c>
      <c r="K176" s="419">
        <v>0</v>
      </c>
      <c r="L176" s="419">
        <v>0</v>
      </c>
      <c r="M176" s="419">
        <v>0</v>
      </c>
      <c r="N176" s="419">
        <v>0</v>
      </c>
      <c r="O176" s="419">
        <v>0</v>
      </c>
      <c r="P176" s="419">
        <f t="shared" si="33"/>
        <v>0</v>
      </c>
    </row>
    <row r="177" spans="1:16" ht="12.75">
      <c r="A177" s="657"/>
      <c r="B177" s="657" t="s">
        <v>731</v>
      </c>
      <c r="C177" s="657"/>
      <c r="D177" s="419">
        <v>0</v>
      </c>
      <c r="E177" s="419">
        <v>0</v>
      </c>
      <c r="F177" s="419">
        <v>0</v>
      </c>
      <c r="G177" s="419">
        <v>0</v>
      </c>
      <c r="H177" s="419">
        <v>0</v>
      </c>
      <c r="I177" s="419">
        <v>0</v>
      </c>
      <c r="J177" s="419">
        <v>0</v>
      </c>
      <c r="K177" s="419">
        <v>0</v>
      </c>
      <c r="L177" s="419">
        <v>0</v>
      </c>
      <c r="M177" s="419">
        <v>0</v>
      </c>
      <c r="N177" s="419">
        <v>0</v>
      </c>
      <c r="O177" s="419">
        <v>0</v>
      </c>
      <c r="P177" s="419">
        <f t="shared" si="33"/>
        <v>0</v>
      </c>
    </row>
    <row r="178" spans="1:16" ht="12.75">
      <c r="A178" s="657"/>
      <c r="B178" s="657" t="s">
        <v>684</v>
      </c>
      <c r="C178" s="657"/>
      <c r="D178" s="419">
        <v>0</v>
      </c>
      <c r="E178" s="419">
        <v>0</v>
      </c>
      <c r="F178" s="419">
        <v>0</v>
      </c>
      <c r="G178" s="419">
        <v>0</v>
      </c>
      <c r="H178" s="419">
        <v>0</v>
      </c>
      <c r="I178" s="419">
        <v>0</v>
      </c>
      <c r="J178" s="419">
        <v>0</v>
      </c>
      <c r="K178" s="419">
        <v>0</v>
      </c>
      <c r="L178" s="419">
        <v>0</v>
      </c>
      <c r="M178" s="419">
        <v>0</v>
      </c>
      <c r="N178" s="419">
        <v>0</v>
      </c>
      <c r="O178" s="419">
        <v>0</v>
      </c>
      <c r="P178" s="419">
        <f t="shared" si="33"/>
        <v>0</v>
      </c>
    </row>
    <row r="179" spans="1:16" ht="12.75">
      <c r="A179" s="657"/>
      <c r="B179" s="657" t="s">
        <v>685</v>
      </c>
      <c r="C179" s="657"/>
      <c r="D179" s="419">
        <v>0</v>
      </c>
      <c r="E179" s="419">
        <v>0</v>
      </c>
      <c r="F179" s="419">
        <v>0</v>
      </c>
      <c r="G179" s="419">
        <v>0</v>
      </c>
      <c r="H179" s="419">
        <v>0</v>
      </c>
      <c r="I179" s="419">
        <v>0</v>
      </c>
      <c r="J179" s="419">
        <v>0</v>
      </c>
      <c r="K179" s="419">
        <v>0</v>
      </c>
      <c r="L179" s="419">
        <v>0</v>
      </c>
      <c r="M179" s="419">
        <v>0</v>
      </c>
      <c r="N179" s="419">
        <v>0</v>
      </c>
      <c r="O179" s="419">
        <v>0</v>
      </c>
      <c r="P179" s="419">
        <f t="shared" si="33"/>
        <v>0</v>
      </c>
    </row>
    <row r="180" spans="1:16" ht="12.75">
      <c r="A180" s="657"/>
      <c r="B180" s="657" t="s">
        <v>686</v>
      </c>
      <c r="C180" s="657"/>
      <c r="D180" s="419">
        <v>0</v>
      </c>
      <c r="E180" s="419">
        <v>0</v>
      </c>
      <c r="F180" s="419">
        <v>0</v>
      </c>
      <c r="G180" s="419">
        <v>0</v>
      </c>
      <c r="H180" s="419">
        <v>0</v>
      </c>
      <c r="I180" s="419">
        <v>0</v>
      </c>
      <c r="J180" s="419">
        <v>0</v>
      </c>
      <c r="K180" s="419">
        <v>0</v>
      </c>
      <c r="L180" s="419">
        <v>0</v>
      </c>
      <c r="M180" s="419">
        <v>0</v>
      </c>
      <c r="N180" s="419">
        <v>0</v>
      </c>
      <c r="O180" s="419">
        <v>0</v>
      </c>
      <c r="P180" s="419">
        <f t="shared" si="33"/>
        <v>0</v>
      </c>
    </row>
    <row r="181" spans="1:16" ht="12.75">
      <c r="A181" s="657"/>
      <c r="B181" s="657" t="s">
        <v>687</v>
      </c>
      <c r="C181" s="657"/>
      <c r="D181" s="419">
        <v>0</v>
      </c>
      <c r="E181" s="419">
        <v>0</v>
      </c>
      <c r="F181" s="419">
        <v>0</v>
      </c>
      <c r="G181" s="419">
        <v>0</v>
      </c>
      <c r="H181" s="419">
        <v>0</v>
      </c>
      <c r="I181" s="419">
        <v>0</v>
      </c>
      <c r="J181" s="419">
        <v>0</v>
      </c>
      <c r="K181" s="419">
        <v>0</v>
      </c>
      <c r="L181" s="419">
        <v>0</v>
      </c>
      <c r="M181" s="419">
        <v>0</v>
      </c>
      <c r="N181" s="419">
        <v>0</v>
      </c>
      <c r="O181" s="419">
        <v>0</v>
      </c>
      <c r="P181" s="419">
        <f t="shared" si="33"/>
        <v>0</v>
      </c>
    </row>
    <row r="182" spans="1:16" ht="12.75">
      <c r="A182" s="657"/>
      <c r="B182" s="657" t="s">
        <v>688</v>
      </c>
      <c r="C182" s="657"/>
      <c r="D182" s="419">
        <v>0</v>
      </c>
      <c r="E182" s="419">
        <v>0</v>
      </c>
      <c r="F182" s="419">
        <v>0</v>
      </c>
      <c r="G182" s="419">
        <v>0</v>
      </c>
      <c r="H182" s="419">
        <v>0</v>
      </c>
      <c r="I182" s="419">
        <v>0</v>
      </c>
      <c r="J182" s="419">
        <v>0</v>
      </c>
      <c r="K182" s="419">
        <v>0</v>
      </c>
      <c r="L182" s="419">
        <v>0</v>
      </c>
      <c r="M182" s="419">
        <v>0</v>
      </c>
      <c r="N182" s="419">
        <v>0</v>
      </c>
      <c r="O182" s="419">
        <v>0</v>
      </c>
      <c r="P182" s="419">
        <f t="shared" si="33"/>
        <v>0</v>
      </c>
    </row>
    <row r="183" spans="1:16" ht="12.75">
      <c r="A183" s="657"/>
      <c r="B183" s="657" t="s">
        <v>788</v>
      </c>
      <c r="C183" s="657"/>
      <c r="D183" s="419"/>
      <c r="E183" s="419"/>
      <c r="F183" s="419"/>
      <c r="G183" s="419"/>
      <c r="H183" s="419">
        <v>0</v>
      </c>
      <c r="I183" s="419">
        <v>0</v>
      </c>
      <c r="J183" s="419">
        <v>0</v>
      </c>
      <c r="K183" s="419">
        <v>0</v>
      </c>
      <c r="L183" s="419">
        <v>0</v>
      </c>
      <c r="M183" s="419">
        <v>0</v>
      </c>
      <c r="N183" s="419">
        <v>0</v>
      </c>
      <c r="O183" s="419">
        <v>0</v>
      </c>
      <c r="P183" s="419">
        <f t="shared" si="33"/>
        <v>0</v>
      </c>
    </row>
    <row r="184" spans="1:16" ht="12.75">
      <c r="A184" s="657"/>
      <c r="B184" s="657" t="s">
        <v>66</v>
      </c>
      <c r="C184" s="657"/>
      <c r="D184" s="419">
        <f>SUM(D171:D183)</f>
        <v>4048511.604</v>
      </c>
      <c r="E184" s="419">
        <f aca="true" t="shared" si="34" ref="E184:P184">SUM(E171:E183)</f>
        <v>3870736.992</v>
      </c>
      <c r="F184" s="419">
        <f t="shared" si="34"/>
        <v>4055003.046</v>
      </c>
      <c r="G184" s="419">
        <f t="shared" si="34"/>
        <v>4139743.1509999996</v>
      </c>
      <c r="H184" s="419">
        <f t="shared" si="34"/>
        <v>7604757.982000001</v>
      </c>
      <c r="I184" s="419">
        <f t="shared" si="34"/>
        <v>11954209.716</v>
      </c>
      <c r="J184" s="419">
        <f t="shared" si="34"/>
        <v>15358991.910999998</v>
      </c>
      <c r="K184" s="419">
        <f t="shared" si="34"/>
        <v>18433987.118</v>
      </c>
      <c r="L184" s="419">
        <f t="shared" si="34"/>
        <v>16525529.247000001</v>
      </c>
      <c r="M184" s="419">
        <f t="shared" si="34"/>
        <v>7528435.591</v>
      </c>
      <c r="N184" s="419">
        <f t="shared" si="34"/>
        <v>3776306.425</v>
      </c>
      <c r="O184" s="419">
        <f t="shared" si="34"/>
        <v>4000037.216</v>
      </c>
      <c r="P184" s="419">
        <f t="shared" si="34"/>
        <v>101296249.999</v>
      </c>
    </row>
    <row r="185" spans="1:16" ht="12.75">
      <c r="A185" s="657" t="s">
        <v>662</v>
      </c>
      <c r="B185" s="657" t="s">
        <v>679</v>
      </c>
      <c r="C185" s="657"/>
      <c r="D185" s="419">
        <v>0</v>
      </c>
      <c r="E185" s="419">
        <v>0</v>
      </c>
      <c r="F185" s="419">
        <v>0</v>
      </c>
      <c r="G185" s="419">
        <v>0</v>
      </c>
      <c r="H185" s="419">
        <v>0</v>
      </c>
      <c r="I185" s="419">
        <v>0</v>
      </c>
      <c r="J185" s="419">
        <v>0</v>
      </c>
      <c r="K185" s="419">
        <v>0</v>
      </c>
      <c r="L185" s="419">
        <v>0</v>
      </c>
      <c r="M185" s="419">
        <v>0</v>
      </c>
      <c r="N185" s="419">
        <v>0</v>
      </c>
      <c r="O185" s="419">
        <v>0</v>
      </c>
      <c r="P185" s="419">
        <f>SUM(D185:O185)</f>
        <v>0</v>
      </c>
    </row>
    <row r="186" spans="1:16" ht="12.75">
      <c r="A186" s="657"/>
      <c r="B186" s="657" t="s">
        <v>680</v>
      </c>
      <c r="C186" s="657"/>
      <c r="D186" s="419">
        <v>123235.696</v>
      </c>
      <c r="E186" s="419">
        <v>118172.65867</v>
      </c>
      <c r="F186" s="419">
        <v>132559.23666</v>
      </c>
      <c r="G186" s="419">
        <v>149925.82334</v>
      </c>
      <c r="H186" s="419">
        <v>275992.79633</v>
      </c>
      <c r="I186" s="419">
        <v>370414.76067</v>
      </c>
      <c r="J186" s="419">
        <v>480760.603</v>
      </c>
      <c r="K186" s="419">
        <v>503936.17001</v>
      </c>
      <c r="L186" s="419">
        <v>444415.46933</v>
      </c>
      <c r="M186" s="419">
        <v>235892.027</v>
      </c>
      <c r="N186" s="419">
        <v>128646.96534</v>
      </c>
      <c r="O186" s="419">
        <v>120191.73833</v>
      </c>
      <c r="P186" s="419">
        <f>SUM(D186:O186)</f>
        <v>3084143.94468</v>
      </c>
    </row>
    <row r="187" spans="1:16" ht="12.75">
      <c r="A187" s="657"/>
      <c r="B187" s="657" t="s">
        <v>681</v>
      </c>
      <c r="C187" s="657"/>
      <c r="D187" s="419">
        <v>63177.093</v>
      </c>
      <c r="E187" s="419">
        <v>63294.41133</v>
      </c>
      <c r="F187" s="419">
        <v>69008.14734</v>
      </c>
      <c r="G187" s="419">
        <v>69775.30966</v>
      </c>
      <c r="H187" s="419">
        <v>136598.55167</v>
      </c>
      <c r="I187" s="419">
        <v>203641.81333</v>
      </c>
      <c r="J187" s="419">
        <v>317846.723</v>
      </c>
      <c r="K187" s="419">
        <v>329470.72799</v>
      </c>
      <c r="L187" s="419">
        <v>273501.88367</v>
      </c>
      <c r="M187" s="419">
        <v>90713.11</v>
      </c>
      <c r="N187" s="419">
        <v>53993.03366</v>
      </c>
      <c r="O187" s="419">
        <v>58552.88667</v>
      </c>
      <c r="P187" s="419">
        <f aca="true" t="shared" si="35" ref="P187:P197">SUM(D187:O187)</f>
        <v>1729573.6913199998</v>
      </c>
    </row>
    <row r="188" spans="1:16" ht="12.75">
      <c r="A188" s="657"/>
      <c r="B188" s="657" t="s">
        <v>682</v>
      </c>
      <c r="C188" s="657"/>
      <c r="D188" s="419">
        <v>125994.208</v>
      </c>
      <c r="E188" s="419">
        <v>118087.571</v>
      </c>
      <c r="F188" s="419">
        <v>134762.636</v>
      </c>
      <c r="G188" s="419">
        <v>101170.874</v>
      </c>
      <c r="H188" s="419">
        <v>272912.481</v>
      </c>
      <c r="I188" s="419">
        <v>401061.746</v>
      </c>
      <c r="J188" s="419">
        <v>892892.917</v>
      </c>
      <c r="K188" s="419">
        <v>804023.224</v>
      </c>
      <c r="L188" s="419">
        <v>588822.99</v>
      </c>
      <c r="M188" s="419">
        <v>139901.26</v>
      </c>
      <c r="N188" s="419">
        <v>91323.361</v>
      </c>
      <c r="O188" s="419">
        <v>127703.268</v>
      </c>
      <c r="P188" s="419">
        <f t="shared" si="35"/>
        <v>3798656.536</v>
      </c>
    </row>
    <row r="189" spans="1:16" ht="12.75">
      <c r="A189" s="657"/>
      <c r="B189" s="657" t="s">
        <v>678</v>
      </c>
      <c r="C189" s="657"/>
      <c r="D189" s="419">
        <v>0</v>
      </c>
      <c r="E189" s="419">
        <v>0</v>
      </c>
      <c r="F189" s="419">
        <v>0</v>
      </c>
      <c r="G189" s="419">
        <v>0</v>
      </c>
      <c r="H189" s="419">
        <v>0</v>
      </c>
      <c r="I189" s="419">
        <v>0</v>
      </c>
      <c r="J189" s="419">
        <v>0</v>
      </c>
      <c r="K189" s="419">
        <v>0</v>
      </c>
      <c r="L189" s="419">
        <v>0</v>
      </c>
      <c r="M189" s="419">
        <v>0</v>
      </c>
      <c r="N189" s="419">
        <v>0</v>
      </c>
      <c r="O189" s="419">
        <v>0</v>
      </c>
      <c r="P189" s="419">
        <f t="shared" si="35"/>
        <v>0</v>
      </c>
    </row>
    <row r="190" spans="1:16" ht="12.75">
      <c r="A190" s="657"/>
      <c r="B190" s="657" t="s">
        <v>683</v>
      </c>
      <c r="C190" s="657"/>
      <c r="D190" s="419">
        <v>0</v>
      </c>
      <c r="E190" s="419">
        <v>0</v>
      </c>
      <c r="F190" s="419">
        <v>0</v>
      </c>
      <c r="G190" s="419">
        <v>0</v>
      </c>
      <c r="H190" s="419">
        <v>0</v>
      </c>
      <c r="I190" s="419">
        <v>0</v>
      </c>
      <c r="J190" s="419">
        <v>0</v>
      </c>
      <c r="K190" s="419">
        <v>0</v>
      </c>
      <c r="L190" s="419">
        <v>0</v>
      </c>
      <c r="M190" s="419">
        <v>0</v>
      </c>
      <c r="N190" s="419">
        <v>0</v>
      </c>
      <c r="O190" s="419">
        <v>0</v>
      </c>
      <c r="P190" s="419">
        <f t="shared" si="35"/>
        <v>0</v>
      </c>
    </row>
    <row r="191" spans="1:16" ht="12.75">
      <c r="A191" s="657"/>
      <c r="B191" s="657" t="s">
        <v>731</v>
      </c>
      <c r="C191" s="657"/>
      <c r="D191" s="419">
        <v>0</v>
      </c>
      <c r="E191" s="419">
        <v>0</v>
      </c>
      <c r="F191" s="419">
        <v>0</v>
      </c>
      <c r="G191" s="419">
        <v>0</v>
      </c>
      <c r="H191" s="419">
        <v>0</v>
      </c>
      <c r="I191" s="419">
        <v>0</v>
      </c>
      <c r="J191" s="419">
        <v>0</v>
      </c>
      <c r="K191" s="419">
        <v>0</v>
      </c>
      <c r="L191" s="419">
        <v>0</v>
      </c>
      <c r="M191" s="419">
        <v>0</v>
      </c>
      <c r="N191" s="419">
        <v>0</v>
      </c>
      <c r="O191" s="419">
        <v>0</v>
      </c>
      <c r="P191" s="419">
        <f t="shared" si="35"/>
        <v>0</v>
      </c>
    </row>
    <row r="192" spans="1:16" ht="12.75">
      <c r="A192" s="657"/>
      <c r="B192" s="657" t="s">
        <v>684</v>
      </c>
      <c r="C192" s="657"/>
      <c r="D192" s="419">
        <v>0</v>
      </c>
      <c r="E192" s="419">
        <v>0</v>
      </c>
      <c r="F192" s="419">
        <v>0</v>
      </c>
      <c r="G192" s="419">
        <v>0</v>
      </c>
      <c r="H192" s="419">
        <v>0</v>
      </c>
      <c r="I192" s="419">
        <v>0</v>
      </c>
      <c r="J192" s="419">
        <v>0</v>
      </c>
      <c r="K192" s="419">
        <v>0</v>
      </c>
      <c r="L192" s="419">
        <v>0</v>
      </c>
      <c r="M192" s="419">
        <v>0</v>
      </c>
      <c r="N192" s="419">
        <v>0</v>
      </c>
      <c r="O192" s="419">
        <v>0</v>
      </c>
      <c r="P192" s="419">
        <f t="shared" si="35"/>
        <v>0</v>
      </c>
    </row>
    <row r="193" spans="1:16" ht="12.75">
      <c r="A193" s="657"/>
      <c r="B193" s="657" t="s">
        <v>685</v>
      </c>
      <c r="C193" s="657"/>
      <c r="D193" s="419">
        <v>0</v>
      </c>
      <c r="E193" s="419">
        <v>0</v>
      </c>
      <c r="F193" s="419">
        <v>0</v>
      </c>
      <c r="G193" s="419">
        <v>0</v>
      </c>
      <c r="H193" s="419">
        <v>0</v>
      </c>
      <c r="I193" s="419">
        <v>0</v>
      </c>
      <c r="J193" s="419">
        <v>0</v>
      </c>
      <c r="K193" s="419">
        <v>0</v>
      </c>
      <c r="L193" s="419">
        <v>0</v>
      </c>
      <c r="M193" s="419">
        <v>0</v>
      </c>
      <c r="N193" s="419">
        <v>0</v>
      </c>
      <c r="O193" s="419">
        <v>0</v>
      </c>
      <c r="P193" s="419">
        <f t="shared" si="35"/>
        <v>0</v>
      </c>
    </row>
    <row r="194" spans="1:16" ht="12.75">
      <c r="A194" s="657"/>
      <c r="B194" s="657" t="s">
        <v>686</v>
      </c>
      <c r="C194" s="657"/>
      <c r="D194" s="419">
        <v>0</v>
      </c>
      <c r="E194" s="419">
        <v>0</v>
      </c>
      <c r="F194" s="419">
        <v>0</v>
      </c>
      <c r="G194" s="419">
        <v>0</v>
      </c>
      <c r="H194" s="419">
        <v>0</v>
      </c>
      <c r="I194" s="419">
        <v>0</v>
      </c>
      <c r="J194" s="419">
        <v>0</v>
      </c>
      <c r="K194" s="419">
        <v>0</v>
      </c>
      <c r="L194" s="419">
        <v>0</v>
      </c>
      <c r="M194" s="419">
        <v>0</v>
      </c>
      <c r="N194" s="419">
        <v>0</v>
      </c>
      <c r="O194" s="419">
        <v>0</v>
      </c>
      <c r="P194" s="419">
        <f t="shared" si="35"/>
        <v>0</v>
      </c>
    </row>
    <row r="195" spans="1:16" ht="12.75">
      <c r="A195" s="657"/>
      <c r="B195" s="657" t="s">
        <v>687</v>
      </c>
      <c r="C195" s="657"/>
      <c r="D195" s="419">
        <v>0</v>
      </c>
      <c r="E195" s="419">
        <v>0</v>
      </c>
      <c r="F195" s="419">
        <v>0</v>
      </c>
      <c r="G195" s="419">
        <v>0</v>
      </c>
      <c r="H195" s="419">
        <v>0</v>
      </c>
      <c r="I195" s="419">
        <v>0</v>
      </c>
      <c r="J195" s="419">
        <v>0</v>
      </c>
      <c r="K195" s="419">
        <v>0</v>
      </c>
      <c r="L195" s="419">
        <v>0</v>
      </c>
      <c r="M195" s="419">
        <v>0</v>
      </c>
      <c r="N195" s="419">
        <v>0</v>
      </c>
      <c r="O195" s="419">
        <v>0</v>
      </c>
      <c r="P195" s="419">
        <f t="shared" si="35"/>
        <v>0</v>
      </c>
    </row>
    <row r="196" spans="1:16" ht="12.75">
      <c r="A196" s="657"/>
      <c r="B196" s="657" t="s">
        <v>688</v>
      </c>
      <c r="C196" s="657"/>
      <c r="D196" s="419">
        <v>0</v>
      </c>
      <c r="E196" s="419">
        <v>0</v>
      </c>
      <c r="F196" s="419">
        <v>0</v>
      </c>
      <c r="G196" s="419">
        <v>0</v>
      </c>
      <c r="H196" s="419">
        <v>0</v>
      </c>
      <c r="I196" s="419">
        <v>0</v>
      </c>
      <c r="J196" s="419">
        <v>0</v>
      </c>
      <c r="K196" s="419">
        <v>0</v>
      </c>
      <c r="L196" s="419">
        <v>0</v>
      </c>
      <c r="M196" s="419">
        <v>0</v>
      </c>
      <c r="N196" s="419">
        <v>0</v>
      </c>
      <c r="O196" s="419">
        <v>0</v>
      </c>
      <c r="P196" s="419">
        <f t="shared" si="35"/>
        <v>0</v>
      </c>
    </row>
    <row r="197" spans="1:16" ht="12.75">
      <c r="A197" s="657"/>
      <c r="B197" s="657" t="s">
        <v>788</v>
      </c>
      <c r="C197" s="657"/>
      <c r="D197" s="419"/>
      <c r="E197" s="419"/>
      <c r="F197" s="419"/>
      <c r="G197" s="419"/>
      <c r="H197" s="419">
        <v>0</v>
      </c>
      <c r="I197" s="419">
        <v>0</v>
      </c>
      <c r="J197" s="419">
        <v>0</v>
      </c>
      <c r="K197" s="419">
        <v>0</v>
      </c>
      <c r="L197" s="419">
        <v>0</v>
      </c>
      <c r="M197" s="419">
        <v>0</v>
      </c>
      <c r="N197" s="419">
        <v>0</v>
      </c>
      <c r="O197" s="419">
        <v>0</v>
      </c>
      <c r="P197" s="419">
        <f t="shared" si="35"/>
        <v>0</v>
      </c>
    </row>
    <row r="198" spans="1:16" ht="12.75">
      <c r="A198" s="657"/>
      <c r="B198" s="657" t="s">
        <v>66</v>
      </c>
      <c r="C198" s="657"/>
      <c r="D198" s="419">
        <f>SUM(D185:D197)</f>
        <v>312406.997</v>
      </c>
      <c r="E198" s="419">
        <f>SUM(E185:E197)</f>
        <v>299554.641</v>
      </c>
      <c r="F198" s="419">
        <f aca="true" t="shared" si="36" ref="F198:P198">SUM(F185:F197)</f>
        <v>336330.02</v>
      </c>
      <c r="G198" s="419">
        <f t="shared" si="36"/>
        <v>320872.007</v>
      </c>
      <c r="H198" s="419">
        <f t="shared" si="36"/>
        <v>685503.829</v>
      </c>
      <c r="I198" s="419">
        <f t="shared" si="36"/>
        <v>975118.3200000001</v>
      </c>
      <c r="J198" s="419">
        <f t="shared" si="36"/>
        <v>1691500.243</v>
      </c>
      <c r="K198" s="419">
        <f t="shared" si="36"/>
        <v>1637430.122</v>
      </c>
      <c r="L198" s="419">
        <f t="shared" si="36"/>
        <v>1306740.3429999999</v>
      </c>
      <c r="M198" s="419">
        <f t="shared" si="36"/>
        <v>466506.397</v>
      </c>
      <c r="N198" s="419">
        <f t="shared" si="36"/>
        <v>273963.36</v>
      </c>
      <c r="O198" s="419">
        <f t="shared" si="36"/>
        <v>306447.893</v>
      </c>
      <c r="P198" s="419">
        <f t="shared" si="36"/>
        <v>8612374.172</v>
      </c>
    </row>
    <row r="199" spans="1:16" ht="12.75">
      <c r="A199" s="657" t="s">
        <v>663</v>
      </c>
      <c r="B199" s="657" t="s">
        <v>694</v>
      </c>
      <c r="C199" s="657"/>
      <c r="D199" s="419">
        <v>0</v>
      </c>
      <c r="E199" s="419">
        <v>0</v>
      </c>
      <c r="F199" s="419">
        <v>0</v>
      </c>
      <c r="G199" s="419">
        <v>0</v>
      </c>
      <c r="H199" s="419">
        <v>0</v>
      </c>
      <c r="I199" s="419">
        <v>0</v>
      </c>
      <c r="J199" s="419">
        <v>0</v>
      </c>
      <c r="K199" s="419">
        <v>0</v>
      </c>
      <c r="L199" s="419">
        <v>0</v>
      </c>
      <c r="M199" s="419">
        <v>0</v>
      </c>
      <c r="N199" s="419">
        <v>0</v>
      </c>
      <c r="O199" s="419">
        <v>0</v>
      </c>
      <c r="P199" s="419">
        <f>SUM(D199:O199)</f>
        <v>0</v>
      </c>
    </row>
    <row r="200" spans="1:16" ht="12.75">
      <c r="A200" s="657"/>
      <c r="B200" s="657" t="s">
        <v>678</v>
      </c>
      <c r="C200" s="657"/>
      <c r="D200" s="419">
        <v>1331.001</v>
      </c>
      <c r="E200" s="419">
        <v>5799.801</v>
      </c>
      <c r="F200" s="419">
        <v>3442.544</v>
      </c>
      <c r="G200" s="419">
        <v>3687.57</v>
      </c>
      <c r="H200" s="419">
        <v>1172</v>
      </c>
      <c r="I200" s="419">
        <v>5539.733</v>
      </c>
      <c r="J200" s="419">
        <v>1223.933</v>
      </c>
      <c r="K200" s="419">
        <v>1172</v>
      </c>
      <c r="L200" s="419">
        <v>1198.2</v>
      </c>
      <c r="M200" s="419">
        <v>1193.599</v>
      </c>
      <c r="N200" s="419">
        <v>1134.197</v>
      </c>
      <c r="O200" s="419">
        <v>1319.897</v>
      </c>
      <c r="P200" s="419">
        <f>SUM(D200:O200)</f>
        <v>28214.475000000002</v>
      </c>
    </row>
    <row r="201" spans="1:16" ht="12.75">
      <c r="A201" s="657"/>
      <c r="B201" s="657" t="s">
        <v>684</v>
      </c>
      <c r="C201" s="657"/>
      <c r="D201" s="419">
        <v>0</v>
      </c>
      <c r="E201" s="419">
        <v>0</v>
      </c>
      <c r="F201" s="419">
        <v>0</v>
      </c>
      <c r="G201" s="419">
        <v>0</v>
      </c>
      <c r="H201" s="419">
        <v>0</v>
      </c>
      <c r="I201" s="419">
        <v>0</v>
      </c>
      <c r="J201" s="419">
        <v>0</v>
      </c>
      <c r="K201" s="419">
        <v>0</v>
      </c>
      <c r="L201" s="419">
        <v>0</v>
      </c>
      <c r="M201" s="419">
        <v>0</v>
      </c>
      <c r="N201" s="419">
        <v>0</v>
      </c>
      <c r="O201" s="419">
        <v>0</v>
      </c>
      <c r="P201" s="419">
        <f aca="true" t="shared" si="37" ref="P201:P206">SUM(D201:O201)</f>
        <v>0</v>
      </c>
    </row>
    <row r="202" spans="1:16" ht="12.75">
      <c r="A202" s="657"/>
      <c r="B202" s="657" t="s">
        <v>685</v>
      </c>
      <c r="C202" s="657"/>
      <c r="D202" s="419">
        <v>0</v>
      </c>
      <c r="E202" s="419">
        <v>0</v>
      </c>
      <c r="F202" s="419">
        <v>0</v>
      </c>
      <c r="G202" s="419">
        <v>0</v>
      </c>
      <c r="H202" s="419">
        <v>0</v>
      </c>
      <c r="I202" s="419">
        <v>0</v>
      </c>
      <c r="J202" s="419">
        <v>0</v>
      </c>
      <c r="K202" s="419">
        <v>0</v>
      </c>
      <c r="L202" s="419">
        <v>0</v>
      </c>
      <c r="M202" s="419">
        <v>0</v>
      </c>
      <c r="N202" s="419">
        <v>0</v>
      </c>
      <c r="O202" s="419">
        <v>0</v>
      </c>
      <c r="P202" s="419">
        <f t="shared" si="37"/>
        <v>0</v>
      </c>
    </row>
    <row r="203" spans="1:16" ht="12.75">
      <c r="A203" s="657"/>
      <c r="B203" s="657" t="s">
        <v>686</v>
      </c>
      <c r="C203" s="657"/>
      <c r="D203" s="419">
        <v>0</v>
      </c>
      <c r="E203" s="419">
        <v>0</v>
      </c>
      <c r="F203" s="419">
        <v>0</v>
      </c>
      <c r="G203" s="419">
        <v>0</v>
      </c>
      <c r="H203" s="419">
        <v>0</v>
      </c>
      <c r="I203" s="419">
        <v>0</v>
      </c>
      <c r="J203" s="419">
        <v>0</v>
      </c>
      <c r="K203" s="419">
        <v>0</v>
      </c>
      <c r="L203" s="419">
        <v>0</v>
      </c>
      <c r="M203" s="419">
        <v>0</v>
      </c>
      <c r="N203" s="419">
        <v>0</v>
      </c>
      <c r="O203" s="419">
        <v>0</v>
      </c>
      <c r="P203" s="419">
        <f t="shared" si="37"/>
        <v>0</v>
      </c>
    </row>
    <row r="204" spans="1:16" ht="12.75">
      <c r="A204" s="657"/>
      <c r="B204" s="657" t="s">
        <v>687</v>
      </c>
      <c r="C204" s="657"/>
      <c r="D204" s="419">
        <v>0</v>
      </c>
      <c r="E204" s="419">
        <v>0</v>
      </c>
      <c r="F204" s="419">
        <v>0</v>
      </c>
      <c r="G204" s="419">
        <v>0</v>
      </c>
      <c r="H204" s="419">
        <v>0</v>
      </c>
      <c r="I204" s="419">
        <v>0</v>
      </c>
      <c r="J204" s="419">
        <v>0</v>
      </c>
      <c r="K204" s="419">
        <v>0</v>
      </c>
      <c r="L204" s="419">
        <v>0</v>
      </c>
      <c r="M204" s="419">
        <v>0</v>
      </c>
      <c r="N204" s="419">
        <v>0</v>
      </c>
      <c r="O204" s="419">
        <v>0</v>
      </c>
      <c r="P204" s="419">
        <f t="shared" si="37"/>
        <v>0</v>
      </c>
    </row>
    <row r="205" spans="1:16" ht="12.75">
      <c r="A205" s="657"/>
      <c r="B205" s="657" t="s">
        <v>688</v>
      </c>
      <c r="C205" s="657"/>
      <c r="D205" s="419">
        <v>0</v>
      </c>
      <c r="E205" s="419">
        <v>0</v>
      </c>
      <c r="F205" s="419">
        <v>0</v>
      </c>
      <c r="G205" s="419">
        <v>0</v>
      </c>
      <c r="H205" s="419">
        <v>0</v>
      </c>
      <c r="I205" s="419">
        <v>0</v>
      </c>
      <c r="J205" s="419">
        <v>0</v>
      </c>
      <c r="K205" s="419">
        <v>0</v>
      </c>
      <c r="L205" s="419">
        <v>0</v>
      </c>
      <c r="M205" s="419">
        <v>0</v>
      </c>
      <c r="N205" s="419">
        <v>0</v>
      </c>
      <c r="O205" s="419">
        <v>0</v>
      </c>
      <c r="P205" s="419">
        <f t="shared" si="37"/>
        <v>0</v>
      </c>
    </row>
    <row r="206" spans="1:16" ht="12.75">
      <c r="A206" s="657"/>
      <c r="B206" s="657" t="s">
        <v>788</v>
      </c>
      <c r="C206" s="657"/>
      <c r="D206" s="419"/>
      <c r="E206" s="419"/>
      <c r="F206" s="419"/>
      <c r="G206" s="419"/>
      <c r="H206" s="419">
        <v>0</v>
      </c>
      <c r="I206" s="419">
        <v>0</v>
      </c>
      <c r="J206" s="419">
        <v>0</v>
      </c>
      <c r="K206" s="419">
        <v>0</v>
      </c>
      <c r="L206" s="419">
        <v>0</v>
      </c>
      <c r="M206" s="419">
        <v>0</v>
      </c>
      <c r="N206" s="419">
        <v>0</v>
      </c>
      <c r="O206" s="419">
        <v>0</v>
      </c>
      <c r="P206" s="419">
        <f t="shared" si="37"/>
        <v>0</v>
      </c>
    </row>
    <row r="207" spans="1:16" ht="12.75">
      <c r="A207" s="657"/>
      <c r="B207" s="657" t="s">
        <v>66</v>
      </c>
      <c r="C207" s="657"/>
      <c r="D207" s="419">
        <f>SUM(D199:D206)</f>
        <v>1331.001</v>
      </c>
      <c r="E207" s="419">
        <f aca="true" t="shared" si="38" ref="E207:P207">SUM(E199:E206)</f>
        <v>5799.801</v>
      </c>
      <c r="F207" s="419">
        <f t="shared" si="38"/>
        <v>3442.544</v>
      </c>
      <c r="G207" s="419">
        <f t="shared" si="38"/>
        <v>3687.57</v>
      </c>
      <c r="H207" s="419">
        <f t="shared" si="38"/>
        <v>1172</v>
      </c>
      <c r="I207" s="419">
        <f t="shared" si="38"/>
        <v>5539.733</v>
      </c>
      <c r="J207" s="419">
        <f t="shared" si="38"/>
        <v>1223.933</v>
      </c>
      <c r="K207" s="419">
        <f t="shared" si="38"/>
        <v>1172</v>
      </c>
      <c r="L207" s="419">
        <f t="shared" si="38"/>
        <v>1198.2</v>
      </c>
      <c r="M207" s="419">
        <f t="shared" si="38"/>
        <v>1193.599</v>
      </c>
      <c r="N207" s="419">
        <f t="shared" si="38"/>
        <v>1134.197</v>
      </c>
      <c r="O207" s="419">
        <f t="shared" si="38"/>
        <v>1319.897</v>
      </c>
      <c r="P207" s="419">
        <f t="shared" si="38"/>
        <v>28214.475000000002</v>
      </c>
    </row>
    <row r="208" spans="1:16" ht="12.75">
      <c r="A208" s="657" t="s">
        <v>664</v>
      </c>
      <c r="B208" s="657" t="s">
        <v>694</v>
      </c>
      <c r="C208" s="657"/>
      <c r="D208" s="419">
        <v>0</v>
      </c>
      <c r="E208" s="419">
        <v>0</v>
      </c>
      <c r="F208" s="419">
        <v>0</v>
      </c>
      <c r="G208" s="419">
        <v>0</v>
      </c>
      <c r="H208" s="419">
        <v>0</v>
      </c>
      <c r="I208" s="419">
        <v>0</v>
      </c>
      <c r="J208" s="419">
        <v>0</v>
      </c>
      <c r="K208" s="419">
        <v>0</v>
      </c>
      <c r="L208" s="419">
        <v>0</v>
      </c>
      <c r="M208" s="419">
        <v>0</v>
      </c>
      <c r="N208" s="419">
        <v>0</v>
      </c>
      <c r="O208" s="419">
        <v>0</v>
      </c>
      <c r="P208" s="419">
        <f>SUM(D208:O208)</f>
        <v>0</v>
      </c>
    </row>
    <row r="209" spans="1:16" ht="12.75">
      <c r="A209" s="657"/>
      <c r="B209" s="657" t="s">
        <v>678</v>
      </c>
      <c r="C209" s="657"/>
      <c r="D209" s="419">
        <v>794948.48834</v>
      </c>
      <c r="E209" s="419">
        <v>731550.37</v>
      </c>
      <c r="F209" s="419">
        <v>730225.508</v>
      </c>
      <c r="G209" s="419">
        <v>768961.7</v>
      </c>
      <c r="H209" s="419">
        <v>761924.463</v>
      </c>
      <c r="I209" s="419">
        <v>751079.321</v>
      </c>
      <c r="J209" s="419">
        <v>773990.368</v>
      </c>
      <c r="K209" s="419">
        <v>750514.129</v>
      </c>
      <c r="L209" s="419">
        <v>767841.356</v>
      </c>
      <c r="M209" s="419">
        <v>768639.147</v>
      </c>
      <c r="N209" s="419">
        <v>719670.973</v>
      </c>
      <c r="O209" s="419">
        <v>792313.73033</v>
      </c>
      <c r="P209" s="419">
        <f aca="true" t="shared" si="39" ref="P209:P215">SUM(D209:O209)</f>
        <v>9111659.55367</v>
      </c>
    </row>
    <row r="210" spans="1:16" ht="12.75">
      <c r="A210" s="657"/>
      <c r="B210" s="657" t="s">
        <v>684</v>
      </c>
      <c r="C210" s="657"/>
      <c r="D210" s="419">
        <v>0</v>
      </c>
      <c r="E210" s="419">
        <v>0</v>
      </c>
      <c r="F210" s="419">
        <v>0</v>
      </c>
      <c r="G210" s="419">
        <v>0</v>
      </c>
      <c r="H210" s="419">
        <v>0</v>
      </c>
      <c r="I210" s="419">
        <v>0</v>
      </c>
      <c r="J210" s="419">
        <v>0</v>
      </c>
      <c r="K210" s="419">
        <v>0</v>
      </c>
      <c r="L210" s="419">
        <v>0</v>
      </c>
      <c r="M210" s="419">
        <v>0</v>
      </c>
      <c r="N210" s="419">
        <v>0</v>
      </c>
      <c r="O210" s="419">
        <v>0</v>
      </c>
      <c r="P210" s="419">
        <f t="shared" si="39"/>
        <v>0</v>
      </c>
    </row>
    <row r="211" spans="1:16" ht="12.75">
      <c r="A211" s="657"/>
      <c r="B211" s="657" t="s">
        <v>685</v>
      </c>
      <c r="C211" s="657"/>
      <c r="D211" s="419">
        <v>0</v>
      </c>
      <c r="E211" s="419">
        <v>0</v>
      </c>
      <c r="F211" s="419">
        <v>0</v>
      </c>
      <c r="G211" s="419">
        <v>0</v>
      </c>
      <c r="H211" s="419">
        <v>0</v>
      </c>
      <c r="I211" s="419">
        <v>0</v>
      </c>
      <c r="J211" s="419">
        <v>0</v>
      </c>
      <c r="K211" s="419">
        <v>0</v>
      </c>
      <c r="L211" s="419">
        <v>0</v>
      </c>
      <c r="M211" s="419">
        <v>0</v>
      </c>
      <c r="N211" s="419">
        <v>0</v>
      </c>
      <c r="O211" s="419">
        <v>0</v>
      </c>
      <c r="P211" s="419">
        <f t="shared" si="39"/>
        <v>0</v>
      </c>
    </row>
    <row r="212" spans="1:16" ht="12.75">
      <c r="A212" s="657"/>
      <c r="B212" s="657" t="s">
        <v>686</v>
      </c>
      <c r="C212" s="657"/>
      <c r="D212" s="419">
        <v>0</v>
      </c>
      <c r="E212" s="419">
        <v>0</v>
      </c>
      <c r="F212" s="419">
        <v>0</v>
      </c>
      <c r="G212" s="419">
        <v>0</v>
      </c>
      <c r="H212" s="419">
        <v>0</v>
      </c>
      <c r="I212" s="419">
        <v>0</v>
      </c>
      <c r="J212" s="419">
        <v>0</v>
      </c>
      <c r="K212" s="419">
        <v>0</v>
      </c>
      <c r="L212" s="419">
        <v>0</v>
      </c>
      <c r="M212" s="419">
        <v>0</v>
      </c>
      <c r="N212" s="419">
        <v>0</v>
      </c>
      <c r="O212" s="419">
        <v>0</v>
      </c>
      <c r="P212" s="419">
        <f t="shared" si="39"/>
        <v>0</v>
      </c>
    </row>
    <row r="213" spans="1:16" ht="12.75">
      <c r="A213" s="657"/>
      <c r="B213" s="657" t="s">
        <v>687</v>
      </c>
      <c r="C213" s="657"/>
      <c r="D213" s="419">
        <v>0</v>
      </c>
      <c r="E213" s="419">
        <v>0</v>
      </c>
      <c r="F213" s="419">
        <v>0</v>
      </c>
      <c r="G213" s="419">
        <v>0</v>
      </c>
      <c r="H213" s="419">
        <v>0</v>
      </c>
      <c r="I213" s="419">
        <v>0</v>
      </c>
      <c r="J213" s="419">
        <v>0</v>
      </c>
      <c r="K213" s="419">
        <v>0</v>
      </c>
      <c r="L213" s="419">
        <v>0</v>
      </c>
      <c r="M213" s="419">
        <v>0</v>
      </c>
      <c r="N213" s="419">
        <v>0</v>
      </c>
      <c r="O213" s="419">
        <v>0</v>
      </c>
      <c r="P213" s="419">
        <f t="shared" si="39"/>
        <v>0</v>
      </c>
    </row>
    <row r="214" spans="1:16" ht="12.75">
      <c r="A214" s="657"/>
      <c r="B214" s="657" t="s">
        <v>688</v>
      </c>
      <c r="C214" s="657"/>
      <c r="D214" s="419">
        <v>0</v>
      </c>
      <c r="E214" s="419">
        <v>0</v>
      </c>
      <c r="F214" s="419">
        <v>0</v>
      </c>
      <c r="G214" s="419">
        <v>0</v>
      </c>
      <c r="H214" s="419">
        <v>0</v>
      </c>
      <c r="I214" s="419">
        <v>0</v>
      </c>
      <c r="J214" s="419">
        <v>0</v>
      </c>
      <c r="K214" s="419">
        <v>0</v>
      </c>
      <c r="L214" s="419">
        <v>0</v>
      </c>
      <c r="M214" s="419">
        <v>0</v>
      </c>
      <c r="N214" s="419">
        <v>0</v>
      </c>
      <c r="O214" s="419">
        <v>0</v>
      </c>
      <c r="P214" s="419">
        <f t="shared" si="39"/>
        <v>0</v>
      </c>
    </row>
    <row r="215" spans="1:16" ht="12.75">
      <c r="A215" s="657"/>
      <c r="B215" s="657" t="s">
        <v>788</v>
      </c>
      <c r="C215" s="657"/>
      <c r="D215" s="419"/>
      <c r="E215" s="419"/>
      <c r="F215" s="419"/>
      <c r="G215" s="419"/>
      <c r="H215" s="419">
        <v>0</v>
      </c>
      <c r="I215" s="419">
        <v>0</v>
      </c>
      <c r="J215" s="419">
        <v>0</v>
      </c>
      <c r="K215" s="419">
        <v>0</v>
      </c>
      <c r="L215" s="419">
        <v>0</v>
      </c>
      <c r="M215" s="419">
        <v>0</v>
      </c>
      <c r="N215" s="419">
        <v>0</v>
      </c>
      <c r="O215" s="419">
        <v>0</v>
      </c>
      <c r="P215" s="419">
        <f t="shared" si="39"/>
        <v>0</v>
      </c>
    </row>
    <row r="216" spans="1:16" ht="12.75">
      <c r="A216" s="657"/>
      <c r="B216" s="657" t="s">
        <v>66</v>
      </c>
      <c r="C216" s="657"/>
      <c r="D216" s="419">
        <f>SUM(D208:D215)</f>
        <v>794948.48834</v>
      </c>
      <c r="E216" s="419">
        <f aca="true" t="shared" si="40" ref="E216:P216">SUM(E208:E215)</f>
        <v>731550.37</v>
      </c>
      <c r="F216" s="419">
        <f t="shared" si="40"/>
        <v>730225.508</v>
      </c>
      <c r="G216" s="419">
        <f t="shared" si="40"/>
        <v>768961.7</v>
      </c>
      <c r="H216" s="419">
        <f t="shared" si="40"/>
        <v>761924.463</v>
      </c>
      <c r="I216" s="419">
        <f t="shared" si="40"/>
        <v>751079.321</v>
      </c>
      <c r="J216" s="419">
        <f t="shared" si="40"/>
        <v>773990.368</v>
      </c>
      <c r="K216" s="419">
        <f t="shared" si="40"/>
        <v>750514.129</v>
      </c>
      <c r="L216" s="419">
        <f t="shared" si="40"/>
        <v>767841.356</v>
      </c>
      <c r="M216" s="419">
        <f t="shared" si="40"/>
        <v>768639.147</v>
      </c>
      <c r="N216" s="419">
        <f t="shared" si="40"/>
        <v>719670.973</v>
      </c>
      <c r="O216" s="419">
        <f t="shared" si="40"/>
        <v>792313.73033</v>
      </c>
      <c r="P216" s="419">
        <f t="shared" si="40"/>
        <v>9111659.55367</v>
      </c>
    </row>
    <row r="217" spans="1:16" ht="12.75">
      <c r="A217" s="657" t="s">
        <v>665</v>
      </c>
      <c r="B217" s="657" t="s">
        <v>694</v>
      </c>
      <c r="C217" s="657"/>
      <c r="D217" s="419">
        <v>0</v>
      </c>
      <c r="E217" s="419">
        <v>0</v>
      </c>
      <c r="F217" s="419">
        <v>0</v>
      </c>
      <c r="G217" s="419">
        <v>0</v>
      </c>
      <c r="H217" s="419">
        <v>0</v>
      </c>
      <c r="I217" s="419">
        <v>0</v>
      </c>
      <c r="J217" s="419">
        <v>0</v>
      </c>
      <c r="K217" s="419">
        <v>0</v>
      </c>
      <c r="L217" s="419">
        <v>0</v>
      </c>
      <c r="M217" s="419">
        <v>0</v>
      </c>
      <c r="N217" s="419">
        <v>0</v>
      </c>
      <c r="O217" s="419">
        <v>0</v>
      </c>
      <c r="P217" s="419">
        <f>SUM(D217:O217)</f>
        <v>0</v>
      </c>
    </row>
    <row r="218" spans="1:16" ht="12.75">
      <c r="A218" s="657"/>
      <c r="B218" s="657" t="s">
        <v>678</v>
      </c>
      <c r="C218" s="657"/>
      <c r="D218" s="419">
        <v>16437.333</v>
      </c>
      <c r="E218" s="419">
        <v>16274.564</v>
      </c>
      <c r="F218" s="419">
        <v>16254.268</v>
      </c>
      <c r="G218" s="419">
        <v>16474.791</v>
      </c>
      <c r="H218" s="419">
        <v>16211.932</v>
      </c>
      <c r="I218" s="419">
        <v>17031.565</v>
      </c>
      <c r="J218" s="419">
        <v>16479.298</v>
      </c>
      <c r="K218" s="419">
        <v>16393.999</v>
      </c>
      <c r="L218" s="419">
        <v>17425.799</v>
      </c>
      <c r="M218" s="419">
        <v>16144.83</v>
      </c>
      <c r="N218" s="419">
        <v>15360.35</v>
      </c>
      <c r="O218" s="419">
        <v>-57376.37712</v>
      </c>
      <c r="P218" s="419">
        <f>SUM(D218:O218)</f>
        <v>123112.35188</v>
      </c>
    </row>
    <row r="219" spans="1:16" ht="12.75">
      <c r="A219" s="657"/>
      <c r="B219" s="657" t="s">
        <v>684</v>
      </c>
      <c r="C219" s="657"/>
      <c r="D219" s="419">
        <v>0</v>
      </c>
      <c r="E219" s="419">
        <v>0</v>
      </c>
      <c r="F219" s="419">
        <v>0</v>
      </c>
      <c r="G219" s="419">
        <v>0</v>
      </c>
      <c r="H219" s="419">
        <v>0</v>
      </c>
      <c r="I219" s="419">
        <v>0</v>
      </c>
      <c r="J219" s="419">
        <v>0</v>
      </c>
      <c r="K219" s="419">
        <v>0</v>
      </c>
      <c r="L219" s="419">
        <v>0</v>
      </c>
      <c r="M219" s="419">
        <v>0</v>
      </c>
      <c r="N219" s="419">
        <v>0</v>
      </c>
      <c r="O219" s="419">
        <v>0</v>
      </c>
      <c r="P219" s="419">
        <f aca="true" t="shared" si="41" ref="P219:P224">SUM(D219:O219)</f>
        <v>0</v>
      </c>
    </row>
    <row r="220" spans="1:16" ht="12.75">
      <c r="A220" s="657"/>
      <c r="B220" s="657" t="s">
        <v>685</v>
      </c>
      <c r="C220" s="657"/>
      <c r="D220" s="419">
        <v>0</v>
      </c>
      <c r="E220" s="419">
        <v>0</v>
      </c>
      <c r="F220" s="419">
        <v>0</v>
      </c>
      <c r="G220" s="419">
        <v>0</v>
      </c>
      <c r="H220" s="419">
        <v>0</v>
      </c>
      <c r="I220" s="419">
        <v>0</v>
      </c>
      <c r="J220" s="419">
        <v>0</v>
      </c>
      <c r="K220" s="419">
        <v>0</v>
      </c>
      <c r="L220" s="419">
        <v>0</v>
      </c>
      <c r="M220" s="419">
        <v>0</v>
      </c>
      <c r="N220" s="419">
        <v>0</v>
      </c>
      <c r="O220" s="419">
        <v>0</v>
      </c>
      <c r="P220" s="419">
        <f t="shared" si="41"/>
        <v>0</v>
      </c>
    </row>
    <row r="221" spans="1:16" ht="12.75">
      <c r="A221" s="657"/>
      <c r="B221" s="657" t="s">
        <v>686</v>
      </c>
      <c r="C221" s="657"/>
      <c r="D221" s="419">
        <v>0</v>
      </c>
      <c r="E221" s="419">
        <v>0</v>
      </c>
      <c r="F221" s="419">
        <v>0</v>
      </c>
      <c r="G221" s="419">
        <v>0</v>
      </c>
      <c r="H221" s="419">
        <v>0</v>
      </c>
      <c r="I221" s="419">
        <v>0</v>
      </c>
      <c r="J221" s="419">
        <v>0</v>
      </c>
      <c r="K221" s="419">
        <v>0</v>
      </c>
      <c r="L221" s="419">
        <v>0</v>
      </c>
      <c r="M221" s="419">
        <v>0</v>
      </c>
      <c r="N221" s="419">
        <v>0</v>
      </c>
      <c r="O221" s="419">
        <v>0</v>
      </c>
      <c r="P221" s="419">
        <f t="shared" si="41"/>
        <v>0</v>
      </c>
    </row>
    <row r="222" spans="1:16" ht="12.75">
      <c r="A222" s="657"/>
      <c r="B222" s="657" t="s">
        <v>687</v>
      </c>
      <c r="C222" s="657"/>
      <c r="D222" s="419">
        <v>0</v>
      </c>
      <c r="E222" s="419">
        <v>0</v>
      </c>
      <c r="F222" s="419">
        <v>0</v>
      </c>
      <c r="G222" s="419">
        <v>0</v>
      </c>
      <c r="H222" s="419">
        <v>0</v>
      </c>
      <c r="I222" s="419">
        <v>0</v>
      </c>
      <c r="J222" s="419">
        <v>0</v>
      </c>
      <c r="K222" s="419">
        <v>0</v>
      </c>
      <c r="L222" s="419">
        <v>0</v>
      </c>
      <c r="M222" s="419">
        <v>0</v>
      </c>
      <c r="N222" s="419">
        <v>0</v>
      </c>
      <c r="O222" s="419">
        <v>0</v>
      </c>
      <c r="P222" s="419">
        <f t="shared" si="41"/>
        <v>0</v>
      </c>
    </row>
    <row r="223" spans="1:16" ht="12.75">
      <c r="A223" s="657"/>
      <c r="B223" s="657" t="s">
        <v>688</v>
      </c>
      <c r="C223" s="657"/>
      <c r="D223" s="419">
        <v>0</v>
      </c>
      <c r="E223" s="419">
        <v>0</v>
      </c>
      <c r="F223" s="419">
        <v>0</v>
      </c>
      <c r="G223" s="419">
        <v>0</v>
      </c>
      <c r="H223" s="419">
        <v>0</v>
      </c>
      <c r="I223" s="419">
        <v>0</v>
      </c>
      <c r="J223" s="419">
        <v>0</v>
      </c>
      <c r="K223" s="419">
        <v>0</v>
      </c>
      <c r="L223" s="419">
        <v>0</v>
      </c>
      <c r="M223" s="419">
        <v>0</v>
      </c>
      <c r="N223" s="419">
        <v>0</v>
      </c>
      <c r="O223" s="419">
        <v>0</v>
      </c>
      <c r="P223" s="419">
        <f t="shared" si="41"/>
        <v>0</v>
      </c>
    </row>
    <row r="224" spans="1:16" ht="12.75">
      <c r="A224" s="657"/>
      <c r="B224" s="657" t="s">
        <v>788</v>
      </c>
      <c r="C224" s="657"/>
      <c r="D224" s="419"/>
      <c r="E224" s="419"/>
      <c r="F224" s="419"/>
      <c r="G224" s="419"/>
      <c r="H224" s="419">
        <v>0</v>
      </c>
      <c r="I224" s="419">
        <v>0</v>
      </c>
      <c r="J224" s="419">
        <v>0</v>
      </c>
      <c r="K224" s="419">
        <v>0</v>
      </c>
      <c r="L224" s="419">
        <v>0</v>
      </c>
      <c r="M224" s="419">
        <v>0</v>
      </c>
      <c r="N224" s="419">
        <v>0</v>
      </c>
      <c r="O224" s="419">
        <v>0</v>
      </c>
      <c r="P224" s="419">
        <f t="shared" si="41"/>
        <v>0</v>
      </c>
    </row>
    <row r="225" spans="1:16" ht="12.75">
      <c r="A225" s="657"/>
      <c r="B225" s="657" t="s">
        <v>66</v>
      </c>
      <c r="C225" s="657"/>
      <c r="D225" s="419">
        <f>SUM(D217:D224)</f>
        <v>16437.333</v>
      </c>
      <c r="E225" s="419">
        <f aca="true" t="shared" si="42" ref="E225:P225">SUM(E217:E224)</f>
        <v>16274.564</v>
      </c>
      <c r="F225" s="419">
        <f t="shared" si="42"/>
        <v>16254.268</v>
      </c>
      <c r="G225" s="419">
        <f t="shared" si="42"/>
        <v>16474.791</v>
      </c>
      <c r="H225" s="419">
        <f t="shared" si="42"/>
        <v>16211.932</v>
      </c>
      <c r="I225" s="419">
        <f t="shared" si="42"/>
        <v>17031.565</v>
      </c>
      <c r="J225" s="419">
        <f t="shared" si="42"/>
        <v>16479.298</v>
      </c>
      <c r="K225" s="419">
        <f t="shared" si="42"/>
        <v>16393.999</v>
      </c>
      <c r="L225" s="419">
        <f t="shared" si="42"/>
        <v>17425.799</v>
      </c>
      <c r="M225" s="419">
        <f t="shared" si="42"/>
        <v>16144.83</v>
      </c>
      <c r="N225" s="419">
        <f t="shared" si="42"/>
        <v>15360.35</v>
      </c>
      <c r="O225" s="419">
        <f t="shared" si="42"/>
        <v>-57376.37712</v>
      </c>
      <c r="P225" s="419">
        <f t="shared" si="42"/>
        <v>123112.35188</v>
      </c>
    </row>
    <row r="226" spans="1:16" ht="12.75">
      <c r="A226" s="657" t="s">
        <v>666</v>
      </c>
      <c r="B226" s="657" t="s">
        <v>694</v>
      </c>
      <c r="C226" s="657"/>
      <c r="D226" s="419">
        <v>0</v>
      </c>
      <c r="E226" s="419">
        <v>0</v>
      </c>
      <c r="F226" s="419">
        <v>0</v>
      </c>
      <c r="G226" s="419">
        <v>0</v>
      </c>
      <c r="H226" s="419">
        <v>0</v>
      </c>
      <c r="I226" s="419">
        <v>0</v>
      </c>
      <c r="J226" s="419">
        <v>0</v>
      </c>
      <c r="K226" s="419">
        <v>0</v>
      </c>
      <c r="L226" s="419">
        <v>0</v>
      </c>
      <c r="M226" s="419">
        <v>0</v>
      </c>
      <c r="N226" s="419">
        <v>0</v>
      </c>
      <c r="O226" s="419">
        <v>0</v>
      </c>
      <c r="P226" s="419">
        <f>SUM(D226:O226)</f>
        <v>0</v>
      </c>
    </row>
    <row r="227" spans="1:16" ht="12.75">
      <c r="A227" s="657"/>
      <c r="B227" s="657" t="s">
        <v>678</v>
      </c>
      <c r="C227" s="657"/>
      <c r="D227" s="419">
        <v>36190.501</v>
      </c>
      <c r="E227" s="419">
        <v>35813.033</v>
      </c>
      <c r="F227" s="419">
        <v>33924.413</v>
      </c>
      <c r="G227" s="419">
        <v>33857.317</v>
      </c>
      <c r="H227" s="419">
        <v>34884.633</v>
      </c>
      <c r="I227" s="419">
        <v>37147.801</v>
      </c>
      <c r="J227" s="419">
        <v>33986.001</v>
      </c>
      <c r="K227" s="419">
        <v>34799.3</v>
      </c>
      <c r="L227" s="419">
        <v>38298.567</v>
      </c>
      <c r="M227" s="419">
        <v>33875.634</v>
      </c>
      <c r="N227" s="419">
        <v>33764.055</v>
      </c>
      <c r="O227" s="419">
        <v>38381.917</v>
      </c>
      <c r="P227" s="419">
        <f>SUM(D227:O227)</f>
        <v>424923.172</v>
      </c>
    </row>
    <row r="228" spans="1:16" ht="12.75">
      <c r="A228" s="657"/>
      <c r="B228" s="657" t="s">
        <v>684</v>
      </c>
      <c r="C228" s="657"/>
      <c r="D228" s="419">
        <v>0</v>
      </c>
      <c r="E228" s="419">
        <v>0</v>
      </c>
      <c r="F228" s="419">
        <v>0</v>
      </c>
      <c r="G228" s="419">
        <v>0</v>
      </c>
      <c r="H228" s="419">
        <v>0</v>
      </c>
      <c r="I228" s="419">
        <v>0</v>
      </c>
      <c r="J228" s="419">
        <v>0</v>
      </c>
      <c r="K228" s="419">
        <v>0</v>
      </c>
      <c r="L228" s="419">
        <v>0</v>
      </c>
      <c r="M228" s="419">
        <v>0</v>
      </c>
      <c r="N228" s="419">
        <v>0</v>
      </c>
      <c r="O228" s="419">
        <v>0</v>
      </c>
      <c r="P228" s="419">
        <f aca="true" t="shared" si="43" ref="P228:P233">SUM(D228:O228)</f>
        <v>0</v>
      </c>
    </row>
    <row r="229" spans="1:16" ht="12.75">
      <c r="A229" s="657"/>
      <c r="B229" s="657" t="s">
        <v>685</v>
      </c>
      <c r="C229" s="657"/>
      <c r="D229" s="419">
        <v>0</v>
      </c>
      <c r="E229" s="419">
        <v>0</v>
      </c>
      <c r="F229" s="419">
        <v>0</v>
      </c>
      <c r="G229" s="419">
        <v>0</v>
      </c>
      <c r="H229" s="419">
        <v>0</v>
      </c>
      <c r="I229" s="419">
        <v>0</v>
      </c>
      <c r="J229" s="419">
        <v>0</v>
      </c>
      <c r="K229" s="419">
        <v>0</v>
      </c>
      <c r="L229" s="419">
        <v>0</v>
      </c>
      <c r="M229" s="419">
        <v>0</v>
      </c>
      <c r="N229" s="419">
        <v>0</v>
      </c>
      <c r="O229" s="419">
        <v>0</v>
      </c>
      <c r="P229" s="419">
        <f t="shared" si="43"/>
        <v>0</v>
      </c>
    </row>
    <row r="230" spans="1:16" ht="12.75">
      <c r="A230" s="657"/>
      <c r="B230" s="657" t="s">
        <v>686</v>
      </c>
      <c r="C230" s="657"/>
      <c r="D230" s="419">
        <v>0</v>
      </c>
      <c r="E230" s="419">
        <v>0</v>
      </c>
      <c r="F230" s="419">
        <v>0</v>
      </c>
      <c r="G230" s="419">
        <v>0</v>
      </c>
      <c r="H230" s="419">
        <v>0</v>
      </c>
      <c r="I230" s="419">
        <v>0</v>
      </c>
      <c r="J230" s="419">
        <v>0</v>
      </c>
      <c r="K230" s="419">
        <v>0</v>
      </c>
      <c r="L230" s="419">
        <v>0</v>
      </c>
      <c r="M230" s="419">
        <v>0</v>
      </c>
      <c r="N230" s="419">
        <v>0</v>
      </c>
      <c r="O230" s="419">
        <v>0</v>
      </c>
      <c r="P230" s="419">
        <f t="shared" si="43"/>
        <v>0</v>
      </c>
    </row>
    <row r="231" spans="1:16" ht="12.75">
      <c r="A231" s="657"/>
      <c r="B231" s="657" t="s">
        <v>687</v>
      </c>
      <c r="C231" s="657"/>
      <c r="D231" s="419">
        <v>0</v>
      </c>
      <c r="E231" s="419">
        <v>0</v>
      </c>
      <c r="F231" s="419">
        <v>0</v>
      </c>
      <c r="G231" s="419">
        <v>0</v>
      </c>
      <c r="H231" s="419">
        <v>0</v>
      </c>
      <c r="I231" s="419">
        <v>0</v>
      </c>
      <c r="J231" s="419">
        <v>0</v>
      </c>
      <c r="K231" s="419">
        <v>0</v>
      </c>
      <c r="L231" s="419">
        <v>0</v>
      </c>
      <c r="M231" s="419">
        <v>0</v>
      </c>
      <c r="N231" s="419">
        <v>0</v>
      </c>
      <c r="O231" s="419">
        <v>0</v>
      </c>
      <c r="P231" s="419">
        <f t="shared" si="43"/>
        <v>0</v>
      </c>
    </row>
    <row r="232" spans="1:16" ht="12.75">
      <c r="A232" s="657"/>
      <c r="B232" s="657" t="s">
        <v>688</v>
      </c>
      <c r="C232" s="657"/>
      <c r="D232" s="419">
        <v>0</v>
      </c>
      <c r="E232" s="419">
        <v>0</v>
      </c>
      <c r="F232" s="419">
        <v>0</v>
      </c>
      <c r="G232" s="419">
        <v>0</v>
      </c>
      <c r="H232" s="419">
        <v>0</v>
      </c>
      <c r="I232" s="419">
        <v>0</v>
      </c>
      <c r="J232" s="419">
        <v>0</v>
      </c>
      <c r="K232" s="419">
        <v>0</v>
      </c>
      <c r="L232" s="419">
        <v>0</v>
      </c>
      <c r="M232" s="419">
        <v>0</v>
      </c>
      <c r="N232" s="419">
        <v>0</v>
      </c>
      <c r="O232" s="419">
        <v>0</v>
      </c>
      <c r="P232" s="419">
        <f t="shared" si="43"/>
        <v>0</v>
      </c>
    </row>
    <row r="233" spans="1:16" ht="12.75">
      <c r="A233" s="657"/>
      <c r="B233" s="657" t="s">
        <v>788</v>
      </c>
      <c r="C233" s="657"/>
      <c r="D233" s="419"/>
      <c r="E233" s="419"/>
      <c r="F233" s="419"/>
      <c r="G233" s="419"/>
      <c r="H233" s="419">
        <v>0</v>
      </c>
      <c r="I233" s="419">
        <v>0</v>
      </c>
      <c r="J233" s="419">
        <v>0</v>
      </c>
      <c r="K233" s="419">
        <v>0</v>
      </c>
      <c r="L233" s="419">
        <v>0</v>
      </c>
      <c r="M233" s="419">
        <v>0</v>
      </c>
      <c r="N233" s="419">
        <v>0</v>
      </c>
      <c r="O233" s="419">
        <v>0</v>
      </c>
      <c r="P233" s="419">
        <f t="shared" si="43"/>
        <v>0</v>
      </c>
    </row>
    <row r="234" spans="1:16" ht="12.75">
      <c r="A234" s="657"/>
      <c r="B234" s="657" t="s">
        <v>66</v>
      </c>
      <c r="C234" s="657"/>
      <c r="D234" s="419">
        <f>SUM(D226:D233)</f>
        <v>36190.501</v>
      </c>
      <c r="E234" s="419">
        <f aca="true" t="shared" si="44" ref="E234:P234">SUM(E226:E233)</f>
        <v>35813.033</v>
      </c>
      <c r="F234" s="419">
        <f t="shared" si="44"/>
        <v>33924.413</v>
      </c>
      <c r="G234" s="419">
        <f t="shared" si="44"/>
        <v>33857.317</v>
      </c>
      <c r="H234" s="419">
        <f t="shared" si="44"/>
        <v>34884.633</v>
      </c>
      <c r="I234" s="419">
        <f t="shared" si="44"/>
        <v>37147.801</v>
      </c>
      <c r="J234" s="419">
        <f t="shared" si="44"/>
        <v>33986.001</v>
      </c>
      <c r="K234" s="419">
        <f t="shared" si="44"/>
        <v>34799.3</v>
      </c>
      <c r="L234" s="419">
        <f t="shared" si="44"/>
        <v>38298.567</v>
      </c>
      <c r="M234" s="419">
        <f t="shared" si="44"/>
        <v>33875.634</v>
      </c>
      <c r="N234" s="419">
        <f t="shared" si="44"/>
        <v>33764.055</v>
      </c>
      <c r="O234" s="419">
        <f t="shared" si="44"/>
        <v>38381.917</v>
      </c>
      <c r="P234" s="419">
        <f t="shared" si="44"/>
        <v>424923.172</v>
      </c>
    </row>
    <row r="235" spans="1:16" ht="12.75">
      <c r="A235" s="657" t="s">
        <v>667</v>
      </c>
      <c r="B235" s="657" t="s">
        <v>694</v>
      </c>
      <c r="C235" s="657"/>
      <c r="D235" s="419">
        <v>0</v>
      </c>
      <c r="E235" s="419">
        <v>0</v>
      </c>
      <c r="F235" s="419">
        <v>0</v>
      </c>
      <c r="G235" s="419">
        <v>0</v>
      </c>
      <c r="H235" s="419">
        <v>0</v>
      </c>
      <c r="I235" s="419">
        <v>0</v>
      </c>
      <c r="J235" s="419">
        <v>0</v>
      </c>
      <c r="K235" s="419">
        <v>0</v>
      </c>
      <c r="L235" s="419">
        <v>0</v>
      </c>
      <c r="M235" s="419">
        <v>0</v>
      </c>
      <c r="N235" s="419">
        <v>0</v>
      </c>
      <c r="O235" s="419">
        <v>0</v>
      </c>
      <c r="P235" s="419">
        <f>SUM(D235:O235)</f>
        <v>0</v>
      </c>
    </row>
    <row r="236" spans="1:16" ht="12.75">
      <c r="A236" s="657"/>
      <c r="B236" s="657" t="s">
        <v>678</v>
      </c>
      <c r="C236" s="657"/>
      <c r="D236" s="419">
        <v>94723.863</v>
      </c>
      <c r="E236" s="419">
        <v>87020.866</v>
      </c>
      <c r="F236" s="419">
        <v>82039.503</v>
      </c>
      <c r="G236" s="419">
        <v>94277.933</v>
      </c>
      <c r="H236" s="419">
        <v>69727.032</v>
      </c>
      <c r="I236" s="419">
        <v>87191.265</v>
      </c>
      <c r="J236" s="419">
        <v>88913.098</v>
      </c>
      <c r="K236" s="419">
        <v>84810.833</v>
      </c>
      <c r="L236" s="419">
        <v>90197.163</v>
      </c>
      <c r="M236" s="419">
        <v>87190.631</v>
      </c>
      <c r="N236" s="419">
        <v>83214.792</v>
      </c>
      <c r="O236" s="419">
        <v>92626.005</v>
      </c>
      <c r="P236" s="419">
        <f>SUM(D236:O236)</f>
        <v>1041932.9840000002</v>
      </c>
    </row>
    <row r="237" spans="1:16" ht="12.75">
      <c r="A237" s="657"/>
      <c r="B237" s="657" t="s">
        <v>684</v>
      </c>
      <c r="C237" s="657"/>
      <c r="D237" s="419">
        <v>0</v>
      </c>
      <c r="E237" s="419">
        <v>0</v>
      </c>
      <c r="F237" s="419">
        <v>0</v>
      </c>
      <c r="G237" s="419">
        <v>0</v>
      </c>
      <c r="H237" s="419">
        <v>0</v>
      </c>
      <c r="I237" s="419">
        <v>0</v>
      </c>
      <c r="J237" s="419">
        <v>0</v>
      </c>
      <c r="K237" s="419">
        <v>0</v>
      </c>
      <c r="L237" s="419">
        <v>0</v>
      </c>
      <c r="M237" s="419">
        <v>0</v>
      </c>
      <c r="N237" s="419">
        <v>0</v>
      </c>
      <c r="O237" s="419">
        <v>0</v>
      </c>
      <c r="P237" s="419">
        <f aca="true" t="shared" si="45" ref="P237:P242">SUM(D237:O237)</f>
        <v>0</v>
      </c>
    </row>
    <row r="238" spans="1:16" ht="12.75">
      <c r="A238" s="657"/>
      <c r="B238" s="657" t="s">
        <v>685</v>
      </c>
      <c r="C238" s="657"/>
      <c r="D238" s="419">
        <v>0</v>
      </c>
      <c r="E238" s="419">
        <v>0</v>
      </c>
      <c r="F238" s="419">
        <v>0</v>
      </c>
      <c r="G238" s="419">
        <v>0</v>
      </c>
      <c r="H238" s="419">
        <v>0</v>
      </c>
      <c r="I238" s="419">
        <v>0</v>
      </c>
      <c r="J238" s="419">
        <v>0</v>
      </c>
      <c r="K238" s="419">
        <v>0</v>
      </c>
      <c r="L238" s="419">
        <v>0</v>
      </c>
      <c r="M238" s="419">
        <v>0</v>
      </c>
      <c r="N238" s="419">
        <v>0</v>
      </c>
      <c r="O238" s="419">
        <v>0</v>
      </c>
      <c r="P238" s="419">
        <f t="shared" si="45"/>
        <v>0</v>
      </c>
    </row>
    <row r="239" spans="1:16" ht="12.75">
      <c r="A239" s="657"/>
      <c r="B239" s="657" t="s">
        <v>686</v>
      </c>
      <c r="C239" s="657"/>
      <c r="D239" s="419">
        <v>0</v>
      </c>
      <c r="E239" s="419">
        <v>0</v>
      </c>
      <c r="F239" s="419">
        <v>0</v>
      </c>
      <c r="G239" s="419">
        <v>0</v>
      </c>
      <c r="H239" s="419">
        <v>0</v>
      </c>
      <c r="I239" s="419">
        <v>0</v>
      </c>
      <c r="J239" s="419">
        <v>0</v>
      </c>
      <c r="K239" s="419">
        <v>0</v>
      </c>
      <c r="L239" s="419">
        <v>0</v>
      </c>
      <c r="M239" s="419">
        <v>0</v>
      </c>
      <c r="N239" s="419">
        <v>0</v>
      </c>
      <c r="O239" s="419">
        <v>0</v>
      </c>
      <c r="P239" s="419">
        <f t="shared" si="45"/>
        <v>0</v>
      </c>
    </row>
    <row r="240" spans="1:16" ht="12.75">
      <c r="A240" s="657"/>
      <c r="B240" s="657" t="s">
        <v>687</v>
      </c>
      <c r="C240" s="657"/>
      <c r="D240" s="419">
        <v>0</v>
      </c>
      <c r="E240" s="419">
        <v>0</v>
      </c>
      <c r="F240" s="419">
        <v>0</v>
      </c>
      <c r="G240" s="419">
        <v>0</v>
      </c>
      <c r="H240" s="419">
        <v>0</v>
      </c>
      <c r="I240" s="419">
        <v>0</v>
      </c>
      <c r="J240" s="419">
        <v>0</v>
      </c>
      <c r="K240" s="419">
        <v>0</v>
      </c>
      <c r="L240" s="419">
        <v>0</v>
      </c>
      <c r="M240" s="419">
        <v>0</v>
      </c>
      <c r="N240" s="419">
        <v>0</v>
      </c>
      <c r="O240" s="419">
        <v>0</v>
      </c>
      <c r="P240" s="419">
        <f t="shared" si="45"/>
        <v>0</v>
      </c>
    </row>
    <row r="241" spans="1:16" ht="12.75">
      <c r="A241" s="657"/>
      <c r="B241" s="657" t="s">
        <v>688</v>
      </c>
      <c r="C241" s="657"/>
      <c r="D241" s="419">
        <v>0</v>
      </c>
      <c r="E241" s="419">
        <v>0</v>
      </c>
      <c r="F241" s="419">
        <v>0</v>
      </c>
      <c r="G241" s="419">
        <v>0</v>
      </c>
      <c r="H241" s="419">
        <v>0</v>
      </c>
      <c r="I241" s="419">
        <v>0</v>
      </c>
      <c r="J241" s="419">
        <v>0</v>
      </c>
      <c r="K241" s="419">
        <v>0</v>
      </c>
      <c r="L241" s="419">
        <v>0</v>
      </c>
      <c r="M241" s="419">
        <v>0</v>
      </c>
      <c r="N241" s="419">
        <v>0</v>
      </c>
      <c r="O241" s="419">
        <v>0</v>
      </c>
      <c r="P241" s="419">
        <f t="shared" si="45"/>
        <v>0</v>
      </c>
    </row>
    <row r="242" spans="1:16" ht="12.75">
      <c r="A242" s="657"/>
      <c r="B242" s="657" t="s">
        <v>788</v>
      </c>
      <c r="C242" s="657"/>
      <c r="D242" s="419"/>
      <c r="E242" s="419"/>
      <c r="F242" s="419"/>
      <c r="G242" s="419"/>
      <c r="H242" s="419">
        <v>0</v>
      </c>
      <c r="I242" s="419">
        <v>0</v>
      </c>
      <c r="J242" s="419">
        <v>0</v>
      </c>
      <c r="K242" s="419">
        <v>0</v>
      </c>
      <c r="L242" s="419">
        <v>0</v>
      </c>
      <c r="M242" s="419">
        <v>0</v>
      </c>
      <c r="N242" s="419">
        <v>0</v>
      </c>
      <c r="O242" s="419">
        <v>0</v>
      </c>
      <c r="P242" s="419">
        <f t="shared" si="45"/>
        <v>0</v>
      </c>
    </row>
    <row r="243" spans="1:16" ht="12.75">
      <c r="A243" s="657"/>
      <c r="B243" s="657" t="s">
        <v>66</v>
      </c>
      <c r="C243" s="657"/>
      <c r="D243" s="419">
        <f>SUM(D235:D242)</f>
        <v>94723.863</v>
      </c>
      <c r="E243" s="419">
        <f aca="true" t="shared" si="46" ref="E243:O243">SUM(E235:E242)</f>
        <v>87020.866</v>
      </c>
      <c r="F243" s="419">
        <f t="shared" si="46"/>
        <v>82039.503</v>
      </c>
      <c r="G243" s="419">
        <f t="shared" si="46"/>
        <v>94277.933</v>
      </c>
      <c r="H243" s="419">
        <f t="shared" si="46"/>
        <v>69727.032</v>
      </c>
      <c r="I243" s="419">
        <f t="shared" si="46"/>
        <v>87191.265</v>
      </c>
      <c r="J243" s="419">
        <f t="shared" si="46"/>
        <v>88913.098</v>
      </c>
      <c r="K243" s="419">
        <f t="shared" si="46"/>
        <v>84810.833</v>
      </c>
      <c r="L243" s="419">
        <f t="shared" si="46"/>
        <v>90197.163</v>
      </c>
      <c r="M243" s="419">
        <f t="shared" si="46"/>
        <v>87190.631</v>
      </c>
      <c r="N243" s="419">
        <f t="shared" si="46"/>
        <v>83214.792</v>
      </c>
      <c r="O243" s="419">
        <f t="shared" si="46"/>
        <v>92626.005</v>
      </c>
      <c r="P243" s="419">
        <f>SUM(P235:P242)</f>
        <v>1041932.9840000002</v>
      </c>
    </row>
    <row r="244" spans="1:16" ht="12.75">
      <c r="A244" s="657" t="s">
        <v>668</v>
      </c>
      <c r="B244" s="657" t="s">
        <v>694</v>
      </c>
      <c r="C244" s="657"/>
      <c r="D244" s="419">
        <v>0</v>
      </c>
      <c r="E244" s="419">
        <v>0</v>
      </c>
      <c r="F244" s="419">
        <v>0</v>
      </c>
      <c r="G244" s="419">
        <v>0</v>
      </c>
      <c r="H244" s="419">
        <v>0</v>
      </c>
      <c r="I244" s="419">
        <v>0</v>
      </c>
      <c r="J244" s="419">
        <v>0</v>
      </c>
      <c r="K244" s="419">
        <v>0</v>
      </c>
      <c r="L244" s="419">
        <v>0</v>
      </c>
      <c r="M244" s="419">
        <v>0</v>
      </c>
      <c r="N244" s="419">
        <v>0</v>
      </c>
      <c r="O244" s="419">
        <v>0</v>
      </c>
      <c r="P244" s="419">
        <f>SUM(D244:O244)</f>
        <v>0</v>
      </c>
    </row>
    <row r="245" spans="1:16" ht="12.75">
      <c r="A245" s="657"/>
      <c r="B245" s="657" t="s">
        <v>678</v>
      </c>
      <c r="C245" s="657"/>
      <c r="D245" s="419">
        <v>423839.931</v>
      </c>
      <c r="E245" s="419">
        <v>387188.757</v>
      </c>
      <c r="F245" s="419">
        <v>388239.982</v>
      </c>
      <c r="G245" s="419">
        <v>379370.27592</v>
      </c>
      <c r="H245" s="419">
        <v>393289.642</v>
      </c>
      <c r="I245" s="419">
        <v>395650.48799</v>
      </c>
      <c r="J245" s="419">
        <v>391992.748</v>
      </c>
      <c r="K245" s="419">
        <v>391199.821</v>
      </c>
      <c r="L245" s="419">
        <v>405301.934</v>
      </c>
      <c r="M245" s="419">
        <v>382397.596</v>
      </c>
      <c r="N245" s="419">
        <v>375705.80822</v>
      </c>
      <c r="O245" s="419">
        <v>418658.964</v>
      </c>
      <c r="P245" s="419">
        <f>SUM(D245:O245)</f>
        <v>4732835.947129999</v>
      </c>
    </row>
    <row r="246" spans="1:16" ht="12.75">
      <c r="A246" s="657"/>
      <c r="B246" s="657" t="s">
        <v>684</v>
      </c>
      <c r="C246" s="657"/>
      <c r="D246" s="419">
        <v>0</v>
      </c>
      <c r="E246" s="419">
        <v>0</v>
      </c>
      <c r="F246" s="419">
        <v>0</v>
      </c>
      <c r="G246" s="419">
        <v>0</v>
      </c>
      <c r="H246" s="419">
        <v>0</v>
      </c>
      <c r="I246" s="419">
        <v>0</v>
      </c>
      <c r="J246" s="419">
        <v>0</v>
      </c>
      <c r="K246" s="419">
        <v>0</v>
      </c>
      <c r="L246" s="419">
        <v>0</v>
      </c>
      <c r="M246" s="419">
        <v>0</v>
      </c>
      <c r="N246" s="419">
        <v>0</v>
      </c>
      <c r="O246" s="419">
        <v>0</v>
      </c>
      <c r="P246" s="419">
        <f aca="true" t="shared" si="47" ref="P246:P251">SUM(D246:O246)</f>
        <v>0</v>
      </c>
    </row>
    <row r="247" spans="1:16" ht="12.75">
      <c r="A247" s="657"/>
      <c r="B247" s="657" t="s">
        <v>685</v>
      </c>
      <c r="C247" s="657"/>
      <c r="D247" s="419">
        <v>0</v>
      </c>
      <c r="E247" s="419">
        <v>0</v>
      </c>
      <c r="F247" s="419">
        <v>0</v>
      </c>
      <c r="G247" s="419">
        <v>0</v>
      </c>
      <c r="H247" s="419">
        <v>0</v>
      </c>
      <c r="I247" s="419">
        <v>0</v>
      </c>
      <c r="J247" s="419">
        <v>0</v>
      </c>
      <c r="K247" s="419">
        <v>0</v>
      </c>
      <c r="L247" s="419">
        <v>0</v>
      </c>
      <c r="M247" s="419">
        <v>0</v>
      </c>
      <c r="N247" s="419">
        <v>0</v>
      </c>
      <c r="O247" s="419">
        <v>0</v>
      </c>
      <c r="P247" s="419">
        <f t="shared" si="47"/>
        <v>0</v>
      </c>
    </row>
    <row r="248" spans="1:16" ht="12.75">
      <c r="A248" s="657"/>
      <c r="B248" s="657" t="s">
        <v>686</v>
      </c>
      <c r="C248" s="657"/>
      <c r="D248" s="419">
        <v>0</v>
      </c>
      <c r="E248" s="419">
        <v>0</v>
      </c>
      <c r="F248" s="419">
        <v>0</v>
      </c>
      <c r="G248" s="419">
        <v>0</v>
      </c>
      <c r="H248" s="419">
        <v>0</v>
      </c>
      <c r="I248" s="419">
        <v>0</v>
      </c>
      <c r="J248" s="419">
        <v>0</v>
      </c>
      <c r="K248" s="419">
        <v>0</v>
      </c>
      <c r="L248" s="419">
        <v>0</v>
      </c>
      <c r="M248" s="419">
        <v>0</v>
      </c>
      <c r="N248" s="419">
        <v>0</v>
      </c>
      <c r="O248" s="419">
        <v>0</v>
      </c>
      <c r="P248" s="419">
        <f t="shared" si="47"/>
        <v>0</v>
      </c>
    </row>
    <row r="249" spans="1:16" ht="12.75">
      <c r="A249" s="657"/>
      <c r="B249" s="657" t="s">
        <v>687</v>
      </c>
      <c r="C249" s="657"/>
      <c r="D249" s="419">
        <v>0</v>
      </c>
      <c r="E249" s="419">
        <v>0</v>
      </c>
      <c r="F249" s="419">
        <v>0</v>
      </c>
      <c r="G249" s="419">
        <v>0</v>
      </c>
      <c r="H249" s="419">
        <v>0</v>
      </c>
      <c r="I249" s="419">
        <v>0</v>
      </c>
      <c r="J249" s="419">
        <v>0</v>
      </c>
      <c r="K249" s="419">
        <v>0</v>
      </c>
      <c r="L249" s="419">
        <v>0</v>
      </c>
      <c r="M249" s="419">
        <v>0</v>
      </c>
      <c r="N249" s="419">
        <v>0</v>
      </c>
      <c r="O249" s="419">
        <v>0</v>
      </c>
      <c r="P249" s="419">
        <f t="shared" si="47"/>
        <v>0</v>
      </c>
    </row>
    <row r="250" spans="1:16" ht="12.75">
      <c r="A250" s="657"/>
      <c r="B250" s="657" t="s">
        <v>688</v>
      </c>
      <c r="C250" s="657"/>
      <c r="D250" s="419">
        <v>0</v>
      </c>
      <c r="E250" s="419">
        <v>0</v>
      </c>
      <c r="F250" s="419">
        <v>0</v>
      </c>
      <c r="G250" s="419">
        <v>0</v>
      </c>
      <c r="H250" s="419">
        <v>0</v>
      </c>
      <c r="I250" s="419">
        <v>0</v>
      </c>
      <c r="J250" s="419">
        <v>0</v>
      </c>
      <c r="K250" s="419">
        <v>0</v>
      </c>
      <c r="L250" s="419">
        <v>0</v>
      </c>
      <c r="M250" s="419">
        <v>0</v>
      </c>
      <c r="N250" s="419">
        <v>0</v>
      </c>
      <c r="O250" s="419">
        <v>0</v>
      </c>
      <c r="P250" s="419">
        <f t="shared" si="47"/>
        <v>0</v>
      </c>
    </row>
    <row r="251" spans="1:16" ht="12.75">
      <c r="A251" s="657"/>
      <c r="B251" s="657" t="s">
        <v>788</v>
      </c>
      <c r="C251" s="657"/>
      <c r="D251" s="419"/>
      <c r="E251" s="419"/>
      <c r="F251" s="419"/>
      <c r="G251" s="419"/>
      <c r="H251" s="419">
        <v>0</v>
      </c>
      <c r="I251" s="419">
        <v>0</v>
      </c>
      <c r="J251" s="419">
        <v>0</v>
      </c>
      <c r="K251" s="419">
        <v>0</v>
      </c>
      <c r="L251" s="419">
        <v>0</v>
      </c>
      <c r="M251" s="419">
        <v>0</v>
      </c>
      <c r="N251" s="419">
        <v>0</v>
      </c>
      <c r="O251" s="419">
        <v>0</v>
      </c>
      <c r="P251" s="419">
        <f t="shared" si="47"/>
        <v>0</v>
      </c>
    </row>
    <row r="252" spans="1:16" ht="12.75">
      <c r="A252" s="657"/>
      <c r="B252" s="657" t="s">
        <v>66</v>
      </c>
      <c r="C252" s="657"/>
      <c r="D252" s="419">
        <f>SUM(D244:D251)</f>
        <v>423839.931</v>
      </c>
      <c r="E252" s="419">
        <f aca="true" t="shared" si="48" ref="E252:P252">SUM(E244:E251)</f>
        <v>387188.757</v>
      </c>
      <c r="F252" s="419">
        <f t="shared" si="48"/>
        <v>388239.982</v>
      </c>
      <c r="G252" s="419">
        <f t="shared" si="48"/>
        <v>379370.27592</v>
      </c>
      <c r="H252" s="419">
        <f t="shared" si="48"/>
        <v>393289.642</v>
      </c>
      <c r="I252" s="419">
        <f t="shared" si="48"/>
        <v>395650.48799</v>
      </c>
      <c r="J252" s="419">
        <f t="shared" si="48"/>
        <v>391992.748</v>
      </c>
      <c r="K252" s="419">
        <f t="shared" si="48"/>
        <v>391199.821</v>
      </c>
      <c r="L252" s="419">
        <f t="shared" si="48"/>
        <v>405301.934</v>
      </c>
      <c r="M252" s="419">
        <f t="shared" si="48"/>
        <v>382397.596</v>
      </c>
      <c r="N252" s="419">
        <f t="shared" si="48"/>
        <v>375705.80822</v>
      </c>
      <c r="O252" s="419">
        <f t="shared" si="48"/>
        <v>418658.964</v>
      </c>
      <c r="P252" s="419">
        <f t="shared" si="48"/>
        <v>4732835.947129999</v>
      </c>
    </row>
    <row r="253" spans="1:16" ht="12.75">
      <c r="A253" s="657" t="s">
        <v>669</v>
      </c>
      <c r="B253" s="657" t="s">
        <v>694</v>
      </c>
      <c r="C253" s="657"/>
      <c r="D253" s="419">
        <v>0</v>
      </c>
      <c r="E253" s="419">
        <v>0</v>
      </c>
      <c r="F253" s="419">
        <v>0</v>
      </c>
      <c r="G253" s="419">
        <v>0</v>
      </c>
      <c r="H253" s="419">
        <v>0</v>
      </c>
      <c r="I253" s="419">
        <v>0</v>
      </c>
      <c r="J253" s="419">
        <v>0</v>
      </c>
      <c r="K253" s="419">
        <v>0</v>
      </c>
      <c r="L253" s="419">
        <v>0</v>
      </c>
      <c r="M253" s="419">
        <v>0</v>
      </c>
      <c r="N253" s="419">
        <v>0</v>
      </c>
      <c r="O253" s="419">
        <v>0</v>
      </c>
      <c r="P253" s="419">
        <f>SUM(D253:O253)</f>
        <v>0</v>
      </c>
    </row>
    <row r="254" spans="1:16" ht="12.75">
      <c r="A254" s="657"/>
      <c r="B254" s="657" t="s">
        <v>678</v>
      </c>
      <c r="C254" s="657"/>
      <c r="D254" s="419">
        <v>220619.039</v>
      </c>
      <c r="E254" s="419">
        <v>201931.54629</v>
      </c>
      <c r="F254" s="419">
        <v>203174.648</v>
      </c>
      <c r="G254" s="419">
        <v>207838.198</v>
      </c>
      <c r="H254" s="419">
        <v>204366.979</v>
      </c>
      <c r="I254" s="419">
        <v>209330.765</v>
      </c>
      <c r="J254" s="419">
        <v>211160.428</v>
      </c>
      <c r="K254" s="419">
        <v>206632.553</v>
      </c>
      <c r="L254" s="419">
        <v>214611.438</v>
      </c>
      <c r="M254" s="419">
        <v>200868.768</v>
      </c>
      <c r="N254" s="419">
        <v>199402.976</v>
      </c>
      <c r="O254" s="419">
        <v>219307.838</v>
      </c>
      <c r="P254" s="419">
        <f>SUM(D254:O254)</f>
        <v>2499245.17629</v>
      </c>
    </row>
    <row r="255" spans="1:16" ht="12.75">
      <c r="A255" s="657"/>
      <c r="B255" s="657" t="s">
        <v>683</v>
      </c>
      <c r="C255" s="657"/>
      <c r="D255" s="419">
        <v>0</v>
      </c>
      <c r="E255" s="419">
        <v>0</v>
      </c>
      <c r="F255" s="419">
        <v>0</v>
      </c>
      <c r="G255" s="419">
        <v>0</v>
      </c>
      <c r="H255" s="419">
        <v>0</v>
      </c>
      <c r="I255" s="419">
        <v>0</v>
      </c>
      <c r="J255" s="419">
        <v>0</v>
      </c>
      <c r="K255" s="419">
        <v>0</v>
      </c>
      <c r="L255" s="419">
        <v>0</v>
      </c>
      <c r="M255" s="419">
        <v>0</v>
      </c>
      <c r="N255" s="419">
        <v>0</v>
      </c>
      <c r="O255" s="419">
        <v>0</v>
      </c>
      <c r="P255" s="419">
        <f aca="true" t="shared" si="49" ref="P255:P261">SUM(D255:O255)</f>
        <v>0</v>
      </c>
    </row>
    <row r="256" spans="1:16" ht="12.75">
      <c r="A256" s="657"/>
      <c r="B256" s="657" t="s">
        <v>684</v>
      </c>
      <c r="C256" s="657"/>
      <c r="D256" s="419">
        <v>0</v>
      </c>
      <c r="E256" s="419">
        <v>0</v>
      </c>
      <c r="F256" s="419">
        <v>0</v>
      </c>
      <c r="G256" s="419">
        <v>0</v>
      </c>
      <c r="H256" s="419">
        <v>0</v>
      </c>
      <c r="I256" s="419">
        <v>0</v>
      </c>
      <c r="J256" s="419">
        <v>0</v>
      </c>
      <c r="K256" s="419">
        <v>0</v>
      </c>
      <c r="L256" s="419">
        <v>0</v>
      </c>
      <c r="M256" s="419">
        <v>0</v>
      </c>
      <c r="N256" s="419">
        <v>0</v>
      </c>
      <c r="O256" s="419">
        <v>0</v>
      </c>
      <c r="P256" s="419">
        <f t="shared" si="49"/>
        <v>0</v>
      </c>
    </row>
    <row r="257" spans="1:16" ht="12.75">
      <c r="A257" s="657"/>
      <c r="B257" s="657" t="s">
        <v>685</v>
      </c>
      <c r="C257" s="657"/>
      <c r="D257" s="419">
        <v>0</v>
      </c>
      <c r="E257" s="419">
        <v>0</v>
      </c>
      <c r="F257" s="419">
        <v>0</v>
      </c>
      <c r="G257" s="419">
        <v>0</v>
      </c>
      <c r="H257" s="419">
        <v>0</v>
      </c>
      <c r="I257" s="419">
        <v>0</v>
      </c>
      <c r="J257" s="419">
        <v>0</v>
      </c>
      <c r="K257" s="419">
        <v>0</v>
      </c>
      <c r="L257" s="419">
        <v>0</v>
      </c>
      <c r="M257" s="419">
        <v>0</v>
      </c>
      <c r="N257" s="419">
        <v>0</v>
      </c>
      <c r="O257" s="419">
        <v>0</v>
      </c>
      <c r="P257" s="419">
        <f t="shared" si="49"/>
        <v>0</v>
      </c>
    </row>
    <row r="258" spans="1:16" ht="12.75">
      <c r="A258" s="657"/>
      <c r="B258" s="657" t="s">
        <v>686</v>
      </c>
      <c r="C258" s="657"/>
      <c r="D258" s="419">
        <v>0</v>
      </c>
      <c r="E258" s="419">
        <v>0</v>
      </c>
      <c r="F258" s="419">
        <v>0</v>
      </c>
      <c r="G258" s="419">
        <v>0</v>
      </c>
      <c r="H258" s="419">
        <v>0</v>
      </c>
      <c r="I258" s="419">
        <v>0</v>
      </c>
      <c r="J258" s="419">
        <v>0</v>
      </c>
      <c r="K258" s="419">
        <v>0</v>
      </c>
      <c r="L258" s="419">
        <v>0</v>
      </c>
      <c r="M258" s="419">
        <v>0</v>
      </c>
      <c r="N258" s="419">
        <v>0</v>
      </c>
      <c r="O258" s="419">
        <v>0</v>
      </c>
      <c r="P258" s="419">
        <f t="shared" si="49"/>
        <v>0</v>
      </c>
    </row>
    <row r="259" spans="1:16" ht="12.75">
      <c r="A259" s="657"/>
      <c r="B259" s="657" t="s">
        <v>687</v>
      </c>
      <c r="C259" s="657"/>
      <c r="D259" s="419">
        <v>0</v>
      </c>
      <c r="E259" s="419">
        <v>0</v>
      </c>
      <c r="F259" s="419">
        <v>0</v>
      </c>
      <c r="G259" s="419">
        <v>0</v>
      </c>
      <c r="H259" s="419">
        <v>0</v>
      </c>
      <c r="I259" s="419">
        <v>0</v>
      </c>
      <c r="J259" s="419">
        <v>0</v>
      </c>
      <c r="K259" s="419">
        <v>0</v>
      </c>
      <c r="L259" s="419">
        <v>0</v>
      </c>
      <c r="M259" s="419">
        <v>0</v>
      </c>
      <c r="N259" s="419">
        <v>0</v>
      </c>
      <c r="O259" s="419">
        <v>0</v>
      </c>
      <c r="P259" s="419">
        <f t="shared" si="49"/>
        <v>0</v>
      </c>
    </row>
    <row r="260" spans="1:16" ht="12.75">
      <c r="A260" s="657"/>
      <c r="B260" s="657" t="s">
        <v>688</v>
      </c>
      <c r="C260" s="657"/>
      <c r="D260" s="419">
        <v>0</v>
      </c>
      <c r="E260" s="419">
        <v>0</v>
      </c>
      <c r="F260" s="419">
        <v>0</v>
      </c>
      <c r="G260" s="419">
        <v>0</v>
      </c>
      <c r="H260" s="419">
        <v>0</v>
      </c>
      <c r="I260" s="419">
        <v>0</v>
      </c>
      <c r="J260" s="419">
        <v>0</v>
      </c>
      <c r="K260" s="419">
        <v>0</v>
      </c>
      <c r="L260" s="419">
        <v>0</v>
      </c>
      <c r="M260" s="419">
        <v>0</v>
      </c>
      <c r="N260" s="419">
        <v>0</v>
      </c>
      <c r="O260" s="419">
        <v>0</v>
      </c>
      <c r="P260" s="419">
        <f t="shared" si="49"/>
        <v>0</v>
      </c>
    </row>
    <row r="261" spans="1:16" ht="12.75">
      <c r="A261" s="657"/>
      <c r="B261" s="657" t="s">
        <v>788</v>
      </c>
      <c r="C261" s="657"/>
      <c r="D261" s="419"/>
      <c r="E261" s="419"/>
      <c r="F261" s="419"/>
      <c r="G261" s="419"/>
      <c r="H261" s="419">
        <v>0</v>
      </c>
      <c r="I261" s="419">
        <v>0</v>
      </c>
      <c r="J261" s="419">
        <v>0</v>
      </c>
      <c r="K261" s="419">
        <v>0</v>
      </c>
      <c r="L261" s="419">
        <v>0</v>
      </c>
      <c r="M261" s="419">
        <v>0</v>
      </c>
      <c r="N261" s="419">
        <v>0</v>
      </c>
      <c r="O261" s="419">
        <v>0</v>
      </c>
      <c r="P261" s="419">
        <f t="shared" si="49"/>
        <v>0</v>
      </c>
    </row>
    <row r="262" spans="1:16" ht="12.75">
      <c r="A262" s="657"/>
      <c r="B262" s="657" t="s">
        <v>66</v>
      </c>
      <c r="C262" s="657"/>
      <c r="D262" s="419">
        <f>SUM(D253:D261)</f>
        <v>220619.039</v>
      </c>
      <c r="E262" s="419">
        <f aca="true" t="shared" si="50" ref="E262:P262">SUM(E253:E261)</f>
        <v>201931.54629</v>
      </c>
      <c r="F262" s="419">
        <f t="shared" si="50"/>
        <v>203174.648</v>
      </c>
      <c r="G262" s="419">
        <f t="shared" si="50"/>
        <v>207838.198</v>
      </c>
      <c r="H262" s="419">
        <f t="shared" si="50"/>
        <v>204366.979</v>
      </c>
      <c r="I262" s="419">
        <f t="shared" si="50"/>
        <v>209330.765</v>
      </c>
      <c r="J262" s="419">
        <f t="shared" si="50"/>
        <v>211160.428</v>
      </c>
      <c r="K262" s="419">
        <f t="shared" si="50"/>
        <v>206632.553</v>
      </c>
      <c r="L262" s="419">
        <f t="shared" si="50"/>
        <v>214611.438</v>
      </c>
      <c r="M262" s="419">
        <f t="shared" si="50"/>
        <v>200868.768</v>
      </c>
      <c r="N262" s="419">
        <f t="shared" si="50"/>
        <v>199402.976</v>
      </c>
      <c r="O262" s="419">
        <f t="shared" si="50"/>
        <v>219307.838</v>
      </c>
      <c r="P262" s="419">
        <f t="shared" si="50"/>
        <v>2499245.17629</v>
      </c>
    </row>
    <row r="263" spans="1:16" ht="12.75">
      <c r="A263" s="657" t="s">
        <v>670</v>
      </c>
      <c r="B263" s="657" t="s">
        <v>695</v>
      </c>
      <c r="C263" s="657"/>
      <c r="D263" s="419">
        <v>0</v>
      </c>
      <c r="E263" s="419">
        <v>0</v>
      </c>
      <c r="F263" s="419">
        <v>0</v>
      </c>
      <c r="G263" s="419">
        <v>0</v>
      </c>
      <c r="H263" s="419">
        <v>0</v>
      </c>
      <c r="I263" s="419">
        <v>0</v>
      </c>
      <c r="J263" s="419">
        <v>0</v>
      </c>
      <c r="K263" s="419">
        <v>0</v>
      </c>
      <c r="L263" s="419">
        <v>0</v>
      </c>
      <c r="M263" s="419">
        <v>0</v>
      </c>
      <c r="N263" s="419">
        <v>0</v>
      </c>
      <c r="O263" s="419">
        <v>0</v>
      </c>
      <c r="P263" s="419">
        <v>0</v>
      </c>
    </row>
    <row r="264" spans="1:16" ht="12.75">
      <c r="A264" s="657"/>
      <c r="B264" s="657" t="s">
        <v>678</v>
      </c>
      <c r="C264" s="657"/>
      <c r="D264" s="419"/>
      <c r="E264" s="419"/>
      <c r="F264" s="419">
        <v>0</v>
      </c>
      <c r="G264" s="419">
        <v>0</v>
      </c>
      <c r="H264" s="419">
        <v>0</v>
      </c>
      <c r="I264" s="419">
        <v>0</v>
      </c>
      <c r="J264" s="419">
        <v>0</v>
      </c>
      <c r="K264" s="419">
        <v>0</v>
      </c>
      <c r="L264" s="419">
        <v>0</v>
      </c>
      <c r="M264" s="419">
        <v>0</v>
      </c>
      <c r="N264" s="419">
        <v>0</v>
      </c>
      <c r="O264" s="419">
        <v>0</v>
      </c>
      <c r="P264" s="419">
        <v>0</v>
      </c>
    </row>
    <row r="265" spans="1:16" ht="12.75">
      <c r="A265" s="657"/>
      <c r="B265" s="657" t="s">
        <v>66</v>
      </c>
      <c r="C265" s="657"/>
      <c r="D265" s="419">
        <v>0</v>
      </c>
      <c r="E265" s="419">
        <v>0</v>
      </c>
      <c r="F265" s="419">
        <v>0</v>
      </c>
      <c r="G265" s="419">
        <v>0</v>
      </c>
      <c r="H265" s="419">
        <v>0</v>
      </c>
      <c r="I265" s="419">
        <v>0</v>
      </c>
      <c r="J265" s="419">
        <v>0</v>
      </c>
      <c r="K265" s="419">
        <v>0</v>
      </c>
      <c r="L265" s="419">
        <v>0</v>
      </c>
      <c r="M265" s="419">
        <v>0</v>
      </c>
      <c r="N265" s="419">
        <v>0</v>
      </c>
      <c r="O265" s="419">
        <v>0</v>
      </c>
      <c r="P265" s="419">
        <v>0</v>
      </c>
    </row>
    <row r="266" spans="1:16" ht="12.75">
      <c r="A266" s="657" t="s">
        <v>671</v>
      </c>
      <c r="B266" s="657" t="s">
        <v>695</v>
      </c>
      <c r="C266" s="657"/>
      <c r="D266" s="419">
        <v>0</v>
      </c>
      <c r="E266" s="419">
        <v>0</v>
      </c>
      <c r="F266" s="419">
        <v>0</v>
      </c>
      <c r="G266" s="419">
        <v>0</v>
      </c>
      <c r="H266" s="419">
        <v>0</v>
      </c>
      <c r="I266" s="419">
        <v>0</v>
      </c>
      <c r="J266" s="419">
        <v>0</v>
      </c>
      <c r="K266" s="419">
        <v>0</v>
      </c>
      <c r="L266" s="419">
        <v>0</v>
      </c>
      <c r="M266" s="419">
        <v>0</v>
      </c>
      <c r="N266" s="419">
        <v>0</v>
      </c>
      <c r="O266" s="419">
        <v>0</v>
      </c>
      <c r="P266" s="419">
        <v>0</v>
      </c>
    </row>
    <row r="267" spans="2:16" s="685" customFormat="1" ht="12.75">
      <c r="B267" s="685" t="s">
        <v>66</v>
      </c>
      <c r="D267" s="419">
        <v>0</v>
      </c>
      <c r="E267" s="419">
        <v>0</v>
      </c>
      <c r="F267" s="419">
        <v>0</v>
      </c>
      <c r="G267" s="419">
        <v>0</v>
      </c>
      <c r="H267" s="419">
        <v>0</v>
      </c>
      <c r="I267" s="419">
        <v>0</v>
      </c>
      <c r="J267" s="419">
        <v>0</v>
      </c>
      <c r="K267" s="419">
        <v>0</v>
      </c>
      <c r="L267" s="419">
        <v>0</v>
      </c>
      <c r="M267" s="419">
        <v>0</v>
      </c>
      <c r="N267" s="419">
        <v>0</v>
      </c>
      <c r="O267" s="419">
        <v>0</v>
      </c>
      <c r="P267" s="419">
        <v>0</v>
      </c>
    </row>
    <row r="268" spans="1:16" s="685" customFormat="1" ht="12.75">
      <c r="A268" s="685" t="s">
        <v>672</v>
      </c>
      <c r="B268" s="685" t="s">
        <v>678</v>
      </c>
      <c r="D268" s="419">
        <v>0</v>
      </c>
      <c r="E268" s="419">
        <v>0</v>
      </c>
      <c r="F268" s="419">
        <v>0</v>
      </c>
      <c r="G268" s="419">
        <v>0</v>
      </c>
      <c r="H268" s="419">
        <v>0</v>
      </c>
      <c r="I268" s="419">
        <v>0</v>
      </c>
      <c r="J268" s="419">
        <v>0</v>
      </c>
      <c r="K268" s="419">
        <v>0</v>
      </c>
      <c r="L268" s="419">
        <v>0</v>
      </c>
      <c r="M268" s="419">
        <v>0</v>
      </c>
      <c r="N268" s="419">
        <v>0</v>
      </c>
      <c r="O268" s="419">
        <v>0</v>
      </c>
      <c r="P268" s="419">
        <v>0</v>
      </c>
    </row>
    <row r="269" spans="2:16" s="685" customFormat="1" ht="12.75">
      <c r="B269" s="685" t="s">
        <v>66</v>
      </c>
      <c r="D269" s="419">
        <v>0</v>
      </c>
      <c r="E269" s="419">
        <v>0</v>
      </c>
      <c r="F269" s="419">
        <v>0</v>
      </c>
      <c r="G269" s="419">
        <v>0</v>
      </c>
      <c r="H269" s="419">
        <v>0</v>
      </c>
      <c r="I269" s="419">
        <v>0</v>
      </c>
      <c r="J269" s="419">
        <v>0</v>
      </c>
      <c r="K269" s="419">
        <v>0</v>
      </c>
      <c r="L269" s="419">
        <v>0</v>
      </c>
      <c r="M269" s="419">
        <v>0</v>
      </c>
      <c r="N269" s="419">
        <v>0</v>
      </c>
      <c r="O269" s="419">
        <v>0</v>
      </c>
      <c r="P269" s="419">
        <v>0</v>
      </c>
    </row>
    <row r="270" spans="1:16" s="685" customFormat="1" ht="12.75">
      <c r="A270" s="685" t="s">
        <v>673</v>
      </c>
      <c r="B270" s="685" t="s">
        <v>678</v>
      </c>
      <c r="D270" s="419">
        <v>0</v>
      </c>
      <c r="E270" s="419">
        <v>0</v>
      </c>
      <c r="F270" s="419">
        <v>0</v>
      </c>
      <c r="G270" s="419">
        <v>0</v>
      </c>
      <c r="H270" s="419">
        <v>0</v>
      </c>
      <c r="I270" s="419">
        <v>0</v>
      </c>
      <c r="J270" s="419">
        <v>0</v>
      </c>
      <c r="K270" s="419">
        <v>0</v>
      </c>
      <c r="L270" s="419">
        <v>0</v>
      </c>
      <c r="M270" s="419">
        <v>0</v>
      </c>
      <c r="N270" s="419">
        <v>0</v>
      </c>
      <c r="O270" s="419">
        <v>0</v>
      </c>
      <c r="P270" s="419">
        <v>0</v>
      </c>
    </row>
    <row r="271" spans="2:16" s="685" customFormat="1" ht="12.75">
      <c r="B271" s="685" t="s">
        <v>66</v>
      </c>
      <c r="D271" s="419">
        <v>0</v>
      </c>
      <c r="E271" s="419">
        <v>0</v>
      </c>
      <c r="F271" s="419">
        <v>0</v>
      </c>
      <c r="G271" s="419">
        <v>0</v>
      </c>
      <c r="H271" s="419">
        <v>0</v>
      </c>
      <c r="I271" s="419">
        <v>0</v>
      </c>
      <c r="J271" s="419">
        <v>0</v>
      </c>
      <c r="K271" s="419">
        <v>0</v>
      </c>
      <c r="L271" s="419">
        <v>0</v>
      </c>
      <c r="M271" s="419">
        <v>0</v>
      </c>
      <c r="N271" s="419">
        <v>0</v>
      </c>
      <c r="O271" s="419">
        <v>0</v>
      </c>
      <c r="P271" s="419">
        <v>0</v>
      </c>
    </row>
    <row r="272" spans="1:16" s="685" customFormat="1" ht="12.75">
      <c r="A272" s="685" t="s">
        <v>674</v>
      </c>
      <c r="B272" s="685" t="s">
        <v>696</v>
      </c>
      <c r="D272" s="419">
        <v>0</v>
      </c>
      <c r="E272" s="419">
        <v>0</v>
      </c>
      <c r="F272" s="419">
        <v>0</v>
      </c>
      <c r="G272" s="419">
        <v>0</v>
      </c>
      <c r="H272" s="419">
        <v>0</v>
      </c>
      <c r="I272" s="419">
        <v>0</v>
      </c>
      <c r="J272" s="419">
        <v>0</v>
      </c>
      <c r="K272" s="419">
        <v>0</v>
      </c>
      <c r="L272" s="419">
        <v>0</v>
      </c>
      <c r="M272" s="419">
        <v>0</v>
      </c>
      <c r="N272" s="419">
        <v>0</v>
      </c>
      <c r="O272" s="419">
        <v>0</v>
      </c>
      <c r="P272" s="419">
        <v>0</v>
      </c>
    </row>
    <row r="273" spans="2:16" s="685" customFormat="1" ht="12.75">
      <c r="B273" s="685" t="s">
        <v>697</v>
      </c>
      <c r="D273" s="419">
        <v>0</v>
      </c>
      <c r="E273" s="419">
        <v>0</v>
      </c>
      <c r="F273" s="419">
        <v>0</v>
      </c>
      <c r="G273" s="419">
        <v>0</v>
      </c>
      <c r="H273" s="419">
        <v>0</v>
      </c>
      <c r="I273" s="419">
        <v>0</v>
      </c>
      <c r="J273" s="419">
        <v>0</v>
      </c>
      <c r="K273" s="419">
        <v>0</v>
      </c>
      <c r="L273" s="419">
        <v>0</v>
      </c>
      <c r="M273" s="419">
        <v>0</v>
      </c>
      <c r="N273" s="419">
        <v>0</v>
      </c>
      <c r="O273" s="419">
        <v>0</v>
      </c>
      <c r="P273" s="419">
        <v>0</v>
      </c>
    </row>
    <row r="274" spans="2:16" s="685" customFormat="1" ht="12.75">
      <c r="B274" s="685" t="s">
        <v>66</v>
      </c>
      <c r="D274" s="419">
        <v>0</v>
      </c>
      <c r="E274" s="419">
        <v>0</v>
      </c>
      <c r="F274" s="419">
        <v>0</v>
      </c>
      <c r="G274" s="419">
        <v>0</v>
      </c>
      <c r="H274" s="419">
        <v>0</v>
      </c>
      <c r="I274" s="419">
        <v>0</v>
      </c>
      <c r="J274" s="419">
        <v>0</v>
      </c>
      <c r="K274" s="419">
        <v>0</v>
      </c>
      <c r="L274" s="419">
        <v>0</v>
      </c>
      <c r="M274" s="419">
        <v>0</v>
      </c>
      <c r="N274" s="419">
        <v>0</v>
      </c>
      <c r="O274" s="419">
        <v>0</v>
      </c>
      <c r="P274" s="419">
        <v>0</v>
      </c>
    </row>
    <row r="275" spans="1:16" s="685" customFormat="1" ht="12.75">
      <c r="A275" s="685" t="s">
        <v>66</v>
      </c>
      <c r="D275" s="419">
        <f>D68+D83+D98+D113+D128+D143+D158+D170+D184+D198+D207+D216+D225+D234+D243+D252+D262</f>
        <v>547354540.4263401</v>
      </c>
      <c r="E275" s="419">
        <f aca="true" t="shared" si="51" ref="E275:P275">E68+E83+E98+E113+E128+E143+E158+E170+E184+E198+E207+E216+E225+E234+E243+E252+E262</f>
        <v>516536324.68429</v>
      </c>
      <c r="F275" s="419">
        <f t="shared" si="51"/>
        <v>544642264.9649999</v>
      </c>
      <c r="G275" s="419">
        <f t="shared" si="51"/>
        <v>444134378.42592007</v>
      </c>
      <c r="H275" s="419">
        <f t="shared" si="51"/>
        <v>407170728.631</v>
      </c>
      <c r="I275" s="419">
        <f t="shared" si="51"/>
        <v>418743394.13499004</v>
      </c>
      <c r="J275" s="419">
        <f t="shared" si="51"/>
        <v>447379892.7009999</v>
      </c>
      <c r="K275" s="419">
        <f t="shared" si="51"/>
        <v>475019789.43999994</v>
      </c>
      <c r="L275" s="419">
        <f t="shared" si="51"/>
        <v>468097468.79200006</v>
      </c>
      <c r="M275" s="419">
        <f t="shared" si="51"/>
        <v>430408085.393</v>
      </c>
      <c r="N275" s="419">
        <f t="shared" si="51"/>
        <v>454247365.41122013</v>
      </c>
      <c r="O275" s="419">
        <f t="shared" si="51"/>
        <v>530380127.32321</v>
      </c>
      <c r="P275" s="419">
        <f t="shared" si="51"/>
        <v>5684114360.3279705</v>
      </c>
    </row>
    <row r="276" spans="4:16" s="685" customFormat="1" ht="12.75">
      <c r="D276" s="419"/>
      <c r="E276" s="419"/>
      <c r="F276" s="419"/>
      <c r="G276" s="419"/>
      <c r="H276" s="419"/>
      <c r="I276" s="419"/>
      <c r="J276" s="419"/>
      <c r="K276" s="419"/>
      <c r="L276" s="419"/>
      <c r="M276" s="419"/>
      <c r="N276" s="419"/>
      <c r="O276" s="419"/>
      <c r="P276" s="419"/>
    </row>
    <row r="277" spans="4:16" s="685" customFormat="1" ht="12.75">
      <c r="D277" s="419"/>
      <c r="E277" s="419"/>
      <c r="F277" s="419"/>
      <c r="G277" s="419"/>
      <c r="H277" s="419"/>
      <c r="I277" s="419"/>
      <c r="J277" s="419"/>
      <c r="K277" s="419"/>
      <c r="L277" s="419"/>
      <c r="M277" s="419"/>
      <c r="N277" s="419"/>
      <c r="O277" s="419"/>
      <c r="P277" s="419"/>
    </row>
    <row r="278" spans="4:16" s="685" customFormat="1" ht="12.75">
      <c r="D278" s="419"/>
      <c r="E278" s="419"/>
      <c r="F278" s="419"/>
      <c r="G278" s="419"/>
      <c r="H278" s="419"/>
      <c r="I278" s="419"/>
      <c r="J278" s="419"/>
      <c r="K278" s="419"/>
      <c r="L278" s="419"/>
      <c r="M278" s="419"/>
      <c r="N278" s="419"/>
      <c r="O278" s="419"/>
      <c r="P278" s="419"/>
    </row>
    <row r="279" spans="4:16" s="685" customFormat="1" ht="12.75">
      <c r="D279" s="419"/>
      <c r="E279" s="419"/>
      <c r="F279" s="419"/>
      <c r="G279" s="419"/>
      <c r="H279" s="419"/>
      <c r="I279" s="419"/>
      <c r="J279" s="419"/>
      <c r="K279" s="419"/>
      <c r="L279" s="419"/>
      <c r="M279" s="419"/>
      <c r="N279" s="419"/>
      <c r="O279" s="419"/>
      <c r="P279" s="419"/>
    </row>
    <row r="281" spans="1:16" ht="12.75">
      <c r="A281" s="657" t="s">
        <v>565</v>
      </c>
      <c r="B281" s="657"/>
      <c r="C281" s="657"/>
      <c r="D281" s="685">
        <v>201901</v>
      </c>
      <c r="E281" s="752">
        <v>201902</v>
      </c>
      <c r="F281" s="752">
        <v>201903</v>
      </c>
      <c r="G281" s="752">
        <v>201904</v>
      </c>
      <c r="H281" s="752">
        <v>201905</v>
      </c>
      <c r="I281" s="752">
        <v>201906</v>
      </c>
      <c r="J281" s="752">
        <v>201907</v>
      </c>
      <c r="K281" s="752">
        <v>201908</v>
      </c>
      <c r="L281" s="752">
        <v>201909</v>
      </c>
      <c r="M281" s="752">
        <v>201910</v>
      </c>
      <c r="N281" s="752">
        <v>201911</v>
      </c>
      <c r="O281" s="752">
        <v>201912</v>
      </c>
      <c r="P281" s="419"/>
    </row>
    <row r="282" spans="1:16" ht="12.75">
      <c r="A282" s="657"/>
      <c r="B282" s="657"/>
      <c r="C282" s="410" t="s">
        <v>675</v>
      </c>
      <c r="D282" s="645">
        <f>D68+D83</f>
        <v>268421353.00100002</v>
      </c>
      <c r="E282" s="645">
        <f aca="true" t="shared" si="52" ref="E282:O282">E68+E83</f>
        <v>248463642.29500002</v>
      </c>
      <c r="F282" s="645">
        <f t="shared" si="52"/>
        <v>272094704.38</v>
      </c>
      <c r="G282" s="645">
        <f t="shared" si="52"/>
        <v>189257389.239</v>
      </c>
      <c r="H282" s="645">
        <f t="shared" si="52"/>
        <v>159137014.24199998</v>
      </c>
      <c r="I282" s="645">
        <f t="shared" si="52"/>
        <v>150640891.357</v>
      </c>
      <c r="J282" s="645">
        <f t="shared" si="52"/>
        <v>167011451.32799998</v>
      </c>
      <c r="K282" s="645">
        <f t="shared" si="52"/>
        <v>182841597.602</v>
      </c>
      <c r="L282" s="645">
        <f t="shared" si="52"/>
        <v>175504029.742</v>
      </c>
      <c r="M282" s="645">
        <f t="shared" si="52"/>
        <v>166990370.697</v>
      </c>
      <c r="N282" s="645">
        <f t="shared" si="52"/>
        <v>197141568.961</v>
      </c>
      <c r="O282" s="645">
        <f t="shared" si="52"/>
        <v>258761011.98700002</v>
      </c>
      <c r="P282" s="419">
        <f>SUM(D282:O282)</f>
        <v>2436265024.8310003</v>
      </c>
    </row>
    <row r="283" spans="1:16" ht="12.75">
      <c r="A283" s="657"/>
      <c r="B283" s="657"/>
      <c r="C283" s="410" t="s">
        <v>483</v>
      </c>
      <c r="D283" s="645">
        <f>D98+D113</f>
        <v>59920327.122999996</v>
      </c>
      <c r="E283" s="645">
        <f aca="true" t="shared" si="53" ref="E283:O283">E98+E113</f>
        <v>57839488.487</v>
      </c>
      <c r="F283" s="645">
        <f t="shared" si="53"/>
        <v>61576960.423999995</v>
      </c>
      <c r="G283" s="645">
        <f t="shared" si="53"/>
        <v>49969768.848000005</v>
      </c>
      <c r="H283" s="645">
        <f t="shared" si="53"/>
        <v>45483877.745000005</v>
      </c>
      <c r="I283" s="645">
        <f t="shared" si="53"/>
        <v>45253592.461</v>
      </c>
      <c r="J283" s="645">
        <f t="shared" si="53"/>
        <v>48403035.067</v>
      </c>
      <c r="K283" s="645">
        <f t="shared" si="53"/>
        <v>51264596.40799999</v>
      </c>
      <c r="L283" s="645">
        <f t="shared" si="53"/>
        <v>51101182.039</v>
      </c>
      <c r="M283" s="645">
        <f t="shared" si="53"/>
        <v>46524849.421</v>
      </c>
      <c r="N283" s="645">
        <f t="shared" si="53"/>
        <v>49608710.003</v>
      </c>
      <c r="O283" s="645">
        <f t="shared" si="53"/>
        <v>60149114.510000005</v>
      </c>
      <c r="P283" s="419">
        <f aca="true" t="shared" si="54" ref="P283:P288">SUM(D283:O283)</f>
        <v>627095502.5359999</v>
      </c>
    </row>
    <row r="284" spans="1:16" ht="12.75">
      <c r="A284" s="657"/>
      <c r="B284" s="657"/>
      <c r="C284" s="410" t="s">
        <v>484</v>
      </c>
      <c r="D284" s="645">
        <f>D128+D143</f>
        <v>120581416.625</v>
      </c>
      <c r="E284" s="645">
        <f aca="true" t="shared" si="55" ref="E284:O284">E128+E143</f>
        <v>113255795.15</v>
      </c>
      <c r="F284" s="645">
        <f t="shared" si="55"/>
        <v>119857363.82800001</v>
      </c>
      <c r="G284" s="645">
        <f t="shared" si="55"/>
        <v>108672042.674</v>
      </c>
      <c r="H284" s="645">
        <f t="shared" si="55"/>
        <v>107356121.802</v>
      </c>
      <c r="I284" s="645">
        <f t="shared" si="55"/>
        <v>110519103.513</v>
      </c>
      <c r="J284" s="645">
        <f t="shared" si="55"/>
        <v>116480751.57000001</v>
      </c>
      <c r="K284" s="645">
        <f t="shared" si="55"/>
        <v>118121978.582</v>
      </c>
      <c r="L284" s="645">
        <f t="shared" si="55"/>
        <v>117306042.244</v>
      </c>
      <c r="M284" s="645">
        <f t="shared" si="55"/>
        <v>113212430.593</v>
      </c>
      <c r="N284" s="645">
        <f t="shared" si="55"/>
        <v>107981227.422</v>
      </c>
      <c r="O284" s="645">
        <f t="shared" si="55"/>
        <v>122684702.254</v>
      </c>
      <c r="P284" s="419">
        <f t="shared" si="54"/>
        <v>1376028976.257</v>
      </c>
    </row>
    <row r="285" spans="1:16" ht="12.75">
      <c r="A285" s="657"/>
      <c r="B285" s="657"/>
      <c r="C285" s="410" t="s">
        <v>398</v>
      </c>
      <c r="D285" s="645">
        <f>D158</f>
        <v>92475540.937</v>
      </c>
      <c r="E285" s="645">
        <f aca="true" t="shared" si="56" ref="E285:O285">E158</f>
        <v>91334911.62</v>
      </c>
      <c r="F285" s="645">
        <f t="shared" si="56"/>
        <v>85256588.47999999</v>
      </c>
      <c r="G285" s="645">
        <f t="shared" si="56"/>
        <v>90115026.3</v>
      </c>
      <c r="H285" s="645">
        <f t="shared" si="56"/>
        <v>81790111.9</v>
      </c>
      <c r="I285" s="645">
        <f t="shared" si="56"/>
        <v>92286223.4</v>
      </c>
      <c r="J285" s="645">
        <f t="shared" si="56"/>
        <v>90638942</v>
      </c>
      <c r="K285" s="645">
        <f t="shared" si="56"/>
        <v>96199701.69</v>
      </c>
      <c r="L285" s="645">
        <f t="shared" si="56"/>
        <v>98369017.341</v>
      </c>
      <c r="M285" s="645">
        <f t="shared" si="56"/>
        <v>91866248.394</v>
      </c>
      <c r="N285" s="645">
        <f t="shared" si="56"/>
        <v>93890910.77000001</v>
      </c>
      <c r="O285" s="645">
        <f t="shared" si="56"/>
        <v>82979731.17</v>
      </c>
      <c r="P285" s="419">
        <f t="shared" si="54"/>
        <v>1087202954.0019999</v>
      </c>
    </row>
    <row r="286" spans="1:16" ht="12.75">
      <c r="A286" s="657"/>
      <c r="B286" s="657"/>
      <c r="C286" s="410" t="s">
        <v>485</v>
      </c>
      <c r="D286" s="645">
        <f>D170+D184+D198</f>
        <v>4367812.584</v>
      </c>
      <c r="E286" s="645">
        <f aca="true" t="shared" si="57" ref="E286:O286">E170+E184+E198</f>
        <v>4176908.195</v>
      </c>
      <c r="F286" s="645">
        <f t="shared" si="57"/>
        <v>4399346.987</v>
      </c>
      <c r="G286" s="645">
        <f t="shared" si="57"/>
        <v>4615683.58</v>
      </c>
      <c r="H286" s="645">
        <f t="shared" si="57"/>
        <v>11922026.261</v>
      </c>
      <c r="I286" s="645">
        <f t="shared" si="57"/>
        <v>18540612.466</v>
      </c>
      <c r="J286" s="645">
        <f t="shared" si="57"/>
        <v>23327966.862</v>
      </c>
      <c r="K286" s="645">
        <f t="shared" si="57"/>
        <v>25106392.523000002</v>
      </c>
      <c r="L286" s="645">
        <f t="shared" si="57"/>
        <v>24282322.969</v>
      </c>
      <c r="M286" s="645">
        <f t="shared" si="57"/>
        <v>10323876.083</v>
      </c>
      <c r="N286" s="645">
        <f t="shared" si="57"/>
        <v>4196695.104</v>
      </c>
      <c r="O286" s="645">
        <f t="shared" si="57"/>
        <v>4300335.428</v>
      </c>
      <c r="P286" s="419">
        <f t="shared" si="54"/>
        <v>139559979.042</v>
      </c>
    </row>
    <row r="287" spans="1:16" ht="12.75">
      <c r="A287" s="657"/>
      <c r="B287" s="657"/>
      <c r="C287" s="410" t="s">
        <v>486</v>
      </c>
      <c r="D287" s="645">
        <f>D207+D216+D234+D225+D243+D262+D252</f>
        <v>1588090.1563400002</v>
      </c>
      <c r="E287" s="645">
        <f aca="true" t="shared" si="58" ref="E287:O287">E207+E216+E234+E225+E243+E262+E252</f>
        <v>1465578.93729</v>
      </c>
      <c r="F287" s="645">
        <f t="shared" si="58"/>
        <v>1457300.8660000002</v>
      </c>
      <c r="G287" s="645">
        <f t="shared" si="58"/>
        <v>1504467.7849199998</v>
      </c>
      <c r="H287" s="645">
        <f t="shared" si="58"/>
        <v>1481576.681</v>
      </c>
      <c r="I287" s="645">
        <f t="shared" si="58"/>
        <v>1502970.93799</v>
      </c>
      <c r="J287" s="645">
        <f t="shared" si="58"/>
        <v>1517745.8739999998</v>
      </c>
      <c r="K287" s="645">
        <f t="shared" si="58"/>
        <v>1485522.635</v>
      </c>
      <c r="L287" s="645">
        <f t="shared" si="58"/>
        <v>1534874.457</v>
      </c>
      <c r="M287" s="645">
        <f t="shared" si="58"/>
        <v>1490310.205</v>
      </c>
      <c r="N287" s="645">
        <f t="shared" si="58"/>
        <v>1428253.15122</v>
      </c>
      <c r="O287" s="645">
        <f t="shared" si="58"/>
        <v>1505231.97421</v>
      </c>
      <c r="P287" s="419">
        <f>SUM(D287:O287)</f>
        <v>17961923.65997</v>
      </c>
    </row>
    <row r="288" spans="1:16" ht="12.75">
      <c r="A288" s="657"/>
      <c r="B288" s="657"/>
      <c r="C288" s="411" t="s">
        <v>66</v>
      </c>
      <c r="D288" s="645">
        <f>SUM(D282:D287)</f>
        <v>547354540.42634</v>
      </c>
      <c r="E288" s="645">
        <f aca="true" t="shared" si="59" ref="E288:O288">SUM(E282:E287)</f>
        <v>516536324.68429005</v>
      </c>
      <c r="F288" s="645">
        <f t="shared" si="59"/>
        <v>544642264.965</v>
      </c>
      <c r="G288" s="645">
        <f t="shared" si="59"/>
        <v>444134378.42592</v>
      </c>
      <c r="H288" s="645">
        <f t="shared" si="59"/>
        <v>407170728.631</v>
      </c>
      <c r="I288" s="645">
        <f t="shared" si="59"/>
        <v>418743394.13499</v>
      </c>
      <c r="J288" s="645">
        <f t="shared" si="59"/>
        <v>447379892.701</v>
      </c>
      <c r="K288" s="645">
        <f t="shared" si="59"/>
        <v>475019789.44</v>
      </c>
      <c r="L288" s="645">
        <f t="shared" si="59"/>
        <v>468097468.79200006</v>
      </c>
      <c r="M288" s="645">
        <f t="shared" si="59"/>
        <v>430408085.39299995</v>
      </c>
      <c r="N288" s="645">
        <f t="shared" si="59"/>
        <v>454247365.41122</v>
      </c>
      <c r="O288" s="645">
        <f t="shared" si="59"/>
        <v>530380127.32321006</v>
      </c>
      <c r="P288" s="419">
        <f t="shared" si="54"/>
        <v>5684114360.32797</v>
      </c>
    </row>
    <row r="289" spans="1:16" ht="12.75">
      <c r="A289" s="657"/>
      <c r="B289" s="657"/>
      <c r="C289" s="657"/>
      <c r="D289" s="419"/>
      <c r="E289" s="419"/>
      <c r="F289" s="419"/>
      <c r="G289" s="419"/>
      <c r="H289" s="419"/>
      <c r="I289" s="419"/>
      <c r="J289" s="419"/>
      <c r="K289" s="419"/>
      <c r="L289" s="419"/>
      <c r="M289" s="419"/>
      <c r="N289" s="419"/>
      <c r="O289" s="419"/>
      <c r="P289" s="419"/>
    </row>
    <row r="290" spans="1:16" ht="12.75">
      <c r="A290" s="657"/>
      <c r="B290" s="657"/>
      <c r="C290" s="657"/>
      <c r="D290" s="419">
        <f>D275-D288</f>
        <v>0</v>
      </c>
      <c r="E290" s="419">
        <f aca="true" t="shared" si="60" ref="E290:O290">E275-E288</f>
        <v>0</v>
      </c>
      <c r="F290" s="419">
        <f t="shared" si="60"/>
        <v>0</v>
      </c>
      <c r="G290" s="419">
        <f t="shared" si="60"/>
        <v>0</v>
      </c>
      <c r="H290" s="419">
        <f t="shared" si="60"/>
        <v>0</v>
      </c>
      <c r="I290" s="419">
        <f t="shared" si="60"/>
        <v>0</v>
      </c>
      <c r="J290" s="419">
        <f t="shared" si="60"/>
        <v>0</v>
      </c>
      <c r="K290" s="419">
        <f t="shared" si="60"/>
        <v>0</v>
      </c>
      <c r="L290" s="419">
        <f t="shared" si="60"/>
        <v>0</v>
      </c>
      <c r="M290" s="419">
        <f t="shared" si="60"/>
        <v>0</v>
      </c>
      <c r="N290" s="419">
        <f t="shared" si="60"/>
        <v>0</v>
      </c>
      <c r="O290" s="419">
        <f t="shared" si="60"/>
        <v>0</v>
      </c>
      <c r="P290" s="419"/>
    </row>
    <row r="292" spans="1:16" ht="12.75">
      <c r="A292" s="657" t="s">
        <v>786</v>
      </c>
      <c r="B292" s="657"/>
      <c r="C292" s="657"/>
      <c r="D292" s="657"/>
      <c r="E292" s="657"/>
      <c r="F292" s="657"/>
      <c r="G292" s="657"/>
      <c r="H292" s="657"/>
      <c r="I292" s="657"/>
      <c r="J292" s="657"/>
      <c r="K292" s="657"/>
      <c r="L292" s="657"/>
      <c r="M292" s="657"/>
      <c r="N292" s="657"/>
      <c r="O292" s="657"/>
      <c r="P292" s="657"/>
    </row>
    <row r="293" spans="1:16" ht="12.75">
      <c r="A293" s="657"/>
      <c r="B293" s="657"/>
      <c r="C293" s="657"/>
      <c r="D293" s="657"/>
      <c r="E293" s="657"/>
      <c r="F293" s="657"/>
      <c r="G293" s="657"/>
      <c r="H293" s="657"/>
      <c r="I293" s="657"/>
      <c r="J293" s="657"/>
      <c r="K293" s="657"/>
      <c r="L293" s="657"/>
      <c r="M293" s="657"/>
      <c r="N293" s="657"/>
      <c r="O293" s="657"/>
      <c r="P293" s="657"/>
    </row>
    <row r="294" spans="1:16" ht="12.75">
      <c r="A294" s="657" t="s">
        <v>479</v>
      </c>
      <c r="B294" s="657"/>
      <c r="C294" s="657"/>
      <c r="D294" s="657"/>
      <c r="E294" s="657"/>
      <c r="F294" s="657"/>
      <c r="G294" s="657"/>
      <c r="H294" s="657"/>
      <c r="I294" s="657"/>
      <c r="J294" s="657"/>
      <c r="K294" s="657"/>
      <c r="L294" s="657"/>
      <c r="M294" s="657"/>
      <c r="N294" s="657"/>
      <c r="O294" s="657"/>
      <c r="P294" s="657"/>
    </row>
    <row r="295" spans="1:16" ht="12.75">
      <c r="A295" s="657"/>
      <c r="B295" s="657"/>
      <c r="C295" s="657"/>
      <c r="D295" s="657"/>
      <c r="E295" s="657"/>
      <c r="F295" s="657"/>
      <c r="G295" s="657"/>
      <c r="H295" s="657"/>
      <c r="I295" s="657"/>
      <c r="J295" s="657"/>
      <c r="K295" s="657"/>
      <c r="L295" s="657"/>
      <c r="M295" s="657"/>
      <c r="N295" s="657"/>
      <c r="O295" s="657"/>
      <c r="P295" s="657"/>
    </row>
    <row r="296" spans="1:16" ht="12.75">
      <c r="A296" s="657"/>
      <c r="B296" s="657"/>
      <c r="C296" s="657"/>
      <c r="D296" s="657" t="s">
        <v>787</v>
      </c>
      <c r="E296" s="657"/>
      <c r="F296" s="657"/>
      <c r="G296" s="657"/>
      <c r="H296" s="657"/>
      <c r="I296" s="657"/>
      <c r="J296" s="657"/>
      <c r="K296" s="657"/>
      <c r="L296" s="657"/>
      <c r="M296" s="657"/>
      <c r="N296" s="657"/>
      <c r="O296" s="657"/>
      <c r="P296" s="657"/>
    </row>
    <row r="297" spans="1:16" ht="12.75">
      <c r="A297" s="657"/>
      <c r="B297" s="657"/>
      <c r="C297" s="657" t="s">
        <v>475</v>
      </c>
      <c r="D297" s="685" t="s">
        <v>774</v>
      </c>
      <c r="E297" s="685" t="s">
        <v>775</v>
      </c>
      <c r="F297" s="685" t="s">
        <v>776</v>
      </c>
      <c r="G297" s="685" t="s">
        <v>777</v>
      </c>
      <c r="H297" s="685" t="s">
        <v>778</v>
      </c>
      <c r="I297" s="685" t="s">
        <v>779</v>
      </c>
      <c r="J297" s="685" t="s">
        <v>780</v>
      </c>
      <c r="K297" s="685" t="s">
        <v>781</v>
      </c>
      <c r="L297" s="685" t="s">
        <v>782</v>
      </c>
      <c r="M297" s="685" t="s">
        <v>783</v>
      </c>
      <c r="N297" s="685" t="s">
        <v>784</v>
      </c>
      <c r="O297" s="685" t="s">
        <v>785</v>
      </c>
      <c r="P297" s="657" t="s">
        <v>478</v>
      </c>
    </row>
    <row r="298" spans="1:16" ht="12.75">
      <c r="A298" s="657" t="s">
        <v>480</v>
      </c>
      <c r="B298" s="657" t="s">
        <v>392</v>
      </c>
      <c r="C298" s="657"/>
      <c r="D298" s="657"/>
      <c r="E298" s="657"/>
      <c r="F298" s="657"/>
      <c r="G298" s="657"/>
      <c r="H298" s="657"/>
      <c r="I298" s="657"/>
      <c r="J298" s="657"/>
      <c r="K298" s="657"/>
      <c r="L298" s="657"/>
      <c r="M298" s="657"/>
      <c r="N298" s="657"/>
      <c r="O298" s="657"/>
      <c r="P298" s="657"/>
    </row>
    <row r="299" spans="1:16" ht="13.5" thickBot="1">
      <c r="A299" s="782" t="s">
        <v>164</v>
      </c>
      <c r="B299" s="782" t="s">
        <v>393</v>
      </c>
      <c r="C299" s="760" t="s">
        <v>481</v>
      </c>
      <c r="D299" s="762">
        <v>126345126</v>
      </c>
      <c r="E299" s="762">
        <v>123665373</v>
      </c>
      <c r="F299" s="762">
        <v>102864779</v>
      </c>
      <c r="G299" s="762">
        <v>79253910</v>
      </c>
      <c r="H299" s="762">
        <v>77047881</v>
      </c>
      <c r="I299" s="762">
        <v>78919795</v>
      </c>
      <c r="J299" s="762">
        <v>91004591</v>
      </c>
      <c r="K299" s="762">
        <v>98756098</v>
      </c>
      <c r="L299" s="762">
        <v>77115939</v>
      </c>
      <c r="M299" s="762">
        <v>98956893</v>
      </c>
      <c r="N299" s="762">
        <v>121833489</v>
      </c>
      <c r="O299" s="762">
        <v>122208219</v>
      </c>
      <c r="P299" s="763">
        <v>1197972093</v>
      </c>
    </row>
    <row r="300" spans="1:16" ht="13.5" thickBot="1">
      <c r="A300" s="787"/>
      <c r="B300" s="783"/>
      <c r="C300" s="760" t="s">
        <v>482</v>
      </c>
      <c r="D300" s="762">
        <v>-127093842</v>
      </c>
      <c r="E300" s="762">
        <v>-126345126</v>
      </c>
      <c r="F300" s="762">
        <v>-123665373</v>
      </c>
      <c r="G300" s="762">
        <v>-102864779</v>
      </c>
      <c r="H300" s="762">
        <v>-79253910</v>
      </c>
      <c r="I300" s="762">
        <v>-77047881</v>
      </c>
      <c r="J300" s="762">
        <v>-78919795</v>
      </c>
      <c r="K300" s="762">
        <v>-91004591</v>
      </c>
      <c r="L300" s="762">
        <v>-98756098</v>
      </c>
      <c r="M300" s="762">
        <v>-77115939</v>
      </c>
      <c r="N300" s="762">
        <v>-98956893</v>
      </c>
      <c r="O300" s="762">
        <v>-121833489</v>
      </c>
      <c r="P300" s="763">
        <v>-1202857716</v>
      </c>
    </row>
    <row r="301" spans="1:16" ht="13.5" thickBot="1">
      <c r="A301" s="787"/>
      <c r="B301" s="782" t="s">
        <v>656</v>
      </c>
      <c r="C301" s="760" t="s">
        <v>481</v>
      </c>
      <c r="D301" s="762">
        <v>273631</v>
      </c>
      <c r="E301" s="762">
        <v>270017</v>
      </c>
      <c r="F301" s="762">
        <v>224428</v>
      </c>
      <c r="G301" s="762">
        <v>164004</v>
      </c>
      <c r="H301" s="762">
        <v>147751</v>
      </c>
      <c r="I301" s="762">
        <v>131250</v>
      </c>
      <c r="J301" s="762">
        <v>141788</v>
      </c>
      <c r="K301" s="762">
        <v>145054</v>
      </c>
      <c r="L301" s="762">
        <v>113913</v>
      </c>
      <c r="M301" s="762">
        <v>136212</v>
      </c>
      <c r="N301" s="762">
        <v>205766</v>
      </c>
      <c r="O301" s="762">
        <v>233766</v>
      </c>
      <c r="P301" s="763">
        <v>2187580</v>
      </c>
    </row>
    <row r="302" spans="1:16" ht="13.5" thickBot="1">
      <c r="A302" s="787"/>
      <c r="B302" s="783"/>
      <c r="C302" s="760" t="s">
        <v>482</v>
      </c>
      <c r="D302" s="762">
        <v>-269574</v>
      </c>
      <c r="E302" s="762">
        <v>-273631</v>
      </c>
      <c r="F302" s="762">
        <v>-270017</v>
      </c>
      <c r="G302" s="762">
        <v>-224428</v>
      </c>
      <c r="H302" s="762">
        <v>-164004</v>
      </c>
      <c r="I302" s="762">
        <v>-147751</v>
      </c>
      <c r="J302" s="762">
        <v>-131250</v>
      </c>
      <c r="K302" s="762">
        <v>-141788</v>
      </c>
      <c r="L302" s="762">
        <v>-145054</v>
      </c>
      <c r="M302" s="762">
        <v>-113913</v>
      </c>
      <c r="N302" s="762">
        <v>-136212</v>
      </c>
      <c r="O302" s="762">
        <v>-205766</v>
      </c>
      <c r="P302" s="763">
        <v>-2223388</v>
      </c>
    </row>
    <row r="303" spans="1:16" ht="13.5" thickBot="1">
      <c r="A303" s="787"/>
      <c r="B303" s="782" t="s">
        <v>394</v>
      </c>
      <c r="C303" s="760" t="s">
        <v>481</v>
      </c>
      <c r="D303" s="762">
        <v>24924085</v>
      </c>
      <c r="E303" s="762">
        <v>25442340</v>
      </c>
      <c r="F303" s="762">
        <v>20492468</v>
      </c>
      <c r="G303" s="762">
        <v>18731044</v>
      </c>
      <c r="H303" s="762">
        <v>20033011</v>
      </c>
      <c r="I303" s="762">
        <v>21804441</v>
      </c>
      <c r="J303" s="762">
        <v>24302464</v>
      </c>
      <c r="K303" s="762">
        <v>25501155</v>
      </c>
      <c r="L303" s="762">
        <v>20636289</v>
      </c>
      <c r="M303" s="762">
        <v>25009635</v>
      </c>
      <c r="N303" s="762">
        <v>27517043</v>
      </c>
      <c r="O303" s="762">
        <v>25195627</v>
      </c>
      <c r="P303" s="763">
        <v>279589602</v>
      </c>
    </row>
    <row r="304" spans="1:16" ht="13.5" thickBot="1">
      <c r="A304" s="787"/>
      <c r="B304" s="783"/>
      <c r="C304" s="760" t="s">
        <v>482</v>
      </c>
      <c r="D304" s="762">
        <v>-26276394</v>
      </c>
      <c r="E304" s="762">
        <v>-24924085</v>
      </c>
      <c r="F304" s="762">
        <v>-25442340</v>
      </c>
      <c r="G304" s="762">
        <v>-20492468</v>
      </c>
      <c r="H304" s="762">
        <v>-18731044</v>
      </c>
      <c r="I304" s="762">
        <v>-20033011</v>
      </c>
      <c r="J304" s="762">
        <v>-21804441</v>
      </c>
      <c r="K304" s="762">
        <v>-24302464</v>
      </c>
      <c r="L304" s="762">
        <v>-25501155</v>
      </c>
      <c r="M304" s="762">
        <v>-20636289</v>
      </c>
      <c r="N304" s="762">
        <v>-25009635</v>
      </c>
      <c r="O304" s="762">
        <v>-27517043</v>
      </c>
      <c r="P304" s="763">
        <v>-280670369</v>
      </c>
    </row>
    <row r="305" spans="1:16" ht="13.5" thickBot="1">
      <c r="A305" s="787"/>
      <c r="B305" s="782" t="s">
        <v>395</v>
      </c>
      <c r="C305" s="760" t="s">
        <v>481</v>
      </c>
      <c r="D305" s="762">
        <v>3225387</v>
      </c>
      <c r="E305" s="762">
        <v>3288593</v>
      </c>
      <c r="F305" s="762">
        <v>2735330</v>
      </c>
      <c r="G305" s="762">
        <v>2153685</v>
      </c>
      <c r="H305" s="762">
        <v>1951017</v>
      </c>
      <c r="I305" s="762">
        <v>1887387</v>
      </c>
      <c r="J305" s="762">
        <v>2036165</v>
      </c>
      <c r="K305" s="762">
        <v>2148130</v>
      </c>
      <c r="L305" s="762">
        <v>1769263</v>
      </c>
      <c r="M305" s="762">
        <v>2512593</v>
      </c>
      <c r="N305" s="762">
        <v>3086251</v>
      </c>
      <c r="O305" s="762">
        <v>3158611</v>
      </c>
      <c r="P305" s="763">
        <v>29952412</v>
      </c>
    </row>
    <row r="306" spans="1:16" ht="13.5" thickBot="1">
      <c r="A306" s="787"/>
      <c r="B306" s="783"/>
      <c r="C306" s="760" t="s">
        <v>482</v>
      </c>
      <c r="D306" s="762">
        <v>-3165785</v>
      </c>
      <c r="E306" s="762">
        <v>-3225387</v>
      </c>
      <c r="F306" s="762">
        <v>-3288593</v>
      </c>
      <c r="G306" s="762">
        <v>-2735330</v>
      </c>
      <c r="H306" s="762">
        <v>-2153685</v>
      </c>
      <c r="I306" s="762">
        <v>-1951017</v>
      </c>
      <c r="J306" s="762">
        <v>-1887387</v>
      </c>
      <c r="K306" s="762">
        <v>-2036165</v>
      </c>
      <c r="L306" s="762">
        <v>-2148130</v>
      </c>
      <c r="M306" s="762">
        <v>-1769263</v>
      </c>
      <c r="N306" s="762">
        <v>-2512593</v>
      </c>
      <c r="O306" s="762">
        <v>-3086251</v>
      </c>
      <c r="P306" s="763">
        <v>-29959586</v>
      </c>
    </row>
    <row r="307" spans="1:16" ht="13.5" thickBot="1">
      <c r="A307" s="787"/>
      <c r="B307" s="782" t="s">
        <v>396</v>
      </c>
      <c r="C307" s="760" t="s">
        <v>481</v>
      </c>
      <c r="D307" s="762">
        <v>54809718</v>
      </c>
      <c r="E307" s="762">
        <v>54469939</v>
      </c>
      <c r="F307" s="762">
        <v>43737316</v>
      </c>
      <c r="G307" s="762">
        <v>44169806</v>
      </c>
      <c r="H307" s="762">
        <v>50651191</v>
      </c>
      <c r="I307" s="762">
        <v>56488170</v>
      </c>
      <c r="J307" s="762">
        <v>61944423</v>
      </c>
      <c r="K307" s="762">
        <v>62170005</v>
      </c>
      <c r="L307" s="762">
        <v>50298406</v>
      </c>
      <c r="M307" s="762">
        <v>65264233</v>
      </c>
      <c r="N307" s="762">
        <v>64803850</v>
      </c>
      <c r="O307" s="762">
        <v>56115148</v>
      </c>
      <c r="P307" s="763">
        <v>664922205</v>
      </c>
    </row>
    <row r="308" spans="1:16" ht="13.5" thickBot="1">
      <c r="A308" s="787"/>
      <c r="B308" s="783"/>
      <c r="C308" s="760" t="s">
        <v>482</v>
      </c>
      <c r="D308" s="762">
        <v>-59753857</v>
      </c>
      <c r="E308" s="762">
        <v>-54809718</v>
      </c>
      <c r="F308" s="762">
        <v>-54469939</v>
      </c>
      <c r="G308" s="762">
        <v>-43737316</v>
      </c>
      <c r="H308" s="762">
        <v>-44169806</v>
      </c>
      <c r="I308" s="762">
        <v>-50651191</v>
      </c>
      <c r="J308" s="762">
        <v>-56488170</v>
      </c>
      <c r="K308" s="762">
        <v>-61944423</v>
      </c>
      <c r="L308" s="762">
        <v>-62170005</v>
      </c>
      <c r="M308" s="762">
        <v>-50298406</v>
      </c>
      <c r="N308" s="762">
        <v>-65264233</v>
      </c>
      <c r="O308" s="762">
        <v>-64803850</v>
      </c>
      <c r="P308" s="763">
        <v>-668560914</v>
      </c>
    </row>
    <row r="309" spans="1:16" ht="13.5" thickBot="1">
      <c r="A309" s="787"/>
      <c r="B309" s="782" t="s">
        <v>397</v>
      </c>
      <c r="C309" s="760" t="s">
        <v>481</v>
      </c>
      <c r="D309" s="762">
        <v>1678552</v>
      </c>
      <c r="E309" s="762">
        <v>1627128</v>
      </c>
      <c r="F309" s="762">
        <v>1383853</v>
      </c>
      <c r="G309" s="762">
        <v>1115653</v>
      </c>
      <c r="H309" s="762">
        <v>1090220</v>
      </c>
      <c r="I309" s="762">
        <v>1139214</v>
      </c>
      <c r="J309" s="762">
        <v>1251547</v>
      </c>
      <c r="K309" s="762">
        <v>1367645</v>
      </c>
      <c r="L309" s="762">
        <v>1018384</v>
      </c>
      <c r="M309" s="762">
        <v>1508696</v>
      </c>
      <c r="N309" s="762">
        <v>1624452</v>
      </c>
      <c r="O309" s="762">
        <v>1556783</v>
      </c>
      <c r="P309" s="763">
        <v>16362127</v>
      </c>
    </row>
    <row r="310" spans="1:16" ht="13.5" thickBot="1">
      <c r="A310" s="787"/>
      <c r="B310" s="783"/>
      <c r="C310" s="760" t="s">
        <v>482</v>
      </c>
      <c r="D310" s="762">
        <v>-1589576</v>
      </c>
      <c r="E310" s="762">
        <v>-1678552</v>
      </c>
      <c r="F310" s="762">
        <v>-1627128</v>
      </c>
      <c r="G310" s="762">
        <v>-1383853</v>
      </c>
      <c r="H310" s="762">
        <v>-1115653</v>
      </c>
      <c r="I310" s="762">
        <v>-1090220</v>
      </c>
      <c r="J310" s="762">
        <v>-1139214</v>
      </c>
      <c r="K310" s="762">
        <v>-1251547</v>
      </c>
      <c r="L310" s="762">
        <v>-1367645</v>
      </c>
      <c r="M310" s="762">
        <v>-1018384</v>
      </c>
      <c r="N310" s="762">
        <v>-1508696</v>
      </c>
      <c r="O310" s="762">
        <v>-1624452</v>
      </c>
      <c r="P310" s="763">
        <v>-16394920</v>
      </c>
    </row>
    <row r="311" spans="1:16" ht="13.5" thickBot="1">
      <c r="A311" s="787"/>
      <c r="B311" s="782" t="s">
        <v>398</v>
      </c>
      <c r="C311" s="760" t="s">
        <v>481</v>
      </c>
      <c r="D311" s="762">
        <v>91484247</v>
      </c>
      <c r="E311" s="762">
        <v>84934068</v>
      </c>
      <c r="F311" s="762">
        <v>89487500</v>
      </c>
      <c r="G311" s="762">
        <v>79454560</v>
      </c>
      <c r="H311" s="762">
        <v>92015166</v>
      </c>
      <c r="I311" s="762">
        <v>91195162</v>
      </c>
      <c r="J311" s="762">
        <v>95775976</v>
      </c>
      <c r="K311" s="762">
        <v>94768404</v>
      </c>
      <c r="L311" s="762">
        <v>91927127</v>
      </c>
      <c r="M311" s="762">
        <v>93727705</v>
      </c>
      <c r="N311" s="762">
        <v>83601582</v>
      </c>
      <c r="O311" s="762">
        <v>90893021</v>
      </c>
      <c r="P311" s="763">
        <v>1079264518</v>
      </c>
    </row>
    <row r="312" spans="1:16" ht="13.5" thickBot="1">
      <c r="A312" s="787"/>
      <c r="B312" s="783"/>
      <c r="C312" s="760" t="s">
        <v>482</v>
      </c>
      <c r="D312" s="762">
        <v>-92515285</v>
      </c>
      <c r="E312" s="762">
        <v>-91484247</v>
      </c>
      <c r="F312" s="762">
        <v>-84934068</v>
      </c>
      <c r="G312" s="762">
        <v>-89487500</v>
      </c>
      <c r="H312" s="762">
        <v>-79454560</v>
      </c>
      <c r="I312" s="762">
        <v>-92015166</v>
      </c>
      <c r="J312" s="762">
        <v>-91195162</v>
      </c>
      <c r="K312" s="762">
        <v>-95775976</v>
      </c>
      <c r="L312" s="762">
        <v>-94768404</v>
      </c>
      <c r="M312" s="762">
        <v>-91927127</v>
      </c>
      <c r="N312" s="762">
        <v>-93727705</v>
      </c>
      <c r="O312" s="762">
        <v>-83601582</v>
      </c>
      <c r="P312" s="763">
        <v>-1080886782</v>
      </c>
    </row>
    <row r="313" spans="1:16" ht="13.5" thickBot="1">
      <c r="A313" s="787"/>
      <c r="B313" s="782" t="s">
        <v>399</v>
      </c>
      <c r="C313" s="760" t="s">
        <v>481</v>
      </c>
      <c r="D313" s="762">
        <v>1686223</v>
      </c>
      <c r="E313" s="762">
        <v>1751695</v>
      </c>
      <c r="F313" s="762">
        <v>1396018</v>
      </c>
      <c r="G313" s="762">
        <v>1602289</v>
      </c>
      <c r="H313" s="762">
        <v>2739460</v>
      </c>
      <c r="I313" s="762">
        <v>4758420</v>
      </c>
      <c r="J313" s="762">
        <v>6396055</v>
      </c>
      <c r="K313" s="762">
        <v>8016094</v>
      </c>
      <c r="L313" s="762">
        <v>6038413</v>
      </c>
      <c r="M313" s="762">
        <v>3879449</v>
      </c>
      <c r="N313" s="762">
        <v>2094330</v>
      </c>
      <c r="O313" s="762">
        <v>1779535</v>
      </c>
      <c r="P313" s="763">
        <v>42137981</v>
      </c>
    </row>
    <row r="314" spans="1:16" ht="13.5" thickBot="1">
      <c r="A314" s="787"/>
      <c r="B314" s="783"/>
      <c r="C314" s="760" t="s">
        <v>482</v>
      </c>
      <c r="D314" s="762">
        <v>-1728595</v>
      </c>
      <c r="E314" s="762">
        <v>-1686223</v>
      </c>
      <c r="F314" s="762">
        <v>-1751695</v>
      </c>
      <c r="G314" s="762">
        <v>-1396018</v>
      </c>
      <c r="H314" s="762">
        <v>-1602289</v>
      </c>
      <c r="I314" s="762">
        <v>-2739460</v>
      </c>
      <c r="J314" s="762">
        <v>-4758420</v>
      </c>
      <c r="K314" s="762">
        <v>-6396055</v>
      </c>
      <c r="L314" s="762">
        <v>-8016094</v>
      </c>
      <c r="M314" s="762">
        <v>-6038413</v>
      </c>
      <c r="N314" s="762">
        <v>-3879449</v>
      </c>
      <c r="O314" s="762">
        <v>-2094330</v>
      </c>
      <c r="P314" s="763">
        <v>-42087041</v>
      </c>
    </row>
    <row r="315" spans="1:16" ht="13.5" thickBot="1">
      <c r="A315" s="787"/>
      <c r="B315" s="782" t="s">
        <v>400</v>
      </c>
      <c r="C315" s="760" t="s">
        <v>481</v>
      </c>
      <c r="D315" s="762">
        <v>137133</v>
      </c>
      <c r="E315" s="762">
        <v>139725</v>
      </c>
      <c r="F315" s="762">
        <v>118877</v>
      </c>
      <c r="G315" s="762">
        <v>114155</v>
      </c>
      <c r="H315" s="762">
        <v>192447</v>
      </c>
      <c r="I315" s="762">
        <v>0</v>
      </c>
      <c r="J315" s="762">
        <v>651581</v>
      </c>
      <c r="K315" s="762">
        <v>636344</v>
      </c>
      <c r="L315" s="762">
        <v>409129</v>
      </c>
      <c r="M315" s="762">
        <v>186928</v>
      </c>
      <c r="N315" s="762">
        <v>143627</v>
      </c>
      <c r="O315" s="762">
        <v>134463</v>
      </c>
      <c r="P315" s="763">
        <v>2864409</v>
      </c>
    </row>
    <row r="316" spans="1:16" ht="13.5" thickBot="1">
      <c r="A316" s="787"/>
      <c r="B316" s="783"/>
      <c r="C316" s="760" t="s">
        <v>482</v>
      </c>
      <c r="D316" s="762">
        <v>-122329</v>
      </c>
      <c r="E316" s="762">
        <v>-137133</v>
      </c>
      <c r="F316" s="762">
        <v>-139725</v>
      </c>
      <c r="G316" s="762">
        <v>-118877</v>
      </c>
      <c r="H316" s="762">
        <v>-114155</v>
      </c>
      <c r="I316" s="762">
        <v>-192447</v>
      </c>
      <c r="J316" s="762">
        <v>0</v>
      </c>
      <c r="K316" s="762">
        <v>-651581</v>
      </c>
      <c r="L316" s="762">
        <v>-636344</v>
      </c>
      <c r="M316" s="762">
        <v>-409129</v>
      </c>
      <c r="N316" s="762">
        <v>-186928</v>
      </c>
      <c r="O316" s="762">
        <v>-143627</v>
      </c>
      <c r="P316" s="763">
        <v>-2852275</v>
      </c>
    </row>
    <row r="317" spans="1:16" ht="13.5" thickBot="1">
      <c r="A317" s="787"/>
      <c r="B317" s="782" t="s">
        <v>662</v>
      </c>
      <c r="C317" s="760" t="s">
        <v>481</v>
      </c>
      <c r="D317" s="764"/>
      <c r="E317" s="764"/>
      <c r="F317" s="764"/>
      <c r="G317" s="764"/>
      <c r="H317" s="764"/>
      <c r="I317" s="762">
        <v>324152</v>
      </c>
      <c r="J317" s="762">
        <v>0</v>
      </c>
      <c r="K317" s="762">
        <v>0</v>
      </c>
      <c r="L317" s="762">
        <v>0</v>
      </c>
      <c r="M317" s="762">
        <v>0</v>
      </c>
      <c r="N317" s="762">
        <v>0</v>
      </c>
      <c r="O317" s="762">
        <v>0</v>
      </c>
      <c r="P317" s="763">
        <v>324152</v>
      </c>
    </row>
    <row r="318" spans="1:16" ht="13.5" thickBot="1">
      <c r="A318" s="783"/>
      <c r="B318" s="783"/>
      <c r="C318" s="760" t="s">
        <v>482</v>
      </c>
      <c r="D318" s="764"/>
      <c r="E318" s="764"/>
      <c r="F318" s="764"/>
      <c r="G318" s="764"/>
      <c r="H318" s="764"/>
      <c r="I318" s="764"/>
      <c r="J318" s="762">
        <v>-324152</v>
      </c>
      <c r="K318" s="762">
        <v>0</v>
      </c>
      <c r="L318" s="762">
        <v>0</v>
      </c>
      <c r="M318" s="762">
        <v>0</v>
      </c>
      <c r="N318" s="762">
        <v>0</v>
      </c>
      <c r="O318" s="762">
        <v>0</v>
      </c>
      <c r="P318" s="763">
        <v>-324152</v>
      </c>
    </row>
    <row r="319" spans="1:16" ht="13.5" thickBot="1">
      <c r="A319" s="784" t="s">
        <v>66</v>
      </c>
      <c r="B319" s="785"/>
      <c r="C319" s="786"/>
      <c r="D319" s="765">
        <f>SUM(D299:D318)</f>
        <v>-7951135</v>
      </c>
      <c r="E319" s="765">
        <f aca="true" t="shared" si="61" ref="E319:P319">SUM(E299:E318)</f>
        <v>-8975224</v>
      </c>
      <c r="F319" s="765">
        <f t="shared" si="61"/>
        <v>-33148309</v>
      </c>
      <c r="G319" s="765">
        <f t="shared" si="61"/>
        <v>-35681463</v>
      </c>
      <c r="H319" s="765">
        <f t="shared" si="61"/>
        <v>19109038</v>
      </c>
      <c r="I319" s="765">
        <f t="shared" si="61"/>
        <v>10779847</v>
      </c>
      <c r="J319" s="765">
        <f t="shared" si="61"/>
        <v>26856599</v>
      </c>
      <c r="K319" s="765">
        <f t="shared" si="61"/>
        <v>10004339</v>
      </c>
      <c r="L319" s="765">
        <f t="shared" si="61"/>
        <v>-44182066</v>
      </c>
      <c r="M319" s="765">
        <f t="shared" si="61"/>
        <v>41855481</v>
      </c>
      <c r="N319" s="765">
        <f t="shared" si="61"/>
        <v>13728046</v>
      </c>
      <c r="O319" s="765">
        <f t="shared" si="61"/>
        <v>-3635217</v>
      </c>
      <c r="P319" s="765">
        <f t="shared" si="61"/>
        <v>-11240064</v>
      </c>
    </row>
    <row r="322" spans="3:16" ht="12.75">
      <c r="C322" s="410" t="s">
        <v>675</v>
      </c>
      <c r="D322" s="419">
        <f>SUM(D299:D302)</f>
        <v>-744659</v>
      </c>
      <c r="E322" s="419">
        <f aca="true" t="shared" si="62" ref="E322:O322">SUM(E299:E302)</f>
        <v>-2683367</v>
      </c>
      <c r="F322" s="419">
        <f t="shared" si="62"/>
        <v>-20846183</v>
      </c>
      <c r="G322" s="419">
        <f t="shared" si="62"/>
        <v>-23671293</v>
      </c>
      <c r="H322" s="419">
        <f t="shared" si="62"/>
        <v>-2222282</v>
      </c>
      <c r="I322" s="419">
        <f t="shared" si="62"/>
        <v>1855413</v>
      </c>
      <c r="J322" s="419">
        <f t="shared" si="62"/>
        <v>12095334</v>
      </c>
      <c r="K322" s="419">
        <f t="shared" si="62"/>
        <v>7754773</v>
      </c>
      <c r="L322" s="419">
        <f t="shared" si="62"/>
        <v>-21671300</v>
      </c>
      <c r="M322" s="419">
        <f t="shared" si="62"/>
        <v>21863253</v>
      </c>
      <c r="N322" s="419">
        <f t="shared" si="62"/>
        <v>22946150</v>
      </c>
      <c r="O322" s="419">
        <f t="shared" si="62"/>
        <v>402730</v>
      </c>
      <c r="P322" s="419">
        <f>SUM(D322:O322)</f>
        <v>-4921431</v>
      </c>
    </row>
    <row r="323" spans="3:17" ht="12.75">
      <c r="C323" s="410" t="s">
        <v>483</v>
      </c>
      <c r="D323" s="419">
        <f>SUM(D303:D306)</f>
        <v>-1292707</v>
      </c>
      <c r="E323" s="419">
        <f aca="true" t="shared" si="63" ref="E323:O323">SUM(E303:E306)</f>
        <v>581461</v>
      </c>
      <c r="F323" s="419">
        <f t="shared" si="63"/>
        <v>-5503135</v>
      </c>
      <c r="G323" s="419">
        <f t="shared" si="63"/>
        <v>-2343069</v>
      </c>
      <c r="H323" s="419">
        <f t="shared" si="63"/>
        <v>1099299</v>
      </c>
      <c r="I323" s="419">
        <f t="shared" si="63"/>
        <v>1707800</v>
      </c>
      <c r="J323" s="419">
        <f t="shared" si="63"/>
        <v>2646801</v>
      </c>
      <c r="K323" s="419">
        <f t="shared" si="63"/>
        <v>1310656</v>
      </c>
      <c r="L323" s="419">
        <f t="shared" si="63"/>
        <v>-5243733</v>
      </c>
      <c r="M323" s="419">
        <f t="shared" si="63"/>
        <v>5116676</v>
      </c>
      <c r="N323" s="419">
        <f t="shared" si="63"/>
        <v>3081066</v>
      </c>
      <c r="O323" s="419">
        <f t="shared" si="63"/>
        <v>-2249056</v>
      </c>
      <c r="P323" s="419">
        <f aca="true" t="shared" si="64" ref="P323:P326">SUM(D323:O323)</f>
        <v>-1087941</v>
      </c>
      <c r="Q323" s="694"/>
    </row>
    <row r="324" spans="3:17" ht="12.75">
      <c r="C324" s="410" t="s">
        <v>484</v>
      </c>
      <c r="D324" s="419">
        <f>SUM(D307:D310)</f>
        <v>-4855163</v>
      </c>
      <c r="E324" s="419">
        <f aca="true" t="shared" si="65" ref="E324:O324">SUM(E307:E310)</f>
        <v>-391203</v>
      </c>
      <c r="F324" s="419">
        <f t="shared" si="65"/>
        <v>-10975898</v>
      </c>
      <c r="G324" s="419">
        <f t="shared" si="65"/>
        <v>164290</v>
      </c>
      <c r="H324" s="419">
        <f t="shared" si="65"/>
        <v>6455952</v>
      </c>
      <c r="I324" s="419">
        <f t="shared" si="65"/>
        <v>5885973</v>
      </c>
      <c r="J324" s="419">
        <f t="shared" si="65"/>
        <v>5568586</v>
      </c>
      <c r="K324" s="419">
        <f t="shared" si="65"/>
        <v>341680</v>
      </c>
      <c r="L324" s="419">
        <f t="shared" si="65"/>
        <v>-12220860</v>
      </c>
      <c r="M324" s="419">
        <f t="shared" si="65"/>
        <v>15456139</v>
      </c>
      <c r="N324" s="419">
        <f t="shared" si="65"/>
        <v>-344627</v>
      </c>
      <c r="O324" s="419">
        <f t="shared" si="65"/>
        <v>-8756371</v>
      </c>
      <c r="P324" s="419">
        <f t="shared" si="64"/>
        <v>-3671502</v>
      </c>
      <c r="Q324" s="694"/>
    </row>
    <row r="325" spans="3:17" ht="12.75">
      <c r="C325" s="410" t="s">
        <v>398</v>
      </c>
      <c r="D325" s="419">
        <f>SUM(D311:D312)</f>
        <v>-1031038</v>
      </c>
      <c r="E325" s="419">
        <f aca="true" t="shared" si="66" ref="E325:O325">SUM(E311:E312)</f>
        <v>-6550179</v>
      </c>
      <c r="F325" s="419">
        <f t="shared" si="66"/>
        <v>4553432</v>
      </c>
      <c r="G325" s="419">
        <f t="shared" si="66"/>
        <v>-10032940</v>
      </c>
      <c r="H325" s="419">
        <f t="shared" si="66"/>
        <v>12560606</v>
      </c>
      <c r="I325" s="419">
        <f t="shared" si="66"/>
        <v>-820004</v>
      </c>
      <c r="J325" s="419">
        <f t="shared" si="66"/>
        <v>4580814</v>
      </c>
      <c r="K325" s="419">
        <f t="shared" si="66"/>
        <v>-1007572</v>
      </c>
      <c r="L325" s="419">
        <f t="shared" si="66"/>
        <v>-2841277</v>
      </c>
      <c r="M325" s="419">
        <f t="shared" si="66"/>
        <v>1800578</v>
      </c>
      <c r="N325" s="419">
        <f t="shared" si="66"/>
        <v>-10126123</v>
      </c>
      <c r="O325" s="419">
        <f t="shared" si="66"/>
        <v>7291439</v>
      </c>
      <c r="P325" s="419">
        <f t="shared" si="64"/>
        <v>-1622264</v>
      </c>
      <c r="Q325" s="694"/>
    </row>
    <row r="326" spans="3:17" ht="12.75">
      <c r="C326" s="410" t="s">
        <v>485</v>
      </c>
      <c r="D326" s="419">
        <f>SUM(D313:D318)</f>
        <v>-27568</v>
      </c>
      <c r="E326" s="419">
        <f aca="true" t="shared" si="67" ref="E326:O326">SUM(E313:E318)</f>
        <v>68064</v>
      </c>
      <c r="F326" s="419">
        <f t="shared" si="67"/>
        <v>-376525</v>
      </c>
      <c r="G326" s="419">
        <f t="shared" si="67"/>
        <v>201549</v>
      </c>
      <c r="H326" s="419">
        <f t="shared" si="67"/>
        <v>1215463</v>
      </c>
      <c r="I326" s="419">
        <f t="shared" si="67"/>
        <v>2150665</v>
      </c>
      <c r="J326" s="419">
        <f t="shared" si="67"/>
        <v>1965064</v>
      </c>
      <c r="K326" s="419">
        <f t="shared" si="67"/>
        <v>1604802</v>
      </c>
      <c r="L326" s="419">
        <f t="shared" si="67"/>
        <v>-2204896</v>
      </c>
      <c r="M326" s="419">
        <f t="shared" si="67"/>
        <v>-2381165</v>
      </c>
      <c r="N326" s="419">
        <f t="shared" si="67"/>
        <v>-1828420</v>
      </c>
      <c r="O326" s="419">
        <f t="shared" si="67"/>
        <v>-323959</v>
      </c>
      <c r="P326" s="419">
        <f t="shared" si="64"/>
        <v>63074</v>
      </c>
      <c r="Q326" s="694"/>
    </row>
    <row r="327" spans="4:16" ht="12.75">
      <c r="D327" s="542">
        <f>SUM(D322:D326)</f>
        <v>-7951135</v>
      </c>
      <c r="E327" s="542">
        <f aca="true" t="shared" si="68" ref="E327:O327">SUM(E322:E326)</f>
        <v>-8975224</v>
      </c>
      <c r="F327" s="542">
        <f t="shared" si="68"/>
        <v>-33148309</v>
      </c>
      <c r="G327" s="542">
        <f t="shared" si="68"/>
        <v>-35681463</v>
      </c>
      <c r="H327" s="542">
        <f t="shared" si="68"/>
        <v>19109038</v>
      </c>
      <c r="I327" s="542">
        <f t="shared" si="68"/>
        <v>10779847</v>
      </c>
      <c r="J327" s="542">
        <f t="shared" si="68"/>
        <v>26856599</v>
      </c>
      <c r="K327" s="542">
        <f t="shared" si="68"/>
        <v>10004339</v>
      </c>
      <c r="L327" s="542">
        <f t="shared" si="68"/>
        <v>-44182066</v>
      </c>
      <c r="M327" s="542">
        <f t="shared" si="68"/>
        <v>41855481</v>
      </c>
      <c r="N327" s="542">
        <f t="shared" si="68"/>
        <v>13728046</v>
      </c>
      <c r="O327" s="542">
        <f t="shared" si="68"/>
        <v>-3635217</v>
      </c>
      <c r="P327" s="419">
        <f>SUM(D327:O327)</f>
        <v>-11240064</v>
      </c>
    </row>
    <row r="328" spans="4:16" ht="12.75">
      <c r="D328" s="542">
        <f>D319-D327</f>
        <v>0</v>
      </c>
      <c r="E328" s="542">
        <f aca="true" t="shared" si="69" ref="E328:N328">E319-E327</f>
        <v>0</v>
      </c>
      <c r="F328" s="542">
        <f t="shared" si="69"/>
        <v>0</v>
      </c>
      <c r="G328" s="542">
        <f t="shared" si="69"/>
        <v>0</v>
      </c>
      <c r="H328" s="542">
        <f t="shared" si="69"/>
        <v>0</v>
      </c>
      <c r="I328" s="542">
        <f t="shared" si="69"/>
        <v>0</v>
      </c>
      <c r="J328" s="542">
        <f t="shared" si="69"/>
        <v>0</v>
      </c>
      <c r="K328" s="542">
        <f t="shared" si="69"/>
        <v>0</v>
      </c>
      <c r="L328" s="542">
        <f t="shared" si="69"/>
        <v>0</v>
      </c>
      <c r="M328" s="542">
        <f t="shared" si="69"/>
        <v>0</v>
      </c>
      <c r="N328" s="542">
        <f t="shared" si="69"/>
        <v>0</v>
      </c>
      <c r="O328" s="411" t="s">
        <v>66</v>
      </c>
      <c r="P328" s="419">
        <f>SUM(P322:P326)</f>
        <v>-11240064</v>
      </c>
    </row>
    <row r="329" spans="15:16" ht="12.75">
      <c r="O329" s="419"/>
      <c r="P329" s="419"/>
    </row>
    <row r="330" spans="15:16" ht="12.75">
      <c r="O330" s="419"/>
      <c r="P330" s="419">
        <f>P328-P319</f>
        <v>0</v>
      </c>
    </row>
    <row r="339" spans="1:16" ht="12.75">
      <c r="A339" s="435" t="s">
        <v>956</v>
      </c>
      <c r="B339" s="657"/>
      <c r="C339" s="657"/>
      <c r="D339" s="657"/>
      <c r="E339" s="657"/>
      <c r="F339" s="657"/>
      <c r="G339" s="657"/>
      <c r="H339" s="657"/>
      <c r="I339" s="657"/>
      <c r="J339" s="657"/>
      <c r="K339" s="657"/>
      <c r="L339" s="657"/>
      <c r="M339" s="657"/>
      <c r="N339" s="657"/>
      <c r="O339" s="657"/>
      <c r="P339" s="657"/>
    </row>
    <row r="340" spans="1:16" ht="12.75">
      <c r="A340" s="657"/>
      <c r="B340" s="657"/>
      <c r="C340" s="657"/>
      <c r="D340" s="657"/>
      <c r="E340" s="657"/>
      <c r="F340" s="657"/>
      <c r="G340" s="657"/>
      <c r="H340" s="657"/>
      <c r="I340" s="657"/>
      <c r="J340" s="657"/>
      <c r="K340" s="657"/>
      <c r="L340" s="657"/>
      <c r="M340" s="657"/>
      <c r="N340" s="657"/>
      <c r="O340" s="657"/>
      <c r="P340" s="657"/>
    </row>
    <row r="341" spans="1:16" ht="12.75">
      <c r="A341" s="657" t="s">
        <v>474</v>
      </c>
      <c r="B341" s="657"/>
      <c r="C341" s="657"/>
      <c r="D341" s="657"/>
      <c r="E341" s="657"/>
      <c r="F341" s="657"/>
      <c r="G341" s="657"/>
      <c r="H341" s="657"/>
      <c r="I341" s="657"/>
      <c r="J341" s="657"/>
      <c r="K341" s="657"/>
      <c r="L341" s="657"/>
      <c r="M341" s="657"/>
      <c r="N341" s="657"/>
      <c r="O341" s="657"/>
      <c r="P341" s="657"/>
    </row>
    <row r="342" spans="1:16" ht="12.75">
      <c r="A342" s="657"/>
      <c r="B342" s="657"/>
      <c r="C342" s="657"/>
      <c r="D342" s="657"/>
      <c r="E342" s="657"/>
      <c r="F342" s="657"/>
      <c r="G342" s="657"/>
      <c r="H342" s="657"/>
      <c r="I342" s="657"/>
      <c r="J342" s="657"/>
      <c r="K342" s="657"/>
      <c r="L342" s="657"/>
      <c r="M342" s="657"/>
      <c r="N342" s="657"/>
      <c r="O342" s="657"/>
      <c r="P342" s="657"/>
    </row>
    <row r="343" spans="1:16" ht="12.75">
      <c r="A343" s="657"/>
      <c r="B343" s="657"/>
      <c r="C343" s="657"/>
      <c r="D343" s="657" t="s">
        <v>698</v>
      </c>
      <c r="E343" s="657"/>
      <c r="F343" s="657"/>
      <c r="G343" s="657"/>
      <c r="H343" s="657"/>
      <c r="I343" s="657"/>
      <c r="J343" s="657"/>
      <c r="K343" s="657"/>
      <c r="L343" s="657"/>
      <c r="M343" s="657"/>
      <c r="N343" s="657"/>
      <c r="O343" s="657"/>
      <c r="P343" s="657"/>
    </row>
    <row r="344" spans="1:16" ht="12.75">
      <c r="A344" s="657"/>
      <c r="B344" s="657"/>
      <c r="C344" s="657" t="s">
        <v>475</v>
      </c>
      <c r="D344" s="685">
        <v>201901</v>
      </c>
      <c r="E344" s="752">
        <v>201902</v>
      </c>
      <c r="F344" s="752">
        <v>201903</v>
      </c>
      <c r="G344" s="752">
        <v>201904</v>
      </c>
      <c r="H344" s="752">
        <v>201905</v>
      </c>
      <c r="I344" s="752">
        <v>201906</v>
      </c>
      <c r="J344" s="752">
        <v>201907</v>
      </c>
      <c r="K344" s="752">
        <v>201908</v>
      </c>
      <c r="L344" s="752">
        <v>201909</v>
      </c>
      <c r="M344" s="752">
        <v>201910</v>
      </c>
      <c r="N344" s="752">
        <v>201911</v>
      </c>
      <c r="O344" s="752">
        <v>201912</v>
      </c>
      <c r="P344" s="657" t="s">
        <v>478</v>
      </c>
    </row>
    <row r="346" spans="1:17" ht="12.75">
      <c r="A346" s="752" t="s">
        <v>957</v>
      </c>
      <c r="B346" s="752"/>
      <c r="C346" s="752"/>
      <c r="D346" s="752"/>
      <c r="E346" s="752"/>
      <c r="F346" s="752"/>
      <c r="G346" s="752"/>
      <c r="H346" s="752"/>
      <c r="I346" s="752"/>
      <c r="J346" s="752"/>
      <c r="K346" s="752"/>
      <c r="L346" s="752"/>
      <c r="M346" s="752"/>
      <c r="N346" s="752"/>
      <c r="O346" s="752"/>
      <c r="P346" s="752"/>
      <c r="Q346" s="752"/>
    </row>
    <row r="347" spans="1:17" ht="12.75">
      <c r="A347" s="752" t="s">
        <v>958</v>
      </c>
      <c r="B347" s="752"/>
      <c r="C347" s="752"/>
      <c r="D347" s="752"/>
      <c r="E347" s="752"/>
      <c r="F347" s="752"/>
      <c r="G347" s="752"/>
      <c r="H347" s="752"/>
      <c r="I347" s="752"/>
      <c r="J347" s="752"/>
      <c r="K347" s="752"/>
      <c r="L347" s="752"/>
      <c r="M347" s="752"/>
      <c r="N347" s="752"/>
      <c r="O347" s="752"/>
      <c r="P347" s="752"/>
      <c r="Q347" s="752"/>
    </row>
    <row r="348" spans="1:17" ht="15">
      <c r="A348" s="752"/>
      <c r="B348" s="752" t="s">
        <v>959</v>
      </c>
      <c r="C348" s="752"/>
      <c r="D348" s="766">
        <v>210947.73</v>
      </c>
      <c r="E348" s="766">
        <v>213666.06</v>
      </c>
      <c r="F348" s="766">
        <v>231146.78</v>
      </c>
      <c r="G348" s="766">
        <v>197713.04</v>
      </c>
      <c r="H348" s="766">
        <v>208742.72</v>
      </c>
      <c r="I348" s="766">
        <v>227748.21</v>
      </c>
      <c r="J348" s="766">
        <v>237912.8</v>
      </c>
      <c r="K348" s="766">
        <v>260707.5</v>
      </c>
      <c r="L348" s="766">
        <v>264421.16</v>
      </c>
      <c r="M348" s="766">
        <v>247952.67</v>
      </c>
      <c r="N348" s="766">
        <v>236848.6</v>
      </c>
      <c r="O348" s="766">
        <v>228751.6</v>
      </c>
      <c r="P348" s="589">
        <f>SUM(D348:O348)</f>
        <v>2766558.87</v>
      </c>
      <c r="Q348" s="752"/>
    </row>
    <row r="349" spans="1:17" ht="15">
      <c r="A349" s="752"/>
      <c r="B349" s="752" t="s">
        <v>960</v>
      </c>
      <c r="C349" s="752"/>
      <c r="D349" s="766">
        <v>0</v>
      </c>
      <c r="E349" s="766">
        <v>0</v>
      </c>
      <c r="F349" s="766">
        <v>0</v>
      </c>
      <c r="G349" s="766">
        <v>0</v>
      </c>
      <c r="H349" s="766">
        <v>0</v>
      </c>
      <c r="I349" s="766">
        <v>0</v>
      </c>
      <c r="J349" s="766">
        <v>0</v>
      </c>
      <c r="K349" s="766">
        <v>0</v>
      </c>
      <c r="L349" s="766">
        <v>0</v>
      </c>
      <c r="M349" s="766">
        <v>0</v>
      </c>
      <c r="N349" s="766">
        <v>0</v>
      </c>
      <c r="O349" s="766">
        <v>0</v>
      </c>
      <c r="P349" s="589">
        <f>SUM(D349:O349)</f>
        <v>0</v>
      </c>
      <c r="Q349" s="752"/>
    </row>
    <row r="350" spans="1:17" ht="15">
      <c r="A350" s="752"/>
      <c r="B350" s="752" t="s">
        <v>961</v>
      </c>
      <c r="C350" s="752"/>
      <c r="D350" s="766">
        <v>6.5</v>
      </c>
      <c r="E350" s="767">
        <f>D350</f>
        <v>6.5</v>
      </c>
      <c r="F350" s="767">
        <f aca="true" t="shared" si="70" ref="F350:O351">E350</f>
        <v>6.5</v>
      </c>
      <c r="G350" s="767">
        <f t="shared" si="70"/>
        <v>6.5</v>
      </c>
      <c r="H350" s="767">
        <f t="shared" si="70"/>
        <v>6.5</v>
      </c>
      <c r="I350" s="767">
        <f t="shared" si="70"/>
        <v>6.5</v>
      </c>
      <c r="J350" s="767">
        <f t="shared" si="70"/>
        <v>6.5</v>
      </c>
      <c r="K350" s="767">
        <f t="shared" si="70"/>
        <v>6.5</v>
      </c>
      <c r="L350" s="767">
        <f t="shared" si="70"/>
        <v>6.5</v>
      </c>
      <c r="M350" s="767">
        <f t="shared" si="70"/>
        <v>6.5</v>
      </c>
      <c r="N350" s="767">
        <f t="shared" si="70"/>
        <v>6.5</v>
      </c>
      <c r="O350" s="767">
        <f t="shared" si="70"/>
        <v>6.5</v>
      </c>
      <c r="P350" s="752"/>
      <c r="Q350" s="752"/>
    </row>
    <row r="351" spans="1:17" ht="15">
      <c r="A351" s="752"/>
      <c r="B351" s="752" t="s">
        <v>962</v>
      </c>
      <c r="C351" s="752"/>
      <c r="D351" s="766">
        <v>0.5</v>
      </c>
      <c r="E351" s="767">
        <f>D351</f>
        <v>0.5</v>
      </c>
      <c r="F351" s="767">
        <f t="shared" si="70"/>
        <v>0.5</v>
      </c>
      <c r="G351" s="767">
        <f t="shared" si="70"/>
        <v>0.5</v>
      </c>
      <c r="H351" s="767">
        <f t="shared" si="70"/>
        <v>0.5</v>
      </c>
      <c r="I351" s="767">
        <f t="shared" si="70"/>
        <v>0.5</v>
      </c>
      <c r="J351" s="767">
        <f t="shared" si="70"/>
        <v>0.5</v>
      </c>
      <c r="K351" s="767">
        <f t="shared" si="70"/>
        <v>0.5</v>
      </c>
      <c r="L351" s="767">
        <f t="shared" si="70"/>
        <v>0.5</v>
      </c>
      <c r="M351" s="767">
        <f t="shared" si="70"/>
        <v>0.5</v>
      </c>
      <c r="N351" s="767">
        <f t="shared" si="70"/>
        <v>0.5</v>
      </c>
      <c r="O351" s="767">
        <f t="shared" si="70"/>
        <v>0.5</v>
      </c>
      <c r="P351" s="752"/>
      <c r="Q351" s="752"/>
    </row>
    <row r="352" spans="1:17" ht="12.75">
      <c r="A352" s="752" t="s">
        <v>963</v>
      </c>
      <c r="B352" s="752"/>
      <c r="C352" s="752"/>
      <c r="D352" s="752"/>
      <c r="E352" s="752"/>
      <c r="F352" s="752"/>
      <c r="G352" s="752"/>
      <c r="H352" s="752"/>
      <c r="I352" s="752"/>
      <c r="J352" s="752"/>
      <c r="K352" s="752"/>
      <c r="L352" s="752"/>
      <c r="M352" s="752"/>
      <c r="N352" s="752"/>
      <c r="O352" s="752"/>
      <c r="P352" s="752"/>
      <c r="Q352" s="752"/>
    </row>
    <row r="353" spans="1:17" ht="15">
      <c r="A353" s="752"/>
      <c r="B353" s="752" t="s">
        <v>959</v>
      </c>
      <c r="C353" s="752"/>
      <c r="D353" s="766">
        <v>7626.84</v>
      </c>
      <c r="E353" s="766">
        <v>7923.84</v>
      </c>
      <c r="F353" s="766">
        <v>8197.2</v>
      </c>
      <c r="G353" s="766">
        <v>6605.04</v>
      </c>
      <c r="H353" s="766">
        <v>5549.55</v>
      </c>
      <c r="I353" s="766">
        <v>4194.29</v>
      </c>
      <c r="J353" s="766">
        <v>4294.84</v>
      </c>
      <c r="K353" s="766">
        <v>6707.5</v>
      </c>
      <c r="L353" s="766">
        <v>6604.23</v>
      </c>
      <c r="M353" s="766">
        <v>7089.95</v>
      </c>
      <c r="N353" s="766">
        <v>8859.67</v>
      </c>
      <c r="O353" s="766">
        <v>8790.03</v>
      </c>
      <c r="P353" s="589">
        <f aca="true" t="shared" si="71" ref="P353:P354">SUM(D353:O353)</f>
        <v>82442.98</v>
      </c>
      <c r="Q353" s="752"/>
    </row>
    <row r="354" spans="1:17" ht="15">
      <c r="A354" s="752"/>
      <c r="B354" s="752" t="s">
        <v>960</v>
      </c>
      <c r="C354" s="752"/>
      <c r="D354" s="766">
        <v>0</v>
      </c>
      <c r="E354" s="766">
        <v>0</v>
      </c>
      <c r="F354" s="766">
        <v>0</v>
      </c>
      <c r="G354" s="766">
        <v>0</v>
      </c>
      <c r="H354" s="766">
        <v>0</v>
      </c>
      <c r="I354" s="766">
        <v>0</v>
      </c>
      <c r="J354" s="766">
        <v>0</v>
      </c>
      <c r="K354" s="766">
        <v>0</v>
      </c>
      <c r="L354" s="766">
        <v>0</v>
      </c>
      <c r="M354" s="766">
        <v>0</v>
      </c>
      <c r="N354" s="766">
        <v>0</v>
      </c>
      <c r="O354" s="766">
        <v>0</v>
      </c>
      <c r="P354" s="589">
        <f t="shared" si="71"/>
        <v>0</v>
      </c>
      <c r="Q354" s="752"/>
    </row>
    <row r="355" spans="1:17" ht="15">
      <c r="A355" s="752"/>
      <c r="B355" s="752" t="s">
        <v>961</v>
      </c>
      <c r="C355" s="752"/>
      <c r="D355" s="766">
        <v>6.5</v>
      </c>
      <c r="E355" s="767">
        <f>D355</f>
        <v>6.5</v>
      </c>
      <c r="F355" s="767">
        <f aca="true" t="shared" si="72" ref="F355:O356">E355</f>
        <v>6.5</v>
      </c>
      <c r="G355" s="767">
        <f t="shared" si="72"/>
        <v>6.5</v>
      </c>
      <c r="H355" s="767">
        <f t="shared" si="72"/>
        <v>6.5</v>
      </c>
      <c r="I355" s="767">
        <f t="shared" si="72"/>
        <v>6.5</v>
      </c>
      <c r="J355" s="767">
        <f t="shared" si="72"/>
        <v>6.5</v>
      </c>
      <c r="K355" s="767">
        <f t="shared" si="72"/>
        <v>6.5</v>
      </c>
      <c r="L355" s="767">
        <f t="shared" si="72"/>
        <v>6.5</v>
      </c>
      <c r="M355" s="767">
        <f t="shared" si="72"/>
        <v>6.5</v>
      </c>
      <c r="N355" s="767">
        <f t="shared" si="72"/>
        <v>6.5</v>
      </c>
      <c r="O355" s="767">
        <f t="shared" si="72"/>
        <v>6.5</v>
      </c>
      <c r="P355" s="752"/>
      <c r="Q355" s="752"/>
    </row>
    <row r="356" spans="1:17" ht="15">
      <c r="A356" s="752"/>
      <c r="B356" s="752" t="s">
        <v>962</v>
      </c>
      <c r="C356" s="752"/>
      <c r="D356" s="766">
        <v>0.5</v>
      </c>
      <c r="E356" s="767">
        <f>D356</f>
        <v>0.5</v>
      </c>
      <c r="F356" s="767">
        <f t="shared" si="72"/>
        <v>0.5</v>
      </c>
      <c r="G356" s="767">
        <f t="shared" si="72"/>
        <v>0.5</v>
      </c>
      <c r="H356" s="767">
        <f t="shared" si="72"/>
        <v>0.5</v>
      </c>
      <c r="I356" s="767">
        <f t="shared" si="72"/>
        <v>0.5</v>
      </c>
      <c r="J356" s="767">
        <f t="shared" si="72"/>
        <v>0.5</v>
      </c>
      <c r="K356" s="767">
        <f t="shared" si="72"/>
        <v>0.5</v>
      </c>
      <c r="L356" s="767">
        <f t="shared" si="72"/>
        <v>0.5</v>
      </c>
      <c r="M356" s="767">
        <f t="shared" si="72"/>
        <v>0.5</v>
      </c>
      <c r="N356" s="767">
        <f t="shared" si="72"/>
        <v>0.5</v>
      </c>
      <c r="O356" s="767">
        <f t="shared" si="72"/>
        <v>0.5</v>
      </c>
      <c r="P356" s="752"/>
      <c r="Q356" s="752"/>
    </row>
    <row r="357" spans="1:17" ht="12.75">
      <c r="A357" s="752" t="s">
        <v>964</v>
      </c>
      <c r="B357" s="752"/>
      <c r="C357" s="752"/>
      <c r="D357" s="752"/>
      <c r="E357" s="752"/>
      <c r="F357" s="752"/>
      <c r="G357" s="752"/>
      <c r="H357" s="752"/>
      <c r="I357" s="752"/>
      <c r="J357" s="752"/>
      <c r="K357" s="752"/>
      <c r="L357" s="752"/>
      <c r="M357" s="752"/>
      <c r="N357" s="752"/>
      <c r="O357" s="752"/>
      <c r="P357" s="752"/>
      <c r="Q357" s="752"/>
    </row>
    <row r="358" spans="1:17" ht="15">
      <c r="A358" s="752"/>
      <c r="B358" s="752" t="s">
        <v>959</v>
      </c>
      <c r="C358" s="752"/>
      <c r="D358" s="768">
        <v>1323996.91</v>
      </c>
      <c r="E358" s="768">
        <v>1285571.51</v>
      </c>
      <c r="F358" s="768">
        <v>1368216.58</v>
      </c>
      <c r="G358" s="768">
        <v>1311816.22</v>
      </c>
      <c r="H358" s="768">
        <v>1343031.12</v>
      </c>
      <c r="I358" s="768">
        <v>1469575.33</v>
      </c>
      <c r="J358" s="768">
        <v>1497363.67</v>
      </c>
      <c r="K358" s="768">
        <v>1539350.45</v>
      </c>
      <c r="L358" s="768">
        <v>1489775.05</v>
      </c>
      <c r="M358" s="768">
        <v>1513382.8</v>
      </c>
      <c r="N358" s="768">
        <v>1394984.26</v>
      </c>
      <c r="O358" s="768">
        <v>1352514.19</v>
      </c>
      <c r="P358" s="589">
        <f aca="true" t="shared" si="73" ref="P358:P360">SUM(D358:O358)</f>
        <v>16889578.09</v>
      </c>
      <c r="Q358" s="752"/>
    </row>
    <row r="359" spans="1:17" ht="15">
      <c r="A359" s="752"/>
      <c r="B359" s="752" t="s">
        <v>960</v>
      </c>
      <c r="C359" s="752"/>
      <c r="D359" s="766">
        <v>9113.23</v>
      </c>
      <c r="E359" s="766">
        <v>8668.18</v>
      </c>
      <c r="F359" s="766">
        <v>8492.15</v>
      </c>
      <c r="G359" s="766">
        <v>9184.44</v>
      </c>
      <c r="H359" s="766">
        <v>10070.29</v>
      </c>
      <c r="I359" s="766">
        <v>10933.33</v>
      </c>
      <c r="J359" s="766">
        <v>12202.77</v>
      </c>
      <c r="K359" s="766">
        <v>11821.83</v>
      </c>
      <c r="L359" s="766">
        <v>12466.38</v>
      </c>
      <c r="M359" s="766">
        <v>11497.97</v>
      </c>
      <c r="N359" s="766">
        <v>11126.52</v>
      </c>
      <c r="O359" s="766">
        <v>10683.54</v>
      </c>
      <c r="P359" s="589">
        <f t="shared" si="73"/>
        <v>126260.63</v>
      </c>
      <c r="Q359" s="752"/>
    </row>
    <row r="360" spans="1:17" ht="15">
      <c r="A360" s="752"/>
      <c r="B360" s="752" t="s">
        <v>965</v>
      </c>
      <c r="C360" s="752"/>
      <c r="D360" s="766">
        <v>-3897.25</v>
      </c>
      <c r="E360" s="766">
        <v>-13267.62</v>
      </c>
      <c r="F360" s="766">
        <v>-4203.52</v>
      </c>
      <c r="G360" s="766">
        <v>-4123.36</v>
      </c>
      <c r="H360" s="766">
        <v>-4769.89</v>
      </c>
      <c r="I360" s="766">
        <v>-5017.35</v>
      </c>
      <c r="J360" s="766">
        <v>-4718.68</v>
      </c>
      <c r="K360" s="766">
        <v>-5313.78</v>
      </c>
      <c r="L360" s="766">
        <v>-5340.07</v>
      </c>
      <c r="M360" s="766">
        <v>-5371</v>
      </c>
      <c r="N360" s="766">
        <v>-4934</v>
      </c>
      <c r="O360" s="766">
        <v>-4212.69</v>
      </c>
      <c r="P360" s="589">
        <f t="shared" si="73"/>
        <v>-65169.21000000001</v>
      </c>
      <c r="Q360" s="752"/>
    </row>
    <row r="361" spans="1:17" ht="15">
      <c r="A361" s="752"/>
      <c r="B361" s="752" t="s">
        <v>961</v>
      </c>
      <c r="C361" s="752"/>
      <c r="D361" s="766">
        <v>6.5</v>
      </c>
      <c r="E361" s="767">
        <f>D361</f>
        <v>6.5</v>
      </c>
      <c r="F361" s="767">
        <f aca="true" t="shared" si="74" ref="F361:O363">E361</f>
        <v>6.5</v>
      </c>
      <c r="G361" s="767">
        <f t="shared" si="74"/>
        <v>6.5</v>
      </c>
      <c r="H361" s="767">
        <f t="shared" si="74"/>
        <v>6.5</v>
      </c>
      <c r="I361" s="767">
        <f t="shared" si="74"/>
        <v>6.5</v>
      </c>
      <c r="J361" s="767">
        <f t="shared" si="74"/>
        <v>6.5</v>
      </c>
      <c r="K361" s="767">
        <f t="shared" si="74"/>
        <v>6.5</v>
      </c>
      <c r="L361" s="767">
        <f t="shared" si="74"/>
        <v>6.5</v>
      </c>
      <c r="M361" s="767">
        <f t="shared" si="74"/>
        <v>6.5</v>
      </c>
      <c r="N361" s="767">
        <f t="shared" si="74"/>
        <v>6.5</v>
      </c>
      <c r="O361" s="767">
        <f t="shared" si="74"/>
        <v>6.5</v>
      </c>
      <c r="P361" s="752"/>
      <c r="Q361" s="752"/>
    </row>
    <row r="362" spans="1:17" ht="15">
      <c r="A362" s="752"/>
      <c r="B362" s="752" t="s">
        <v>962</v>
      </c>
      <c r="C362" s="752"/>
      <c r="D362" s="766">
        <v>0.5</v>
      </c>
      <c r="E362" s="767">
        <f>D362</f>
        <v>0.5</v>
      </c>
      <c r="F362" s="767">
        <f t="shared" si="74"/>
        <v>0.5</v>
      </c>
      <c r="G362" s="767">
        <f t="shared" si="74"/>
        <v>0.5</v>
      </c>
      <c r="H362" s="767">
        <f t="shared" si="74"/>
        <v>0.5</v>
      </c>
      <c r="I362" s="767">
        <f t="shared" si="74"/>
        <v>0.5</v>
      </c>
      <c r="J362" s="767">
        <f t="shared" si="74"/>
        <v>0.5</v>
      </c>
      <c r="K362" s="767">
        <f t="shared" si="74"/>
        <v>0.5</v>
      </c>
      <c r="L362" s="767">
        <f t="shared" si="74"/>
        <v>0.5</v>
      </c>
      <c r="M362" s="767">
        <f t="shared" si="74"/>
        <v>0.5</v>
      </c>
      <c r="N362" s="767">
        <f t="shared" si="74"/>
        <v>0.5</v>
      </c>
      <c r="O362" s="767">
        <f t="shared" si="74"/>
        <v>0.5</v>
      </c>
      <c r="P362" s="752"/>
      <c r="Q362" s="752"/>
    </row>
    <row r="363" spans="1:17" ht="15">
      <c r="A363" s="752"/>
      <c r="B363" s="752" t="s">
        <v>966</v>
      </c>
      <c r="C363" s="752"/>
      <c r="D363" s="766">
        <v>-0.2</v>
      </c>
      <c r="E363" s="767">
        <f>D363</f>
        <v>-0.2</v>
      </c>
      <c r="F363" s="767">
        <f t="shared" si="74"/>
        <v>-0.2</v>
      </c>
      <c r="G363" s="767">
        <f t="shared" si="74"/>
        <v>-0.2</v>
      </c>
      <c r="H363" s="767">
        <f t="shared" si="74"/>
        <v>-0.2</v>
      </c>
      <c r="I363" s="767">
        <f t="shared" si="74"/>
        <v>-0.2</v>
      </c>
      <c r="J363" s="767">
        <f t="shared" si="74"/>
        <v>-0.2</v>
      </c>
      <c r="K363" s="767">
        <f t="shared" si="74"/>
        <v>-0.2</v>
      </c>
      <c r="L363" s="767">
        <f t="shared" si="74"/>
        <v>-0.2</v>
      </c>
      <c r="M363" s="767">
        <f t="shared" si="74"/>
        <v>-0.2</v>
      </c>
      <c r="N363" s="767">
        <f t="shared" si="74"/>
        <v>-0.2</v>
      </c>
      <c r="O363" s="767">
        <f t="shared" si="74"/>
        <v>-0.2</v>
      </c>
      <c r="P363" s="752"/>
      <c r="Q363" s="752"/>
    </row>
    <row r="364" spans="1:17" ht="12.75">
      <c r="A364" s="752" t="s">
        <v>967</v>
      </c>
      <c r="B364" s="752"/>
      <c r="C364" s="752"/>
      <c r="D364" s="752"/>
      <c r="E364" s="752"/>
      <c r="F364" s="752"/>
      <c r="G364" s="752"/>
      <c r="H364" s="752"/>
      <c r="I364" s="752"/>
      <c r="J364" s="752"/>
      <c r="K364" s="752"/>
      <c r="L364" s="752"/>
      <c r="M364" s="752"/>
      <c r="N364" s="752"/>
      <c r="O364" s="752"/>
      <c r="P364" s="752"/>
      <c r="Q364" s="752"/>
    </row>
    <row r="365" spans="1:17" ht="15">
      <c r="A365" s="752"/>
      <c r="B365" s="752" t="s">
        <v>959</v>
      </c>
      <c r="C365" s="752"/>
      <c r="D365" s="766">
        <v>31412.65</v>
      </c>
      <c r="E365" s="766">
        <v>32464</v>
      </c>
      <c r="F365" s="766">
        <v>35972.1</v>
      </c>
      <c r="G365" s="766">
        <v>26928.86</v>
      </c>
      <c r="H365" s="766">
        <v>21101.92</v>
      </c>
      <c r="I365" s="766">
        <v>20721.34</v>
      </c>
      <c r="J365" s="766">
        <v>21544.74</v>
      </c>
      <c r="K365" s="766">
        <v>23156.35</v>
      </c>
      <c r="L365" s="766">
        <v>21024.53</v>
      </c>
      <c r="M365" s="766">
        <v>27308.44</v>
      </c>
      <c r="N365" s="766">
        <v>31090.45</v>
      </c>
      <c r="O365" s="766">
        <v>29927.94</v>
      </c>
      <c r="P365" s="589">
        <f aca="true" t="shared" si="75" ref="P365:P367">SUM(D365:O365)</f>
        <v>322653.32</v>
      </c>
      <c r="Q365" s="752"/>
    </row>
    <row r="366" spans="1:17" ht="15">
      <c r="A366" s="752"/>
      <c r="B366" s="752" t="s">
        <v>960</v>
      </c>
      <c r="C366" s="752"/>
      <c r="D366" s="766">
        <v>0</v>
      </c>
      <c r="E366" s="766">
        <v>0</v>
      </c>
      <c r="F366" s="766">
        <v>0</v>
      </c>
      <c r="G366" s="766">
        <v>0</v>
      </c>
      <c r="H366" s="766">
        <v>0</v>
      </c>
      <c r="I366" s="766">
        <v>2.98</v>
      </c>
      <c r="J366" s="766">
        <v>3.68</v>
      </c>
      <c r="K366" s="766">
        <v>5.84</v>
      </c>
      <c r="L366" s="766">
        <v>3.92</v>
      </c>
      <c r="M366" s="766">
        <v>15.39</v>
      </c>
      <c r="N366" s="766">
        <v>0</v>
      </c>
      <c r="O366" s="766">
        <v>0</v>
      </c>
      <c r="P366" s="589">
        <f t="shared" si="75"/>
        <v>31.810000000000002</v>
      </c>
      <c r="Q366" s="752"/>
    </row>
    <row r="367" spans="1:17" ht="15">
      <c r="A367" s="752"/>
      <c r="B367" s="752" t="s">
        <v>965</v>
      </c>
      <c r="C367" s="752"/>
      <c r="D367" s="766">
        <v>0</v>
      </c>
      <c r="E367" s="766">
        <v>0</v>
      </c>
      <c r="F367" s="766">
        <v>0</v>
      </c>
      <c r="G367" s="766">
        <v>0</v>
      </c>
      <c r="H367" s="766">
        <v>0</v>
      </c>
      <c r="I367" s="766">
        <v>0</v>
      </c>
      <c r="J367" s="766">
        <v>0</v>
      </c>
      <c r="K367" s="766">
        <v>0</v>
      </c>
      <c r="L367" s="766">
        <v>0</v>
      </c>
      <c r="M367" s="766">
        <v>0</v>
      </c>
      <c r="N367" s="766">
        <v>0</v>
      </c>
      <c r="O367" s="766">
        <v>0</v>
      </c>
      <c r="P367" s="589">
        <f t="shared" si="75"/>
        <v>0</v>
      </c>
      <c r="Q367" s="752"/>
    </row>
    <row r="368" spans="1:17" ht="15">
      <c r="A368" s="752"/>
      <c r="B368" s="752" t="s">
        <v>961</v>
      </c>
      <c r="C368" s="752"/>
      <c r="D368" s="766">
        <v>6.5</v>
      </c>
      <c r="E368" s="767">
        <f>D368</f>
        <v>6.5</v>
      </c>
      <c r="F368" s="767">
        <f aca="true" t="shared" si="76" ref="F368:O370">E368</f>
        <v>6.5</v>
      </c>
      <c r="G368" s="767">
        <f t="shared" si="76"/>
        <v>6.5</v>
      </c>
      <c r="H368" s="767">
        <f t="shared" si="76"/>
        <v>6.5</v>
      </c>
      <c r="I368" s="767">
        <f t="shared" si="76"/>
        <v>6.5</v>
      </c>
      <c r="J368" s="767">
        <f t="shared" si="76"/>
        <v>6.5</v>
      </c>
      <c r="K368" s="767">
        <f t="shared" si="76"/>
        <v>6.5</v>
      </c>
      <c r="L368" s="767">
        <f t="shared" si="76"/>
        <v>6.5</v>
      </c>
      <c r="M368" s="767">
        <f t="shared" si="76"/>
        <v>6.5</v>
      </c>
      <c r="N368" s="767">
        <f t="shared" si="76"/>
        <v>6.5</v>
      </c>
      <c r="O368" s="767">
        <f t="shared" si="76"/>
        <v>6.5</v>
      </c>
      <c r="P368" s="752"/>
      <c r="Q368" s="752"/>
    </row>
    <row r="369" spans="1:17" ht="15">
      <c r="A369" s="752"/>
      <c r="B369" s="752" t="s">
        <v>962</v>
      </c>
      <c r="C369" s="752"/>
      <c r="D369" s="766">
        <v>0.5</v>
      </c>
      <c r="E369" s="767">
        <f>D369</f>
        <v>0.5</v>
      </c>
      <c r="F369" s="767">
        <f t="shared" si="76"/>
        <v>0.5</v>
      </c>
      <c r="G369" s="767">
        <f t="shared" si="76"/>
        <v>0.5</v>
      </c>
      <c r="H369" s="767">
        <f t="shared" si="76"/>
        <v>0.5</v>
      </c>
      <c r="I369" s="767">
        <f t="shared" si="76"/>
        <v>0.5</v>
      </c>
      <c r="J369" s="767">
        <f t="shared" si="76"/>
        <v>0.5</v>
      </c>
      <c r="K369" s="767">
        <f t="shared" si="76"/>
        <v>0.5</v>
      </c>
      <c r="L369" s="767">
        <f t="shared" si="76"/>
        <v>0.5</v>
      </c>
      <c r="M369" s="767">
        <f t="shared" si="76"/>
        <v>0.5</v>
      </c>
      <c r="N369" s="767">
        <f t="shared" si="76"/>
        <v>0.5</v>
      </c>
      <c r="O369" s="767">
        <f t="shared" si="76"/>
        <v>0.5</v>
      </c>
      <c r="P369" s="752"/>
      <c r="Q369" s="752"/>
    </row>
    <row r="370" spans="1:17" ht="15">
      <c r="A370" s="752"/>
      <c r="B370" s="752" t="s">
        <v>966</v>
      </c>
      <c r="C370" s="752"/>
      <c r="D370" s="766">
        <v>-0.2</v>
      </c>
      <c r="E370" s="767">
        <f>D370</f>
        <v>-0.2</v>
      </c>
      <c r="F370" s="767">
        <f t="shared" si="76"/>
        <v>-0.2</v>
      </c>
      <c r="G370" s="767">
        <f t="shared" si="76"/>
        <v>-0.2</v>
      </c>
      <c r="H370" s="767">
        <f t="shared" si="76"/>
        <v>-0.2</v>
      </c>
      <c r="I370" s="767">
        <f t="shared" si="76"/>
        <v>-0.2</v>
      </c>
      <c r="J370" s="767">
        <f t="shared" si="76"/>
        <v>-0.2</v>
      </c>
      <c r="K370" s="767">
        <f t="shared" si="76"/>
        <v>-0.2</v>
      </c>
      <c r="L370" s="767">
        <f t="shared" si="76"/>
        <v>-0.2</v>
      </c>
      <c r="M370" s="767">
        <f t="shared" si="76"/>
        <v>-0.2</v>
      </c>
      <c r="N370" s="767">
        <f t="shared" si="76"/>
        <v>-0.2</v>
      </c>
      <c r="O370" s="767">
        <f t="shared" si="76"/>
        <v>-0.2</v>
      </c>
      <c r="P370" s="752"/>
      <c r="Q370" s="752"/>
    </row>
    <row r="371" spans="1:17" ht="12.75">
      <c r="A371" s="752" t="s">
        <v>968</v>
      </c>
      <c r="B371" s="752"/>
      <c r="C371" s="752"/>
      <c r="D371" s="752"/>
      <c r="E371" s="752"/>
      <c r="F371" s="752"/>
      <c r="G371" s="752"/>
      <c r="H371" s="752"/>
      <c r="I371" s="752"/>
      <c r="J371" s="752"/>
      <c r="K371" s="752"/>
      <c r="L371" s="752"/>
      <c r="M371" s="752"/>
      <c r="N371" s="752"/>
      <c r="O371" s="752"/>
      <c r="P371" s="752"/>
      <c r="Q371" s="752"/>
    </row>
    <row r="372" spans="1:17" ht="15">
      <c r="A372" s="752"/>
      <c r="B372" s="752" t="s">
        <v>959</v>
      </c>
      <c r="C372" s="752"/>
      <c r="D372" s="766">
        <v>666432.23</v>
      </c>
      <c r="E372" s="766">
        <v>652001.65</v>
      </c>
      <c r="F372" s="766">
        <v>686228.85</v>
      </c>
      <c r="G372" s="766">
        <v>673260.36</v>
      </c>
      <c r="H372" s="766">
        <v>660927.79</v>
      </c>
      <c r="I372" s="766">
        <v>725362.24</v>
      </c>
      <c r="J372" s="766">
        <v>694676.39</v>
      </c>
      <c r="K372" s="766">
        <v>706268.77</v>
      </c>
      <c r="L372" s="766">
        <v>741565.98</v>
      </c>
      <c r="M372" s="766">
        <v>733036.77</v>
      </c>
      <c r="N372" s="766">
        <v>705514.82</v>
      </c>
      <c r="O372" s="766">
        <v>662546.63</v>
      </c>
      <c r="P372" s="589">
        <f aca="true" t="shared" si="77" ref="P372:P375">SUM(D372:O372)</f>
        <v>8307822.4799999995</v>
      </c>
      <c r="Q372" s="419"/>
    </row>
    <row r="373" spans="1:17" ht="15">
      <c r="A373" s="752"/>
      <c r="B373" s="752" t="s">
        <v>969</v>
      </c>
      <c r="C373" s="752"/>
      <c r="D373" s="766">
        <v>-19158.52</v>
      </c>
      <c r="E373" s="766">
        <v>-19530.38</v>
      </c>
      <c r="F373" s="766">
        <v>-19520.25</v>
      </c>
      <c r="G373" s="766">
        <v>-19393.53</v>
      </c>
      <c r="H373" s="766">
        <v>-19101.2</v>
      </c>
      <c r="I373" s="766">
        <v>-21280.44</v>
      </c>
      <c r="J373" s="766">
        <v>-20110.23</v>
      </c>
      <c r="K373" s="766">
        <v>-20385.76</v>
      </c>
      <c r="L373" s="766">
        <v>-20922.39</v>
      </c>
      <c r="M373" s="766">
        <v>-20525.26</v>
      </c>
      <c r="N373" s="766">
        <v>-17120.55</v>
      </c>
      <c r="O373" s="766">
        <v>-16629.81</v>
      </c>
      <c r="P373" s="589">
        <f t="shared" si="77"/>
        <v>-233678.32</v>
      </c>
      <c r="Q373" s="419"/>
    </row>
    <row r="374" spans="1:17" ht="15">
      <c r="A374" s="752"/>
      <c r="B374" s="752" t="s">
        <v>970</v>
      </c>
      <c r="C374" s="752"/>
      <c r="D374" s="766">
        <v>-9986.11</v>
      </c>
      <c r="E374" s="766">
        <v>-13362.28</v>
      </c>
      <c r="F374" s="766">
        <v>-11794.68</v>
      </c>
      <c r="G374" s="766">
        <v>-11909.8</v>
      </c>
      <c r="H374" s="766">
        <v>-9559.61</v>
      </c>
      <c r="I374" s="766">
        <v>-9692.86</v>
      </c>
      <c r="J374" s="766">
        <v>-10133.27</v>
      </c>
      <c r="K374" s="766">
        <v>-9427.79</v>
      </c>
      <c r="L374" s="766">
        <v>-9094.22</v>
      </c>
      <c r="M374" s="766">
        <v>-9902.53</v>
      </c>
      <c r="N374" s="766">
        <v>-10866.28</v>
      </c>
      <c r="O374" s="766">
        <v>-14918.64</v>
      </c>
      <c r="P374" s="589">
        <f t="shared" si="77"/>
        <v>-130648.06999999999</v>
      </c>
      <c r="Q374" s="419"/>
    </row>
    <row r="375" spans="1:17" ht="15">
      <c r="A375" s="752"/>
      <c r="B375" s="752" t="s">
        <v>971</v>
      </c>
      <c r="C375" s="752"/>
      <c r="D375" s="766">
        <v>-72979.48</v>
      </c>
      <c r="E375" s="766">
        <v>-68140.8</v>
      </c>
      <c r="F375" s="766">
        <v>-68342.4</v>
      </c>
      <c r="G375" s="766">
        <v>-72980.32</v>
      </c>
      <c r="H375" s="766">
        <v>-71971.48</v>
      </c>
      <c r="I375" s="766">
        <v>-70963.48</v>
      </c>
      <c r="J375" s="766">
        <v>-72173.08</v>
      </c>
      <c r="K375" s="766">
        <v>-73181.08</v>
      </c>
      <c r="L375" s="766">
        <v>-75602.42</v>
      </c>
      <c r="M375" s="766">
        <v>-72979.48</v>
      </c>
      <c r="N375" s="766">
        <v>-75801.87</v>
      </c>
      <c r="O375" s="766">
        <v>-71769.88</v>
      </c>
      <c r="P375" s="589">
        <f t="shared" si="77"/>
        <v>-866885.77</v>
      </c>
      <c r="Q375" s="419"/>
    </row>
    <row r="376" spans="1:17" ht="15">
      <c r="A376" s="752"/>
      <c r="B376" s="752" t="s">
        <v>961</v>
      </c>
      <c r="C376" s="752"/>
      <c r="D376" s="766">
        <v>6.5</v>
      </c>
      <c r="E376" s="767">
        <f aca="true" t="shared" si="78" ref="E376:O379">D376</f>
        <v>6.5</v>
      </c>
      <c r="F376" s="767">
        <f t="shared" si="78"/>
        <v>6.5</v>
      </c>
      <c r="G376" s="767">
        <f t="shared" si="78"/>
        <v>6.5</v>
      </c>
      <c r="H376" s="767">
        <f t="shared" si="78"/>
        <v>6.5</v>
      </c>
      <c r="I376" s="767">
        <f t="shared" si="78"/>
        <v>6.5</v>
      </c>
      <c r="J376" s="767">
        <f t="shared" si="78"/>
        <v>6.5</v>
      </c>
      <c r="K376" s="767">
        <f t="shared" si="78"/>
        <v>6.5</v>
      </c>
      <c r="L376" s="767">
        <f t="shared" si="78"/>
        <v>6.5</v>
      </c>
      <c r="M376" s="767">
        <f t="shared" si="78"/>
        <v>6.5</v>
      </c>
      <c r="N376" s="767">
        <f t="shared" si="78"/>
        <v>6.5</v>
      </c>
      <c r="O376" s="767">
        <f t="shared" si="78"/>
        <v>6.5</v>
      </c>
      <c r="P376" s="752"/>
      <c r="Q376" s="752"/>
    </row>
    <row r="377" spans="1:17" ht="15">
      <c r="A377" s="752"/>
      <c r="B377" s="752" t="s">
        <v>972</v>
      </c>
      <c r="C377" s="752"/>
      <c r="D377" s="766">
        <v>-0.2</v>
      </c>
      <c r="E377" s="767">
        <f t="shared" si="78"/>
        <v>-0.2</v>
      </c>
      <c r="F377" s="767">
        <f t="shared" si="78"/>
        <v>-0.2</v>
      </c>
      <c r="G377" s="767">
        <f t="shared" si="78"/>
        <v>-0.2</v>
      </c>
      <c r="H377" s="767">
        <f t="shared" si="78"/>
        <v>-0.2</v>
      </c>
      <c r="I377" s="767">
        <f t="shared" si="78"/>
        <v>-0.2</v>
      </c>
      <c r="J377" s="767">
        <f t="shared" si="78"/>
        <v>-0.2</v>
      </c>
      <c r="K377" s="767">
        <f t="shared" si="78"/>
        <v>-0.2</v>
      </c>
      <c r="L377" s="767">
        <f t="shared" si="78"/>
        <v>-0.2</v>
      </c>
      <c r="M377" s="767">
        <f t="shared" si="78"/>
        <v>-0.2</v>
      </c>
      <c r="N377" s="767">
        <f t="shared" si="78"/>
        <v>-0.2</v>
      </c>
      <c r="O377" s="767">
        <f t="shared" si="78"/>
        <v>-0.2</v>
      </c>
      <c r="P377" s="752"/>
      <c r="Q377" s="752"/>
    </row>
    <row r="378" spans="1:17" ht="15">
      <c r="A378" s="752"/>
      <c r="B378" s="752" t="s">
        <v>973</v>
      </c>
      <c r="C378" s="752"/>
      <c r="D378" s="766">
        <v>-1.1</v>
      </c>
      <c r="E378" s="767">
        <f t="shared" si="78"/>
        <v>-1.1</v>
      </c>
      <c r="F378" s="767">
        <f t="shared" si="78"/>
        <v>-1.1</v>
      </c>
      <c r="G378" s="767">
        <f t="shared" si="78"/>
        <v>-1.1</v>
      </c>
      <c r="H378" s="767">
        <f t="shared" si="78"/>
        <v>-1.1</v>
      </c>
      <c r="I378" s="767">
        <f t="shared" si="78"/>
        <v>-1.1</v>
      </c>
      <c r="J378" s="767">
        <f t="shared" si="78"/>
        <v>-1.1</v>
      </c>
      <c r="K378" s="767">
        <f t="shared" si="78"/>
        <v>-1.1</v>
      </c>
      <c r="L378" s="767">
        <f t="shared" si="78"/>
        <v>-1.1</v>
      </c>
      <c r="M378" s="767">
        <f t="shared" si="78"/>
        <v>-1.1</v>
      </c>
      <c r="N378" s="767">
        <f t="shared" si="78"/>
        <v>-1.1</v>
      </c>
      <c r="O378" s="767">
        <f t="shared" si="78"/>
        <v>-1.1</v>
      </c>
      <c r="P378" s="752"/>
      <c r="Q378" s="752"/>
    </row>
    <row r="379" spans="1:17" ht="15">
      <c r="A379" s="752"/>
      <c r="B379" s="752" t="s">
        <v>974</v>
      </c>
      <c r="C379" s="752"/>
      <c r="D379" s="766">
        <v>-1.4</v>
      </c>
      <c r="E379" s="767">
        <f t="shared" si="78"/>
        <v>-1.4</v>
      </c>
      <c r="F379" s="767">
        <f t="shared" si="78"/>
        <v>-1.4</v>
      </c>
      <c r="G379" s="767">
        <f t="shared" si="78"/>
        <v>-1.4</v>
      </c>
      <c r="H379" s="767">
        <f t="shared" si="78"/>
        <v>-1.4</v>
      </c>
      <c r="I379" s="767">
        <f t="shared" si="78"/>
        <v>-1.4</v>
      </c>
      <c r="J379" s="767">
        <f t="shared" si="78"/>
        <v>-1.4</v>
      </c>
      <c r="K379" s="767">
        <f t="shared" si="78"/>
        <v>-1.4</v>
      </c>
      <c r="L379" s="767">
        <f t="shared" si="78"/>
        <v>-1.4</v>
      </c>
      <c r="M379" s="767">
        <f t="shared" si="78"/>
        <v>-1.4</v>
      </c>
      <c r="N379" s="767">
        <f t="shared" si="78"/>
        <v>-1.4</v>
      </c>
      <c r="O379" s="767">
        <f t="shared" si="78"/>
        <v>-1.4</v>
      </c>
      <c r="P379" s="752"/>
      <c r="Q379" s="752"/>
    </row>
    <row r="380" spans="1:17" ht="12.75">
      <c r="A380" s="752" t="s">
        <v>975</v>
      </c>
      <c r="B380" s="752"/>
      <c r="C380" s="752"/>
      <c r="D380" s="752"/>
      <c r="E380" s="752"/>
      <c r="F380" s="752"/>
      <c r="G380" s="752"/>
      <c r="H380" s="752"/>
      <c r="I380" s="752"/>
      <c r="J380" s="752"/>
      <c r="K380" s="752"/>
      <c r="L380" s="752"/>
      <c r="M380" s="752"/>
      <c r="N380" s="752"/>
      <c r="O380" s="752"/>
      <c r="P380" s="752"/>
      <c r="Q380" s="752"/>
    </row>
    <row r="381" spans="1:17" ht="15">
      <c r="A381" s="752"/>
      <c r="B381" s="752" t="s">
        <v>960</v>
      </c>
      <c r="C381" s="752"/>
      <c r="D381" s="766">
        <v>0</v>
      </c>
      <c r="E381" s="766">
        <v>0</v>
      </c>
      <c r="F381" s="766">
        <v>0</v>
      </c>
      <c r="G381" s="766">
        <v>0</v>
      </c>
      <c r="H381" s="766">
        <v>0</v>
      </c>
      <c r="I381" s="766">
        <v>0</v>
      </c>
      <c r="J381" s="766">
        <v>0</v>
      </c>
      <c r="K381" s="766">
        <v>0</v>
      </c>
      <c r="L381" s="766">
        <v>0</v>
      </c>
      <c r="M381" s="766">
        <v>0</v>
      </c>
      <c r="N381" s="766">
        <v>0</v>
      </c>
      <c r="O381" s="766">
        <v>0</v>
      </c>
      <c r="P381" s="589">
        <f aca="true" t="shared" si="79" ref="P381">SUM(D381:O381)</f>
        <v>0</v>
      </c>
      <c r="Q381" s="752"/>
    </row>
    <row r="382" spans="1:17" ht="15">
      <c r="A382" s="752"/>
      <c r="B382" s="752" t="s">
        <v>962</v>
      </c>
      <c r="C382" s="752"/>
      <c r="D382" s="766">
        <v>0.5</v>
      </c>
      <c r="E382" s="647">
        <f>D382</f>
        <v>0.5</v>
      </c>
      <c r="F382" s="647">
        <f aca="true" t="shared" si="80" ref="F382:O382">E382</f>
        <v>0.5</v>
      </c>
      <c r="G382" s="647">
        <f t="shared" si="80"/>
        <v>0.5</v>
      </c>
      <c r="H382" s="647">
        <f t="shared" si="80"/>
        <v>0.5</v>
      </c>
      <c r="I382" s="647">
        <f t="shared" si="80"/>
        <v>0.5</v>
      </c>
      <c r="J382" s="647">
        <f t="shared" si="80"/>
        <v>0.5</v>
      </c>
      <c r="K382" s="647">
        <f t="shared" si="80"/>
        <v>0.5</v>
      </c>
      <c r="L382" s="647">
        <f t="shared" si="80"/>
        <v>0.5</v>
      </c>
      <c r="M382" s="647">
        <f t="shared" si="80"/>
        <v>0.5</v>
      </c>
      <c r="N382" s="647">
        <f t="shared" si="80"/>
        <v>0.5</v>
      </c>
      <c r="O382" s="647">
        <f t="shared" si="80"/>
        <v>0.5</v>
      </c>
      <c r="P382" s="752"/>
      <c r="Q382" s="752"/>
    </row>
    <row r="383" spans="1:17" ht="12.75">
      <c r="A383" s="752" t="s">
        <v>976</v>
      </c>
      <c r="B383" s="752"/>
      <c r="C383" s="752"/>
      <c r="D383" s="752"/>
      <c r="E383" s="752"/>
      <c r="F383" s="752"/>
      <c r="G383" s="752"/>
      <c r="H383" s="752"/>
      <c r="I383" s="752"/>
      <c r="J383" s="752"/>
      <c r="K383" s="752"/>
      <c r="L383" s="752"/>
      <c r="M383" s="752"/>
      <c r="N383" s="752"/>
      <c r="O383" s="752"/>
      <c r="P383" s="752"/>
      <c r="Q383" s="752"/>
    </row>
    <row r="384" spans="1:17" ht="15">
      <c r="A384" s="752"/>
      <c r="B384" s="752" t="s">
        <v>960</v>
      </c>
      <c r="C384" s="752"/>
      <c r="D384" s="766">
        <v>0</v>
      </c>
      <c r="E384" s="766">
        <v>0</v>
      </c>
      <c r="F384" s="766">
        <v>0</v>
      </c>
      <c r="G384" s="766">
        <v>0</v>
      </c>
      <c r="H384" s="766">
        <v>0</v>
      </c>
      <c r="I384" s="766">
        <v>0</v>
      </c>
      <c r="J384" s="766">
        <v>0</v>
      </c>
      <c r="K384" s="766">
        <v>0</v>
      </c>
      <c r="L384" s="766">
        <v>0</v>
      </c>
      <c r="M384" s="766">
        <v>0</v>
      </c>
      <c r="N384" s="766">
        <v>0</v>
      </c>
      <c r="O384" s="766">
        <v>0</v>
      </c>
      <c r="P384" s="589">
        <f aca="true" t="shared" si="81" ref="P384">SUM(D384:O384)</f>
        <v>0</v>
      </c>
      <c r="Q384" s="752"/>
    </row>
    <row r="385" spans="1:17" ht="15">
      <c r="A385" s="752"/>
      <c r="B385" s="752" t="s">
        <v>962</v>
      </c>
      <c r="C385" s="752"/>
      <c r="D385" s="766">
        <v>0.5</v>
      </c>
      <c r="E385" s="647">
        <f>D385</f>
        <v>0.5</v>
      </c>
      <c r="F385" s="647">
        <f aca="true" t="shared" si="82" ref="F385:O385">E385</f>
        <v>0.5</v>
      </c>
      <c r="G385" s="647">
        <f t="shared" si="82"/>
        <v>0.5</v>
      </c>
      <c r="H385" s="647">
        <f t="shared" si="82"/>
        <v>0.5</v>
      </c>
      <c r="I385" s="647">
        <f t="shared" si="82"/>
        <v>0.5</v>
      </c>
      <c r="J385" s="647">
        <f t="shared" si="82"/>
        <v>0.5</v>
      </c>
      <c r="K385" s="647">
        <f t="shared" si="82"/>
        <v>0.5</v>
      </c>
      <c r="L385" s="647">
        <f t="shared" si="82"/>
        <v>0.5</v>
      </c>
      <c r="M385" s="647">
        <f t="shared" si="82"/>
        <v>0.5</v>
      </c>
      <c r="N385" s="647">
        <f t="shared" si="82"/>
        <v>0.5</v>
      </c>
      <c r="O385" s="647">
        <f t="shared" si="82"/>
        <v>0.5</v>
      </c>
      <c r="P385" s="752"/>
      <c r="Q385" s="752"/>
    </row>
    <row r="386" spans="1:17" ht="12.75">
      <c r="A386" s="752" t="s">
        <v>977</v>
      </c>
      <c r="B386" s="752"/>
      <c r="C386" s="752"/>
      <c r="D386" s="752"/>
      <c r="E386" s="752"/>
      <c r="F386" s="752"/>
      <c r="G386" s="752"/>
      <c r="H386" s="752"/>
      <c r="I386" s="752"/>
      <c r="J386" s="752"/>
      <c r="K386" s="752"/>
      <c r="L386" s="752"/>
      <c r="M386" s="752"/>
      <c r="N386" s="752"/>
      <c r="O386" s="752"/>
      <c r="P386" s="752"/>
      <c r="Q386" s="752"/>
    </row>
    <row r="387" spans="1:17" ht="15">
      <c r="A387" s="752"/>
      <c r="B387" s="752" t="s">
        <v>960</v>
      </c>
      <c r="C387" s="752"/>
      <c r="D387" s="766">
        <v>0</v>
      </c>
      <c r="E387" s="766">
        <v>0</v>
      </c>
      <c r="F387" s="766">
        <v>0</v>
      </c>
      <c r="G387" s="766">
        <v>0</v>
      </c>
      <c r="H387" s="766">
        <v>0</v>
      </c>
      <c r="I387" s="766">
        <v>0</v>
      </c>
      <c r="J387" s="766">
        <v>0</v>
      </c>
      <c r="K387" s="766">
        <v>0</v>
      </c>
      <c r="L387" s="766">
        <v>0</v>
      </c>
      <c r="M387" s="766">
        <v>0</v>
      </c>
      <c r="N387" s="766">
        <v>0</v>
      </c>
      <c r="O387" s="766">
        <v>0</v>
      </c>
      <c r="P387" s="589">
        <f aca="true" t="shared" si="83" ref="P387">SUM(D387:O387)</f>
        <v>0</v>
      </c>
      <c r="Q387" s="752"/>
    </row>
    <row r="388" spans="1:17" ht="15">
      <c r="A388" s="752"/>
      <c r="B388" s="752" t="s">
        <v>962</v>
      </c>
      <c r="C388" s="752"/>
      <c r="D388" s="766">
        <v>0.5</v>
      </c>
      <c r="E388" s="647">
        <f>D388</f>
        <v>0.5</v>
      </c>
      <c r="F388" s="647">
        <f aca="true" t="shared" si="84" ref="F388:O388">E388</f>
        <v>0.5</v>
      </c>
      <c r="G388" s="647">
        <f t="shared" si="84"/>
        <v>0.5</v>
      </c>
      <c r="H388" s="647">
        <f t="shared" si="84"/>
        <v>0.5</v>
      </c>
      <c r="I388" s="647">
        <f t="shared" si="84"/>
        <v>0.5</v>
      </c>
      <c r="J388" s="647">
        <f t="shared" si="84"/>
        <v>0.5</v>
      </c>
      <c r="K388" s="647">
        <f t="shared" si="84"/>
        <v>0.5</v>
      </c>
      <c r="L388" s="647">
        <f t="shared" si="84"/>
        <v>0.5</v>
      </c>
      <c r="M388" s="647">
        <f t="shared" si="84"/>
        <v>0.5</v>
      </c>
      <c r="N388" s="647">
        <f t="shared" si="84"/>
        <v>0.5</v>
      </c>
      <c r="O388" s="647">
        <f t="shared" si="84"/>
        <v>0.5</v>
      </c>
      <c r="P388" s="752"/>
      <c r="Q388" s="752"/>
    </row>
  </sheetData>
  <mergeCells count="12">
    <mergeCell ref="B317:B318"/>
    <mergeCell ref="A319:C319"/>
    <mergeCell ref="A299:A318"/>
    <mergeCell ref="B299:B300"/>
    <mergeCell ref="B301:B302"/>
    <mergeCell ref="B303:B304"/>
    <mergeCell ref="B305:B306"/>
    <mergeCell ref="B307:B308"/>
    <mergeCell ref="B309:B310"/>
    <mergeCell ref="B311:B312"/>
    <mergeCell ref="B313:B314"/>
    <mergeCell ref="B315:B316"/>
  </mergeCells>
  <printOptions/>
  <pageMargins left="0.7" right="0.7" top="0.75" bottom="0.75" header="0.3" footer="0.3"/>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W127"/>
  <sheetViews>
    <sheetView showGridLines="0" workbookViewId="0" topLeftCell="A1">
      <pane xSplit="2" ySplit="2" topLeftCell="C3" activePane="bottomRight" state="frozen"/>
      <selection pane="topLeft" activeCell="G120" sqref="G120"/>
      <selection pane="topRight" activeCell="G120" sqref="G120"/>
      <selection pane="bottomLeft" activeCell="G120" sqref="G120"/>
      <selection pane="bottomRight" activeCell="H90" sqref="H90"/>
    </sheetView>
  </sheetViews>
  <sheetFormatPr defaultColWidth="9.140625" defaultRowHeight="12.75"/>
  <cols>
    <col min="1" max="1" width="8.7109375" style="0" customWidth="1"/>
    <col min="2" max="2" width="24.28125" style="0" customWidth="1"/>
    <col min="3" max="3" width="20.7109375" style="0" bestFit="1" customWidth="1"/>
    <col min="4" max="4" width="16.28125" style="0" bestFit="1" customWidth="1"/>
    <col min="5" max="5" width="14.7109375" style="0" customWidth="1"/>
    <col min="6" max="6" width="15.7109375" style="0" customWidth="1"/>
    <col min="7" max="10" width="14.7109375" style="0" customWidth="1"/>
    <col min="14" max="18" width="14.7109375" style="0" customWidth="1"/>
  </cols>
  <sheetData>
    <row r="1" spans="1:14" ht="15">
      <c r="A1" s="62" t="s">
        <v>32</v>
      </c>
      <c r="C1" s="117"/>
      <c r="D1">
        <v>1</v>
      </c>
      <c r="E1">
        <v>2</v>
      </c>
      <c r="F1">
        <v>3</v>
      </c>
      <c r="G1">
        <v>4</v>
      </c>
      <c r="H1">
        <v>5</v>
      </c>
      <c r="I1">
        <v>6</v>
      </c>
      <c r="N1" s="80" t="s">
        <v>276</v>
      </c>
    </row>
    <row r="2" spans="3:18" ht="12.75">
      <c r="C2" s="59" t="s">
        <v>9</v>
      </c>
      <c r="D2" s="59" t="s">
        <v>726</v>
      </c>
      <c r="E2" s="59" t="s">
        <v>11</v>
      </c>
      <c r="F2" s="59" t="s">
        <v>12</v>
      </c>
      <c r="G2" s="59" t="s">
        <v>279</v>
      </c>
      <c r="H2" s="59" t="s">
        <v>14</v>
      </c>
      <c r="I2" s="59"/>
      <c r="L2" s="134" t="s">
        <v>232</v>
      </c>
      <c r="N2" s="59" t="s">
        <v>700</v>
      </c>
      <c r="O2" s="59" t="s">
        <v>11</v>
      </c>
      <c r="P2" s="59" t="s">
        <v>12</v>
      </c>
      <c r="Q2" s="59" t="s">
        <v>13</v>
      </c>
      <c r="R2" s="59" t="s">
        <v>14</v>
      </c>
    </row>
    <row r="3" spans="2:12" ht="12.75">
      <c r="B3" s="117" t="s">
        <v>226</v>
      </c>
      <c r="C3" s="59"/>
      <c r="D3" s="59"/>
      <c r="E3" s="59"/>
      <c r="F3" s="59"/>
      <c r="G3" s="59"/>
      <c r="H3" s="59"/>
      <c r="I3" s="59"/>
      <c r="L3" s="134"/>
    </row>
    <row r="4" spans="1:10" ht="12.75">
      <c r="A4">
        <v>1</v>
      </c>
      <c r="B4" t="s">
        <v>33</v>
      </c>
      <c r="D4" s="121">
        <v>9</v>
      </c>
      <c r="E4" s="121">
        <v>20</v>
      </c>
      <c r="F4" s="121">
        <v>0</v>
      </c>
      <c r="G4" s="121">
        <v>0</v>
      </c>
      <c r="H4" s="121">
        <v>20</v>
      </c>
      <c r="I4" s="121"/>
      <c r="J4" s="122"/>
    </row>
    <row r="5" spans="1:18" ht="12.75">
      <c r="A5">
        <v>2</v>
      </c>
      <c r="B5" t="s">
        <v>35</v>
      </c>
      <c r="D5" s="123">
        <v>8.103</v>
      </c>
      <c r="E5" s="123">
        <v>11.686</v>
      </c>
      <c r="F5" s="123">
        <v>7.535</v>
      </c>
      <c r="G5" s="123">
        <v>5.505</v>
      </c>
      <c r="H5" s="123">
        <v>10.292</v>
      </c>
      <c r="I5" s="123"/>
      <c r="J5" s="122"/>
      <c r="N5" s="175">
        <v>800</v>
      </c>
      <c r="O5" s="175">
        <v>3650</v>
      </c>
      <c r="P5" s="175">
        <v>250000</v>
      </c>
      <c r="Q5" s="175">
        <v>500000</v>
      </c>
      <c r="R5" s="175"/>
    </row>
    <row r="6" spans="1:18" ht="12.75">
      <c r="A6">
        <v>3</v>
      </c>
      <c r="B6" t="s">
        <v>36</v>
      </c>
      <c r="D6" s="123">
        <v>9.427</v>
      </c>
      <c r="E6" s="123">
        <v>8.588</v>
      </c>
      <c r="F6" s="123">
        <v>6.742</v>
      </c>
      <c r="G6" s="123">
        <v>4.953</v>
      </c>
      <c r="H6" s="123">
        <v>7.35</v>
      </c>
      <c r="I6" s="123"/>
      <c r="J6" s="122"/>
      <c r="N6" s="175">
        <v>1500</v>
      </c>
      <c r="O6" s="175">
        <v>9999999</v>
      </c>
      <c r="P6" s="175">
        <v>9999999</v>
      </c>
      <c r="Q6" s="175">
        <v>9999999</v>
      </c>
      <c r="R6" s="175"/>
    </row>
    <row r="7" spans="1:18" ht="12.75">
      <c r="A7">
        <v>4</v>
      </c>
      <c r="B7" t="s">
        <v>37</v>
      </c>
      <c r="D7" s="123">
        <v>11.053</v>
      </c>
      <c r="E7" s="123">
        <v>0</v>
      </c>
      <c r="F7" s="123">
        <v>0</v>
      </c>
      <c r="G7" s="123">
        <v>4.235</v>
      </c>
      <c r="H7" s="123">
        <v>0</v>
      </c>
      <c r="I7" s="123"/>
      <c r="J7" s="122"/>
      <c r="L7" t="s">
        <v>231</v>
      </c>
      <c r="N7" s="175">
        <v>9999999</v>
      </c>
      <c r="O7" s="175">
        <v>9999999</v>
      </c>
      <c r="P7" s="175">
        <v>9999999</v>
      </c>
      <c r="Q7" s="175">
        <v>9999999</v>
      </c>
      <c r="R7" s="175"/>
    </row>
    <row r="8" spans="1:10" ht="12.75">
      <c r="A8">
        <v>5</v>
      </c>
      <c r="B8" t="s">
        <v>38</v>
      </c>
      <c r="D8" s="123"/>
      <c r="E8" s="123"/>
      <c r="F8" s="123"/>
      <c r="G8" s="123"/>
      <c r="H8" s="123"/>
      <c r="I8" s="123"/>
      <c r="J8" s="122"/>
    </row>
    <row r="9" spans="1:17" ht="12.75">
      <c r="A9">
        <v>6</v>
      </c>
      <c r="B9" t="s">
        <v>277</v>
      </c>
      <c r="D9" s="121">
        <v>0</v>
      </c>
      <c r="E9" s="121">
        <v>0</v>
      </c>
      <c r="F9" s="121">
        <v>550</v>
      </c>
      <c r="G9" s="121">
        <v>30650</v>
      </c>
      <c r="H9" s="121">
        <v>0</v>
      </c>
      <c r="I9" s="121"/>
      <c r="J9" s="122"/>
      <c r="N9" s="175"/>
      <c r="O9" s="175"/>
      <c r="P9" s="175"/>
      <c r="Q9" s="175"/>
    </row>
    <row r="10" spans="1:17" ht="12.75">
      <c r="A10">
        <v>7</v>
      </c>
      <c r="B10" t="s">
        <v>40</v>
      </c>
      <c r="D10" s="121">
        <v>0</v>
      </c>
      <c r="E10" s="121">
        <v>7</v>
      </c>
      <c r="F10" s="121">
        <v>7</v>
      </c>
      <c r="G10" s="121">
        <v>8.3</v>
      </c>
      <c r="H10" s="121">
        <v>0</v>
      </c>
      <c r="I10" s="121"/>
      <c r="J10" s="122"/>
      <c r="N10" s="175">
        <v>0</v>
      </c>
      <c r="O10" s="175">
        <v>20</v>
      </c>
      <c r="P10" s="175">
        <v>50</v>
      </c>
      <c r="Q10" s="175">
        <v>3000</v>
      </c>
    </row>
    <row r="11" spans="4:10" ht="12.75">
      <c r="D11" s="122"/>
      <c r="E11" s="122"/>
      <c r="F11" s="122"/>
      <c r="G11" s="122"/>
      <c r="H11" s="122"/>
      <c r="I11" s="122"/>
      <c r="J11" s="122"/>
    </row>
    <row r="12" spans="2:8" ht="12.75">
      <c r="B12" s="117" t="s">
        <v>227</v>
      </c>
      <c r="C12" s="117"/>
      <c r="D12" t="str">
        <f>IF(D13&lt;&gt;'Pres &amp; Prop Rev'!D$5,#VALUE!,"")</f>
        <v/>
      </c>
      <c r="E12" t="str">
        <f>IF(E13&lt;&gt;'Pres &amp; Prop Rev'!E$5,#VALUE!,"")</f>
        <v/>
      </c>
      <c r="F12" t="str">
        <f>IF(F13&lt;&gt;'Pres &amp; Prop Rev'!F$5,#VALUE!,"")</f>
        <v/>
      </c>
      <c r="G12" t="str">
        <f>IF(G13&lt;&gt;'Pres &amp; Prop Rev'!G$5,#VALUE!,"")</f>
        <v/>
      </c>
      <c r="H12" t="str">
        <f>IF(H13&lt;&gt;'Pres &amp; Prop Rev'!H$5,#VALUE!,"")</f>
        <v/>
      </c>
    </row>
    <row r="13" spans="4:10" ht="12.75">
      <c r="D13" s="59" t="s">
        <v>700</v>
      </c>
      <c r="E13" s="59" t="s">
        <v>11</v>
      </c>
      <c r="F13" s="59" t="s">
        <v>12</v>
      </c>
      <c r="G13" s="59" t="s">
        <v>13</v>
      </c>
      <c r="H13" s="59" t="s">
        <v>14</v>
      </c>
      <c r="I13" s="59"/>
      <c r="J13" s="230"/>
    </row>
    <row r="14" spans="1:10" ht="12.75">
      <c r="A14">
        <v>1</v>
      </c>
      <c r="B14" t="s">
        <v>33</v>
      </c>
      <c r="D14" s="124">
        <f>D4</f>
        <v>9</v>
      </c>
      <c r="E14" s="124">
        <f>E4</f>
        <v>20</v>
      </c>
      <c r="F14" s="124">
        <f>F4</f>
        <v>0</v>
      </c>
      <c r="G14" s="124">
        <f>G4</f>
        <v>0</v>
      </c>
      <c r="H14" s="124">
        <f>H4</f>
        <v>20</v>
      </c>
      <c r="I14" s="124"/>
      <c r="J14" s="125"/>
    </row>
    <row r="15" spans="1:17" ht="12.75">
      <c r="A15">
        <v>2</v>
      </c>
      <c r="B15" t="s">
        <v>35</v>
      </c>
      <c r="D15" s="126">
        <f>D5-0.414+0.279+0.323+0.129-0.418-0.089-0.025</f>
        <v>7.888</v>
      </c>
      <c r="E15" s="126">
        <f>E5+0.365+0.426+0.187-0.416-0.119-0.025</f>
        <v>12.104</v>
      </c>
      <c r="F15" s="126">
        <f>F5+0.365+0.333+0.135-0.427-0.09-0.026</f>
        <v>7.825000000000001</v>
      </c>
      <c r="G15" s="126">
        <f>G5+0.205+0.085-0.396-0.059-0.024</f>
        <v>5.316</v>
      </c>
      <c r="H15" s="126">
        <f>H5+0.365+0.282+0.117-0.397-0.081-0.024</f>
        <v>10.554000000000002</v>
      </c>
      <c r="I15" s="126"/>
      <c r="J15" s="125"/>
      <c r="N15" s="73">
        <f>N5</f>
        <v>800</v>
      </c>
      <c r="O15" s="73">
        <f>O5</f>
        <v>3650</v>
      </c>
      <c r="P15" s="73">
        <f>P5</f>
        <v>250000</v>
      </c>
      <c r="Q15" s="73">
        <f>Q5</f>
        <v>500000</v>
      </c>
    </row>
    <row r="16" spans="1:17" ht="12.75">
      <c r="A16">
        <v>3</v>
      </c>
      <c r="B16" t="s">
        <v>36</v>
      </c>
      <c r="D16" s="126">
        <f aca="true" t="shared" si="0" ref="D16:D17">D6-0.414+0.279+0.323+0.129-0.418-0.089-0.025</f>
        <v>9.212</v>
      </c>
      <c r="E16" s="126">
        <f>E6+0.365+0.426+0.187-0.416-0.119-0.025</f>
        <v>9.005999999999998</v>
      </c>
      <c r="F16" s="126">
        <f>F6+0.365+0.333+0.135-0.427-0.09-0.026</f>
        <v>7.032000000000001</v>
      </c>
      <c r="G16" s="126">
        <f aca="true" t="shared" si="1" ref="G16">G6+0.205+0.085-0.396-0.059-0.024</f>
        <v>4.764</v>
      </c>
      <c r="H16" s="126">
        <f>H6+0.365+0.282+0.117-0.397-0.081-0.024</f>
        <v>7.612</v>
      </c>
      <c r="I16" s="126"/>
      <c r="J16" s="125"/>
      <c r="N16" s="73">
        <f aca="true" t="shared" si="2" ref="N16:Q17">N6</f>
        <v>1500</v>
      </c>
      <c r="O16" s="73">
        <f t="shared" si="2"/>
        <v>9999999</v>
      </c>
      <c r="P16" s="73">
        <f t="shared" si="2"/>
        <v>9999999</v>
      </c>
      <c r="Q16" s="73">
        <f t="shared" si="2"/>
        <v>9999999</v>
      </c>
    </row>
    <row r="17" spans="1:17" ht="12.75">
      <c r="A17">
        <v>4</v>
      </c>
      <c r="B17" t="s">
        <v>37</v>
      </c>
      <c r="D17" s="126">
        <f t="shared" si="0"/>
        <v>10.838000000000001</v>
      </c>
      <c r="E17" s="126"/>
      <c r="F17" s="126"/>
      <c r="G17" s="126">
        <f>G7+0.205-0.396-0.059-0.024</f>
        <v>3.9610000000000003</v>
      </c>
      <c r="H17" s="126"/>
      <c r="I17" s="126"/>
      <c r="J17" s="125"/>
      <c r="L17" t="s">
        <v>233</v>
      </c>
      <c r="N17" s="73">
        <f t="shared" si="2"/>
        <v>9999999</v>
      </c>
      <c r="O17" s="73">
        <f t="shared" si="2"/>
        <v>9999999</v>
      </c>
      <c r="P17" s="73">
        <f t="shared" si="2"/>
        <v>9999999</v>
      </c>
      <c r="Q17" s="73">
        <f t="shared" si="2"/>
        <v>9999999</v>
      </c>
    </row>
    <row r="18" spans="1:10" ht="12.75">
      <c r="A18">
        <v>5</v>
      </c>
      <c r="B18" t="s">
        <v>38</v>
      </c>
      <c r="D18" s="126"/>
      <c r="E18" s="126"/>
      <c r="F18" s="126"/>
      <c r="G18" s="126"/>
      <c r="H18" s="126"/>
      <c r="I18" s="126"/>
      <c r="J18" s="125"/>
    </row>
    <row r="19" spans="1:17" ht="12.75">
      <c r="A19">
        <v>6</v>
      </c>
      <c r="B19" t="s">
        <v>277</v>
      </c>
      <c r="D19" s="127"/>
      <c r="E19" s="127"/>
      <c r="F19" s="124">
        <f>F9</f>
        <v>550</v>
      </c>
      <c r="G19" s="124">
        <f>G9</f>
        <v>30650</v>
      </c>
      <c r="H19" s="127"/>
      <c r="I19" s="127"/>
      <c r="J19" s="125"/>
      <c r="N19" s="73"/>
      <c r="O19" s="73"/>
      <c r="P19" s="73"/>
      <c r="Q19" s="73"/>
    </row>
    <row r="20" spans="1:17" ht="12.75">
      <c r="A20">
        <v>7</v>
      </c>
      <c r="B20" t="s">
        <v>40</v>
      </c>
      <c r="D20" s="127"/>
      <c r="E20" s="124">
        <f>E10</f>
        <v>7</v>
      </c>
      <c r="F20" s="124">
        <f>F10</f>
        <v>7</v>
      </c>
      <c r="G20" s="124">
        <f>G10</f>
        <v>8.3</v>
      </c>
      <c r="H20" s="127"/>
      <c r="I20" s="127"/>
      <c r="J20" s="125"/>
      <c r="N20" s="73">
        <f>N10</f>
        <v>0</v>
      </c>
      <c r="O20" s="73">
        <f>O10</f>
        <v>20</v>
      </c>
      <c r="P20" s="73">
        <f>P10</f>
        <v>50</v>
      </c>
      <c r="Q20" s="73">
        <f>Q10</f>
        <v>3000</v>
      </c>
    </row>
    <row r="21" spans="3:10" ht="12.75">
      <c r="C21" s="286"/>
      <c r="D21" s="285"/>
      <c r="E21" s="297"/>
      <c r="F21" s="297"/>
      <c r="G21" s="297"/>
      <c r="H21" s="297"/>
      <c r="I21" s="125"/>
      <c r="J21" s="125"/>
    </row>
    <row r="22" spans="1:8" ht="15">
      <c r="A22" s="62" t="s">
        <v>42</v>
      </c>
      <c r="B22" s="117"/>
      <c r="C22" s="287"/>
      <c r="D22" s="287"/>
      <c r="E22" s="294"/>
      <c r="F22" s="294"/>
      <c r="G22" s="294"/>
      <c r="H22" s="294"/>
    </row>
    <row r="23" spans="1:8" ht="12.75">
      <c r="A23" s="117"/>
      <c r="B23" s="117"/>
      <c r="C23" s="286"/>
      <c r="D23" s="286"/>
      <c r="E23" s="298"/>
      <c r="F23" s="298"/>
      <c r="G23" s="298"/>
      <c r="H23" s="298"/>
    </row>
    <row r="24" spans="2:8" ht="12.75">
      <c r="B24" s="117" t="s">
        <v>226</v>
      </c>
      <c r="C24" s="117"/>
      <c r="D24" t="str">
        <f>IF(D25&lt;&gt;'Pres &amp; Prop Rev'!D$5,#VALUE!,"")</f>
        <v/>
      </c>
      <c r="E24" t="str">
        <f>IF(E25&lt;&gt;'Pres &amp; Prop Rev'!E$5,#VALUE!,"")</f>
        <v/>
      </c>
      <c r="F24" t="str">
        <f>IF(F25&lt;&gt;'Pres &amp; Prop Rev'!F$5,#VALUE!,"")</f>
        <v/>
      </c>
      <c r="G24" t="str">
        <f>IF(G25&lt;&gt;'Pres &amp; Prop Rev'!G$5,#VALUE!,"")</f>
        <v/>
      </c>
      <c r="H24" t="str">
        <f>IF(H25&lt;&gt;'Pres &amp; Prop Rev'!H$5,#VALUE!,"")</f>
        <v/>
      </c>
    </row>
    <row r="25" spans="4:20" ht="12.75">
      <c r="D25" s="59" t="s">
        <v>700</v>
      </c>
      <c r="E25" s="59" t="s">
        <v>11</v>
      </c>
      <c r="F25" s="59" t="s">
        <v>12</v>
      </c>
      <c r="G25" s="59" t="s">
        <v>13</v>
      </c>
      <c r="H25" s="59" t="s">
        <v>14</v>
      </c>
      <c r="I25" s="59"/>
      <c r="T25" s="80" t="s">
        <v>305</v>
      </c>
    </row>
    <row r="26" spans="1:21" ht="12.75">
      <c r="A26">
        <v>1</v>
      </c>
      <c r="B26" t="s">
        <v>33</v>
      </c>
      <c r="D26" s="128">
        <f>ROUND(D62,$T26)</f>
        <v>9</v>
      </c>
      <c r="E26" s="128">
        <f>ROUND(E62,$T26)</f>
        <v>20</v>
      </c>
      <c r="F26" s="128">
        <f>ROUND(F62,$T26)</f>
        <v>0</v>
      </c>
      <c r="G26" s="128">
        <f>ROUND(G62,$T26)</f>
        <v>0</v>
      </c>
      <c r="H26" s="128">
        <f>ROUND(H62,$T26)</f>
        <v>20</v>
      </c>
      <c r="I26" s="128"/>
      <c r="J26" s="129"/>
      <c r="T26" s="178">
        <v>2</v>
      </c>
      <c r="U26">
        <v>2</v>
      </c>
    </row>
    <row r="27" spans="1:21" ht="12.75">
      <c r="A27">
        <v>2</v>
      </c>
      <c r="B27" t="s">
        <v>35</v>
      </c>
      <c r="D27" s="130">
        <f>ROUND(D85,$T27)</f>
        <v>8.103</v>
      </c>
      <c r="E27" s="130">
        <f aca="true" t="shared" si="3" ref="D27:H29">ROUND(E85,$T27)</f>
        <v>11.686</v>
      </c>
      <c r="F27" s="130">
        <f t="shared" si="3"/>
        <v>7.535</v>
      </c>
      <c r="G27" s="130">
        <f t="shared" si="3"/>
        <v>5.505</v>
      </c>
      <c r="H27" s="130">
        <f t="shared" si="3"/>
        <v>10.292</v>
      </c>
      <c r="I27" s="130"/>
      <c r="J27" s="129"/>
      <c r="N27" s="175">
        <v>800</v>
      </c>
      <c r="O27" s="175">
        <v>3650</v>
      </c>
      <c r="P27" s="175">
        <v>250000</v>
      </c>
      <c r="Q27" s="175">
        <v>500000</v>
      </c>
      <c r="T27" s="155">
        <v>3</v>
      </c>
      <c r="U27">
        <v>3</v>
      </c>
    </row>
    <row r="28" spans="1:21" ht="12.75">
      <c r="A28">
        <v>3</v>
      </c>
      <c r="B28" t="s">
        <v>36</v>
      </c>
      <c r="D28" s="130">
        <f t="shared" si="3"/>
        <v>9.427</v>
      </c>
      <c r="E28" s="130">
        <f>ROUND(E86,$T28)</f>
        <v>8.588</v>
      </c>
      <c r="F28" s="130">
        <f t="shared" si="3"/>
        <v>6.742</v>
      </c>
      <c r="G28" s="130">
        <f t="shared" si="3"/>
        <v>4.953</v>
      </c>
      <c r="H28" s="130">
        <f t="shared" si="3"/>
        <v>7.35</v>
      </c>
      <c r="I28" s="130"/>
      <c r="J28" s="129"/>
      <c r="N28" s="175">
        <v>1500</v>
      </c>
      <c r="O28" s="175">
        <v>9999999</v>
      </c>
      <c r="P28" s="175">
        <v>9999999</v>
      </c>
      <c r="Q28" s="175">
        <v>6000000</v>
      </c>
      <c r="T28" s="155">
        <v>3</v>
      </c>
      <c r="U28">
        <v>3</v>
      </c>
    </row>
    <row r="29" spans="1:21" ht="12.75">
      <c r="A29">
        <v>4</v>
      </c>
      <c r="B29" t="s">
        <v>37</v>
      </c>
      <c r="D29" s="130">
        <f t="shared" si="3"/>
        <v>11.053</v>
      </c>
      <c r="E29" s="130">
        <f t="shared" si="3"/>
        <v>0</v>
      </c>
      <c r="F29" s="130">
        <f t="shared" si="3"/>
        <v>0</v>
      </c>
      <c r="G29" s="130">
        <f t="shared" si="3"/>
        <v>4.235</v>
      </c>
      <c r="H29" s="130">
        <f t="shared" si="3"/>
        <v>0</v>
      </c>
      <c r="I29" s="130"/>
      <c r="J29" s="129"/>
      <c r="L29" t="s">
        <v>237</v>
      </c>
      <c r="N29" s="175">
        <v>9999999</v>
      </c>
      <c r="O29" s="175">
        <v>9999999</v>
      </c>
      <c r="P29" s="175">
        <v>9999999</v>
      </c>
      <c r="Q29" s="175">
        <v>99999999</v>
      </c>
      <c r="T29" s="155">
        <v>3</v>
      </c>
      <c r="U29">
        <v>3</v>
      </c>
    </row>
    <row r="30" spans="1:21" ht="12.75">
      <c r="A30">
        <v>5</v>
      </c>
      <c r="B30" t="s">
        <v>38</v>
      </c>
      <c r="D30" s="130"/>
      <c r="E30" s="130"/>
      <c r="F30" s="130"/>
      <c r="G30" s="130"/>
      <c r="H30" s="130"/>
      <c r="I30" s="130"/>
      <c r="J30" s="129"/>
      <c r="T30" s="155">
        <v>3</v>
      </c>
      <c r="U30">
        <v>3</v>
      </c>
    </row>
    <row r="31" spans="1:21" ht="12.75">
      <c r="A31">
        <v>6</v>
      </c>
      <c r="B31" t="s">
        <v>277</v>
      </c>
      <c r="D31" s="128">
        <f>ROUND(D66,$T31)</f>
        <v>0</v>
      </c>
      <c r="E31" s="128">
        <f>ROUND(E66,$T31)</f>
        <v>0</v>
      </c>
      <c r="F31" s="128">
        <f>ROUND(F66,$T31)</f>
        <v>550</v>
      </c>
      <c r="G31" s="128">
        <f>ROUND(G66,$T31)</f>
        <v>30650</v>
      </c>
      <c r="H31" s="128">
        <f>ROUND(H66,$T31)</f>
        <v>0</v>
      </c>
      <c r="I31" s="128"/>
      <c r="J31" s="129"/>
      <c r="N31" s="175"/>
      <c r="O31" s="175"/>
      <c r="P31" s="175"/>
      <c r="Q31" s="175"/>
      <c r="T31" s="155">
        <v>2</v>
      </c>
      <c r="U31">
        <v>2</v>
      </c>
    </row>
    <row r="32" spans="1:21" ht="12.75">
      <c r="A32">
        <v>7</v>
      </c>
      <c r="B32" t="s">
        <v>40</v>
      </c>
      <c r="D32" s="128">
        <f>ROUND(D69,$T32)</f>
        <v>0</v>
      </c>
      <c r="E32" s="128">
        <f>ROUND(E69,$T32)</f>
        <v>7</v>
      </c>
      <c r="F32" s="128">
        <f>ROUND(F69,$T32)</f>
        <v>7</v>
      </c>
      <c r="G32" s="128">
        <f>ROUND(G69,$T32)</f>
        <v>8.3</v>
      </c>
      <c r="H32" s="128">
        <f>ROUND(H69,$T32)</f>
        <v>0</v>
      </c>
      <c r="I32" s="128"/>
      <c r="J32" s="129"/>
      <c r="N32" s="175">
        <v>0</v>
      </c>
      <c r="O32" s="175">
        <v>20</v>
      </c>
      <c r="P32" s="175">
        <v>50</v>
      </c>
      <c r="Q32" s="175">
        <v>3000</v>
      </c>
      <c r="T32" s="155">
        <v>2</v>
      </c>
      <c r="U32">
        <v>2</v>
      </c>
    </row>
    <row r="33" spans="4:10" ht="12.75">
      <c r="D33" s="129"/>
      <c r="E33" s="129"/>
      <c r="F33" s="129"/>
      <c r="G33" s="129"/>
      <c r="H33" s="129"/>
      <c r="I33" s="129"/>
      <c r="J33" s="129"/>
    </row>
    <row r="34" spans="2:8" ht="12.75">
      <c r="B34" s="117" t="s">
        <v>227</v>
      </c>
      <c r="C34" s="117"/>
      <c r="D34" t="str">
        <f>IF(D35&lt;&gt;'Pres &amp; Prop Rev'!D$5,#VALUE!,"")</f>
        <v/>
      </c>
      <c r="E34" t="str">
        <f>IF(E35&lt;&gt;'Pres &amp; Prop Rev'!E$5,#VALUE!,"")</f>
        <v/>
      </c>
      <c r="F34" t="str">
        <f>IF(F35&lt;&gt;'Pres &amp; Prop Rev'!F$5,#VALUE!,"")</f>
        <v/>
      </c>
      <c r="G34" t="str">
        <f>IF(G35&lt;&gt;'Pres &amp; Prop Rev'!G$5,#VALUE!,"")</f>
        <v/>
      </c>
      <c r="H34" t="str">
        <f>IF(H35&lt;&gt;'Pres &amp; Prop Rev'!H$5,#VALUE!,"")</f>
        <v/>
      </c>
    </row>
    <row r="35" spans="4:19" ht="12.75">
      <c r="D35" s="59" t="s">
        <v>700</v>
      </c>
      <c r="E35" s="59" t="s">
        <v>11</v>
      </c>
      <c r="F35" s="59" t="s">
        <v>12</v>
      </c>
      <c r="G35" s="59" t="s">
        <v>13</v>
      </c>
      <c r="H35" s="59" t="s">
        <v>14</v>
      </c>
      <c r="I35" s="59"/>
      <c r="S35" s="117" t="s">
        <v>391</v>
      </c>
    </row>
    <row r="36" spans="1:23" ht="12.75">
      <c r="A36">
        <v>1</v>
      </c>
      <c r="B36" t="s">
        <v>33</v>
      </c>
      <c r="D36" s="131">
        <f>D26</f>
        <v>9</v>
      </c>
      <c r="E36" s="131">
        <f>E26</f>
        <v>20</v>
      </c>
      <c r="F36" s="131">
        <f>F26</f>
        <v>0</v>
      </c>
      <c r="G36" s="131">
        <f>G26</f>
        <v>0</v>
      </c>
      <c r="H36" s="131">
        <f>H26</f>
        <v>20</v>
      </c>
      <c r="I36" s="131"/>
      <c r="J36" s="132"/>
      <c r="S36" s="296">
        <v>1</v>
      </c>
      <c r="T36" s="296">
        <v>11</v>
      </c>
      <c r="U36" s="296">
        <v>21</v>
      </c>
      <c r="V36" s="296">
        <v>25</v>
      </c>
      <c r="W36" s="296">
        <v>31</v>
      </c>
    </row>
    <row r="37" spans="1:23" ht="12.75">
      <c r="A37">
        <v>2</v>
      </c>
      <c r="B37" t="s">
        <v>35</v>
      </c>
      <c r="D37" s="725">
        <f>D27-0.414+0.279+0.323+0.129-0.025-0.089-0.418</f>
        <v>7.887999999999999</v>
      </c>
      <c r="E37" s="725">
        <f>E27+0.365+0.426+0.187-0.416-0.119-0.025</f>
        <v>12.104</v>
      </c>
      <c r="F37" s="725">
        <f>F27+0.365+0.333+0.135-0.427-0.09-0.026</f>
        <v>7.825000000000001</v>
      </c>
      <c r="G37" s="725">
        <f>G27+0.205+0.085-0.396-0.059-0.024</f>
        <v>5.316</v>
      </c>
      <c r="H37" s="725">
        <f>H27+0.365+0.282+0.117-0.397-0.081-0.024</f>
        <v>10.554000000000002</v>
      </c>
      <c r="I37" s="133"/>
      <c r="J37" s="132"/>
      <c r="N37" s="73">
        <f aca="true" t="shared" si="4" ref="N37:Q39">N27</f>
        <v>800</v>
      </c>
      <c r="O37" s="73">
        <f t="shared" si="4"/>
        <v>3650</v>
      </c>
      <c r="P37" s="73">
        <f t="shared" si="4"/>
        <v>250000</v>
      </c>
      <c r="Q37" s="73">
        <f t="shared" si="4"/>
        <v>500000</v>
      </c>
      <c r="S37" s="282">
        <v>0</v>
      </c>
      <c r="T37" s="282">
        <v>0</v>
      </c>
      <c r="U37" s="282">
        <v>0</v>
      </c>
      <c r="V37" s="282">
        <v>0</v>
      </c>
      <c r="W37" s="282">
        <v>0</v>
      </c>
    </row>
    <row r="38" spans="1:23" ht="12.75">
      <c r="A38">
        <v>3</v>
      </c>
      <c r="B38" t="s">
        <v>36</v>
      </c>
      <c r="D38" s="725">
        <f aca="true" t="shared" si="5" ref="D38:D39">D28-0.414+0.279+0.323+0.129-0.025-0.089-0.418</f>
        <v>9.212</v>
      </c>
      <c r="E38" s="725">
        <f>E28+0.365+0.426+0.187-0.416-0.119-0.025</f>
        <v>9.005999999999998</v>
      </c>
      <c r="F38" s="725">
        <f>F28+0.365+0.333+0.135-0.427-0.09-0.026</f>
        <v>7.032000000000001</v>
      </c>
      <c r="G38" s="725">
        <f aca="true" t="shared" si="6" ref="G38">G28+0.205+0.085-0.396-0.059-0.024</f>
        <v>4.764</v>
      </c>
      <c r="H38" s="725">
        <f>H28+0.365+0.282+0.117-0.397-0.081-0.024</f>
        <v>7.612</v>
      </c>
      <c r="I38" s="133"/>
      <c r="J38" s="132"/>
      <c r="N38" s="73">
        <f t="shared" si="4"/>
        <v>1500</v>
      </c>
      <c r="O38" s="73">
        <f t="shared" si="4"/>
        <v>9999999</v>
      </c>
      <c r="P38" s="73">
        <f t="shared" si="4"/>
        <v>9999999</v>
      </c>
      <c r="Q38" s="73">
        <f t="shared" si="4"/>
        <v>6000000</v>
      </c>
      <c r="S38" s="283">
        <f>S$37</f>
        <v>0</v>
      </c>
      <c r="T38" s="283">
        <f>T$37</f>
        <v>0</v>
      </c>
      <c r="U38" s="283">
        <f>U$37</f>
        <v>0</v>
      </c>
      <c r="V38" s="283">
        <f>V$37</f>
        <v>0</v>
      </c>
      <c r="W38" s="283">
        <f>W$37</f>
        <v>0</v>
      </c>
    </row>
    <row r="39" spans="1:23" ht="12.75">
      <c r="A39">
        <v>4</v>
      </c>
      <c r="B39" t="s">
        <v>37</v>
      </c>
      <c r="D39" s="725">
        <f t="shared" si="5"/>
        <v>10.838000000000001</v>
      </c>
      <c r="E39" s="725"/>
      <c r="F39" s="725"/>
      <c r="G39" s="725">
        <f>G29+0.205-0.396-0.059-0.024</f>
        <v>3.9610000000000003</v>
      </c>
      <c r="H39" s="725"/>
      <c r="I39" s="133"/>
      <c r="J39" s="132"/>
      <c r="L39" t="s">
        <v>234</v>
      </c>
      <c r="N39" s="73">
        <f t="shared" si="4"/>
        <v>9999999</v>
      </c>
      <c r="O39" s="73">
        <f t="shared" si="4"/>
        <v>9999999</v>
      </c>
      <c r="P39" s="73">
        <f t="shared" si="4"/>
        <v>9999999</v>
      </c>
      <c r="Q39" s="73">
        <f t="shared" si="4"/>
        <v>99999999</v>
      </c>
      <c r="S39" s="283">
        <f aca="true" t="shared" si="7" ref="S39:W40">S$37</f>
        <v>0</v>
      </c>
      <c r="T39" s="283">
        <f t="shared" si="7"/>
        <v>0</v>
      </c>
      <c r="U39" s="283">
        <f t="shared" si="7"/>
        <v>0</v>
      </c>
      <c r="V39" s="283">
        <f t="shared" si="7"/>
        <v>0</v>
      </c>
      <c r="W39" s="283">
        <f t="shared" si="7"/>
        <v>0</v>
      </c>
    </row>
    <row r="40" spans="1:23" ht="12.75">
      <c r="A40">
        <v>5</v>
      </c>
      <c r="B40" t="s">
        <v>38</v>
      </c>
      <c r="D40" s="133"/>
      <c r="E40" s="133"/>
      <c r="F40" s="133"/>
      <c r="G40" s="133"/>
      <c r="H40" s="133"/>
      <c r="I40" s="133"/>
      <c r="J40" s="132"/>
      <c r="S40" s="283">
        <f t="shared" si="7"/>
        <v>0</v>
      </c>
      <c r="T40" s="283">
        <f t="shared" si="7"/>
        <v>0</v>
      </c>
      <c r="U40" s="283">
        <f t="shared" si="7"/>
        <v>0</v>
      </c>
      <c r="V40" s="283">
        <f t="shared" si="7"/>
        <v>0</v>
      </c>
      <c r="W40" s="283">
        <f t="shared" si="7"/>
        <v>0</v>
      </c>
    </row>
    <row r="41" spans="1:17" ht="12.75">
      <c r="A41">
        <v>6</v>
      </c>
      <c r="B41" t="s">
        <v>277</v>
      </c>
      <c r="D41" s="131"/>
      <c r="E41" s="131"/>
      <c r="F41" s="131">
        <f>F31</f>
        <v>550</v>
      </c>
      <c r="G41" s="131">
        <f>G31</f>
        <v>30650</v>
      </c>
      <c r="H41" s="131"/>
      <c r="I41" s="131"/>
      <c r="J41" s="132"/>
      <c r="N41" s="73"/>
      <c r="O41" s="73"/>
      <c r="P41" s="73"/>
      <c r="Q41" s="73"/>
    </row>
    <row r="42" spans="1:17" ht="12.75">
      <c r="A42">
        <v>7</v>
      </c>
      <c r="B42" t="s">
        <v>40</v>
      </c>
      <c r="D42" s="131"/>
      <c r="E42" s="131">
        <f>E32</f>
        <v>7</v>
      </c>
      <c r="F42" s="131">
        <f>F32</f>
        <v>7</v>
      </c>
      <c r="G42" s="131">
        <f>G32</f>
        <v>8.3</v>
      </c>
      <c r="H42" s="131"/>
      <c r="I42" s="131"/>
      <c r="J42" s="132"/>
      <c r="N42" s="73">
        <f>N32</f>
        <v>0</v>
      </c>
      <c r="O42" s="73">
        <f>O32</f>
        <v>20</v>
      </c>
      <c r="P42" s="73">
        <f>P32</f>
        <v>50</v>
      </c>
      <c r="Q42" s="73">
        <f>Q32</f>
        <v>3000</v>
      </c>
    </row>
    <row r="43" spans="3:10" ht="12.75">
      <c r="C43" s="291"/>
      <c r="D43" s="292"/>
      <c r="E43" s="292"/>
      <c r="F43" s="292"/>
      <c r="G43" s="292"/>
      <c r="H43" s="292"/>
      <c r="I43" s="132"/>
      <c r="J43" s="132"/>
    </row>
    <row r="44" spans="3:8" ht="12.75">
      <c r="C44" s="291"/>
      <c r="D44" s="310"/>
      <c r="E44" s="310"/>
      <c r="F44" s="310"/>
      <c r="G44" s="310"/>
      <c r="H44" s="310"/>
    </row>
    <row r="45" spans="3:8" ht="12.75">
      <c r="C45" s="291"/>
      <c r="D45" s="318">
        <v>0</v>
      </c>
      <c r="E45" s="319" t="s">
        <v>429</v>
      </c>
      <c r="F45" s="319"/>
      <c r="G45" s="310"/>
      <c r="H45" s="310"/>
    </row>
    <row r="46" spans="4:8" ht="12.75">
      <c r="D46" s="310"/>
      <c r="E46" s="310"/>
      <c r="F46" s="310"/>
      <c r="G46" s="310"/>
      <c r="H46" s="310"/>
    </row>
    <row r="47" spans="1:3" ht="12.75">
      <c r="A47" t="s">
        <v>1</v>
      </c>
      <c r="B47" s="117" t="s">
        <v>249</v>
      </c>
      <c r="C47" s="117"/>
    </row>
    <row r="49" ht="12.75">
      <c r="B49" t="s">
        <v>17</v>
      </c>
    </row>
    <row r="50" spans="2:8" ht="12.75">
      <c r="B50" s="144" t="s">
        <v>18</v>
      </c>
      <c r="C50" s="69">
        <f>SUM(D50:H50)</f>
        <v>3483200782.391242</v>
      </c>
      <c r="D50" s="69">
        <f>'Pres &amp; Prop Rev'!D31</f>
        <v>1632639774.4875689</v>
      </c>
      <c r="E50" s="69">
        <f>'Pres &amp; Prop Rev'!E31</f>
        <v>435979118.3898335</v>
      </c>
      <c r="F50" s="69">
        <f>'Pres &amp; Prop Rev'!F31</f>
        <v>1229791151.80367</v>
      </c>
      <c r="G50" s="69">
        <f>'Pres &amp; Prop Rev'!G31</f>
        <v>138000000</v>
      </c>
      <c r="H50" s="69">
        <f>'Pres &amp; Prop Rev'!H31</f>
        <v>46790737.71017</v>
      </c>
    </row>
    <row r="51" spans="2:8" ht="12.75">
      <c r="B51" s="144" t="s">
        <v>19</v>
      </c>
      <c r="C51" s="69">
        <f>SUM(D51:H51)</f>
        <v>1499320364.6345785</v>
      </c>
      <c r="D51" s="69">
        <f>'Pres &amp; Prop Rev'!D32</f>
        <v>504552667.9882521</v>
      </c>
      <c r="E51" s="69">
        <f>'Pres &amp; Prop Rev'!E32</f>
        <v>191116384.1461664</v>
      </c>
      <c r="F51" s="69">
        <f>'Pres &amp; Prop Rev'!F32</f>
        <v>146237824.45333</v>
      </c>
      <c r="G51" s="69">
        <f>'Pres &amp; Prop Rev'!G32</f>
        <v>564644246.7149999</v>
      </c>
      <c r="H51" s="69">
        <f>'Pres &amp; Prop Rev'!H32</f>
        <v>92769241.33183</v>
      </c>
    </row>
    <row r="52" spans="2:8" ht="12.75">
      <c r="B52" s="144" t="s">
        <v>20</v>
      </c>
      <c r="C52" s="69">
        <f>SUM(D52:H52)</f>
        <v>682329916.9551795</v>
      </c>
      <c r="D52" s="69">
        <f>'Pres &amp; Prop Rev'!D33</f>
        <v>299072582.35517937</v>
      </c>
      <c r="E52" s="69">
        <f>'Pres &amp; Prop Rev'!E33</f>
        <v>0</v>
      </c>
      <c r="F52" s="69">
        <f>'Pres &amp; Prop Rev'!F33</f>
        <v>0</v>
      </c>
      <c r="G52" s="69">
        <f>'Pres &amp; Prop Rev'!G33</f>
        <v>383257334.60000014</v>
      </c>
      <c r="H52" s="69">
        <f>'Pres &amp; Prop Rev'!H33</f>
        <v>0</v>
      </c>
    </row>
    <row r="53" spans="2:8" ht="12.75">
      <c r="B53" s="144" t="s">
        <v>440</v>
      </c>
      <c r="C53" s="69">
        <f>SUM(D53:H53)</f>
        <v>0</v>
      </c>
      <c r="D53" s="69">
        <f>'Pres &amp; Prop Rev'!D41+'Pres &amp; Prop Rev'!D38</f>
        <v>0</v>
      </c>
      <c r="E53" s="69">
        <f>'Pres &amp; Prop Rev'!E41+'Pres &amp; Prop Rev'!E38</f>
        <v>0</v>
      </c>
      <c r="F53" s="69">
        <f>'Pres &amp; Prop Rev'!F41+'Pres &amp; Prop Rev'!F38</f>
        <v>0</v>
      </c>
      <c r="G53" s="69">
        <f>'Pres &amp; Prop Rev'!G41+'Pres &amp; Prop Rev'!G38</f>
        <v>0</v>
      </c>
      <c r="H53" s="69">
        <f>'Pres &amp; Prop Rev'!H41+'Pres &amp; Prop Rev'!H38</f>
        <v>0</v>
      </c>
    </row>
    <row r="54" spans="2:8" ht="12.75">
      <c r="B54" s="144" t="s">
        <v>241</v>
      </c>
      <c r="C54" s="69">
        <f>SUM(D54:H54)</f>
        <v>-52372625</v>
      </c>
      <c r="D54" s="69">
        <f>'Pres &amp; Prop Rev'!D44</f>
        <v>-40779500</v>
      </c>
      <c r="E54" s="69">
        <f>'Pres &amp; Prop Rev'!E44</f>
        <v>-5197349</v>
      </c>
      <c r="F54" s="69">
        <f>'Pres &amp; Prop Rev'!F44</f>
        <v>-6458850</v>
      </c>
      <c r="G54" s="69">
        <f>'Pres &amp; Prop Rev'!G44</f>
        <v>0</v>
      </c>
      <c r="H54" s="69">
        <f>'Pres &amp; Prop Rev'!H44</f>
        <v>63074</v>
      </c>
    </row>
    <row r="55" spans="2:8" ht="12.75">
      <c r="B55" t="s">
        <v>27</v>
      </c>
      <c r="C55" s="77">
        <f>IF(ROUND(SUM(D55:I55),3)&lt;&gt;ROUND(SUM(C50:C54),3),#VALUE!,SUM(D55:I55))</f>
        <v>5612478438.981001</v>
      </c>
      <c r="D55" s="77">
        <f>SUM(D50:D54)</f>
        <v>2395485524.8310003</v>
      </c>
      <c r="E55" s="77">
        <f>SUM(E50:E54)</f>
        <v>621898153.5359999</v>
      </c>
      <c r="F55" s="77">
        <f>SUM(F50:F54)</f>
        <v>1369570126.257</v>
      </c>
      <c r="G55" s="77">
        <f>SUM(G50:G54)</f>
        <v>1085901581.315</v>
      </c>
      <c r="H55" s="77">
        <f>SUM(H50:H54)</f>
        <v>139623053.042</v>
      </c>
    </row>
    <row r="56" spans="2:8" ht="12.75">
      <c r="B56" t="s">
        <v>28</v>
      </c>
      <c r="C56" s="69"/>
      <c r="D56" s="69">
        <f>'Pres &amp; Prop Rev'!D48</f>
        <v>2619517</v>
      </c>
      <c r="E56" s="69">
        <f>'Pres &amp; Prop Rev'!E48</f>
        <v>391801</v>
      </c>
      <c r="F56" s="69">
        <f>'Pres &amp; Prop Rev'!F48</f>
        <v>22941</v>
      </c>
      <c r="G56" s="69">
        <f>'Pres &amp; Prop Rev'!G48</f>
        <v>276</v>
      </c>
      <c r="H56" s="69">
        <f>'Pres &amp; Prop Rev'!H48</f>
        <v>29492</v>
      </c>
    </row>
    <row r="57" spans="2:8" ht="12.75">
      <c r="B57" t="s">
        <v>30</v>
      </c>
      <c r="C57" s="69"/>
      <c r="D57" s="69">
        <f>'Pres &amp; Prop Rev'!D50</f>
        <v>0</v>
      </c>
      <c r="E57" s="69">
        <f>'Pres &amp; Prop Rev'!E50</f>
        <v>438307.97692307696</v>
      </c>
      <c r="F57" s="69">
        <f>'Pres &amp; Prop Rev'!F50</f>
        <v>2648035.6015384616</v>
      </c>
      <c r="G57" s="69">
        <f>'Pres &amp; Prop Rev'!G50</f>
        <v>1278599.155</v>
      </c>
      <c r="H57" s="69">
        <f>'Pres &amp; Prop Rev'!H50</f>
        <v>0</v>
      </c>
    </row>
    <row r="58" spans="10:13" ht="12.75">
      <c r="J58" t="s">
        <v>282</v>
      </c>
      <c r="K58" s="166" t="s">
        <v>261</v>
      </c>
      <c r="L58" s="166"/>
      <c r="M58" s="166"/>
    </row>
    <row r="59" spans="1:13" ht="12.75">
      <c r="A59" s="284"/>
      <c r="B59" s="117" t="s">
        <v>238</v>
      </c>
      <c r="C59" s="209">
        <f ca="1">SUM(D59:I59)</f>
        <v>525093869.0466308</v>
      </c>
      <c r="D59" s="209">
        <f ca="1">'Rate Spread GRC'!H15*1000</f>
        <v>232554338.77</v>
      </c>
      <c r="E59" s="209">
        <f ca="1">'Rate Spread GRC'!H17*1000</f>
        <v>77795989.84846152</v>
      </c>
      <c r="F59" s="209">
        <f ca="1">'Rate Spread GRC'!H19*1000</f>
        <v>133265733.32076924</v>
      </c>
      <c r="G59" s="209">
        <f ca="1">'Rate Spread GRC'!H21*1000</f>
        <v>69248367.05739999</v>
      </c>
      <c r="H59" s="209">
        <f ca="1">'Rate Spread GRC'!H23*1000</f>
        <v>12229440.05</v>
      </c>
      <c r="J59" s="185" t="s">
        <v>280</v>
      </c>
      <c r="K59" s="59" t="s">
        <v>262</v>
      </c>
      <c r="L59" s="59" t="s">
        <v>263</v>
      </c>
      <c r="M59" s="59" t="s">
        <v>264</v>
      </c>
    </row>
    <row r="60" spans="2:10" ht="12.75">
      <c r="B60" s="117" t="s">
        <v>348</v>
      </c>
      <c r="C60" s="182">
        <f ca="1">'Rate Spread GRC'!F27</f>
        <v>0</v>
      </c>
      <c r="D60" s="182">
        <f ca="1">'Rate Spread GRC'!F15</f>
        <v>0</v>
      </c>
      <c r="E60" s="182">
        <f ca="1">'Rate Spread GRC'!F17</f>
        <v>0</v>
      </c>
      <c r="F60" s="182">
        <f ca="1">'Rate Spread GRC'!F19</f>
        <v>0</v>
      </c>
      <c r="G60" s="182">
        <f ca="1">'Rate Spread GRC'!F21</f>
        <v>0</v>
      </c>
      <c r="H60" s="182">
        <f ca="1">'Rate Spread GRC'!F25</f>
        <v>0</v>
      </c>
      <c r="J60" s="186" t="s">
        <v>281</v>
      </c>
    </row>
    <row r="61" spans="2:9" ht="12.75">
      <c r="B61" s="146" t="s">
        <v>245</v>
      </c>
      <c r="C61" s="169"/>
      <c r="D61" s="147">
        <f>D4</f>
        <v>9</v>
      </c>
      <c r="E61" s="147">
        <f>E4</f>
        <v>20</v>
      </c>
      <c r="F61" s="147">
        <f>F4</f>
        <v>0</v>
      </c>
      <c r="G61" s="147">
        <f>G4</f>
        <v>0</v>
      </c>
      <c r="H61" s="147">
        <v>20</v>
      </c>
      <c r="I61" s="148"/>
    </row>
    <row r="62" spans="2:13" ht="12.75">
      <c r="B62" s="161" t="s">
        <v>33</v>
      </c>
      <c r="C62" s="159"/>
      <c r="D62" s="184">
        <v>9</v>
      </c>
      <c r="E62" s="184">
        <v>20</v>
      </c>
      <c r="F62" s="184">
        <v>0</v>
      </c>
      <c r="G62" s="184">
        <v>0</v>
      </c>
      <c r="H62" s="184">
        <v>20</v>
      </c>
      <c r="I62" s="162"/>
      <c r="K62">
        <f>FLOOR(K61*(1+K$60),$K63)</f>
        <v>0</v>
      </c>
      <c r="L62">
        <f>CEILING(L61*(1+L$60),$L63)</f>
        <v>0</v>
      </c>
      <c r="M62">
        <f>M61*(1+M$60)</f>
        <v>0</v>
      </c>
    </row>
    <row r="63" spans="2:12" ht="12.75">
      <c r="B63" s="163" t="s">
        <v>258</v>
      </c>
      <c r="C63" s="170"/>
      <c r="D63" s="164">
        <f>IF(D61,D62/D61-1,0)</f>
        <v>0</v>
      </c>
      <c r="E63" s="164">
        <f>IF(E61,E62/E61-1,0)</f>
        <v>0</v>
      </c>
      <c r="F63" s="164">
        <f>IF(F61,F62/F61-1,0)</f>
        <v>0</v>
      </c>
      <c r="G63" s="164">
        <f>IF(G61,G62/G61-1,0)</f>
        <v>0</v>
      </c>
      <c r="H63" s="164">
        <f>IF(H61,H62/H61-1,0)</f>
        <v>0</v>
      </c>
      <c r="I63" s="150"/>
      <c r="K63" s="165">
        <v>0.05</v>
      </c>
      <c r="L63" s="165">
        <v>0.05</v>
      </c>
    </row>
    <row r="64" spans="2:9" ht="12.75">
      <c r="B64" s="144" t="s">
        <v>242</v>
      </c>
      <c r="C64" s="70">
        <f>SUM(D64:I64)</f>
        <v>32001513</v>
      </c>
      <c r="D64" s="70">
        <f>D56*D62</f>
        <v>23575653</v>
      </c>
      <c r="E64" s="70">
        <f>E56*E62</f>
        <v>7836020</v>
      </c>
      <c r="F64" s="70">
        <f>F56*F62</f>
        <v>0</v>
      </c>
      <c r="G64" s="70">
        <f>G56*G62</f>
        <v>0</v>
      </c>
      <c r="H64" s="70">
        <f>H56*H62</f>
        <v>589840</v>
      </c>
      <c r="I64" s="70"/>
    </row>
    <row r="65" spans="2:9" ht="12.75">
      <c r="B65" s="151" t="s">
        <v>246</v>
      </c>
      <c r="C65" s="171"/>
      <c r="D65" s="147">
        <f>D9</f>
        <v>0</v>
      </c>
      <c r="E65" s="147">
        <f>E9</f>
        <v>0</v>
      </c>
      <c r="F65" s="147">
        <f>F9</f>
        <v>550</v>
      </c>
      <c r="G65" s="147">
        <f>G9</f>
        <v>30650</v>
      </c>
      <c r="H65" s="147">
        <f>H9</f>
        <v>0</v>
      </c>
      <c r="I65" s="152"/>
    </row>
    <row r="66" spans="2:13" ht="12.75">
      <c r="B66" s="161" t="s">
        <v>40</v>
      </c>
      <c r="C66" s="159"/>
      <c r="D66" s="160"/>
      <c r="E66" s="160"/>
      <c r="F66" s="184">
        <v>550</v>
      </c>
      <c r="G66" s="184">
        <v>30650</v>
      </c>
      <c r="H66" s="160"/>
      <c r="I66" s="162"/>
      <c r="K66">
        <f>FLOOR(K65*(1+K$60),$K67)</f>
        <v>0</v>
      </c>
      <c r="L66">
        <f>CEILING(L65*(1+L$60),$L67)</f>
        <v>0</v>
      </c>
      <c r="M66">
        <f>M65*(1+M$60)</f>
        <v>0</v>
      </c>
    </row>
    <row r="67" spans="2:12" ht="12.75">
      <c r="B67" s="163" t="s">
        <v>259</v>
      </c>
      <c r="C67" s="170"/>
      <c r="D67" s="164">
        <f>IF(D65,D66/D65-1,0)</f>
        <v>0</v>
      </c>
      <c r="E67" s="164">
        <f>IF(E65,E66/E65-1,0)</f>
        <v>0</v>
      </c>
      <c r="F67" s="164">
        <f>IF(F65,F66/F65-1,0)</f>
        <v>0</v>
      </c>
      <c r="G67" s="164">
        <f>IF(G65,G66/G65-1,0)</f>
        <v>0</v>
      </c>
      <c r="H67" s="164">
        <f>IF(H65,H66/H65-1,0)</f>
        <v>0</v>
      </c>
      <c r="I67" s="150"/>
      <c r="K67" s="165">
        <v>5</v>
      </c>
      <c r="L67" s="165">
        <v>10</v>
      </c>
    </row>
    <row r="68" spans="2:9" ht="12.75">
      <c r="B68" s="151" t="s">
        <v>247</v>
      </c>
      <c r="C68" s="171"/>
      <c r="D68" s="147">
        <f>D10</f>
        <v>0</v>
      </c>
      <c r="E68" s="147">
        <v>7</v>
      </c>
      <c r="F68" s="147">
        <v>7</v>
      </c>
      <c r="G68" s="147">
        <v>8.3</v>
      </c>
      <c r="H68" s="147">
        <f>H10</f>
        <v>0</v>
      </c>
      <c r="I68" s="148"/>
    </row>
    <row r="69" spans="2:13" ht="12.75">
      <c r="B69" s="161" t="s">
        <v>41</v>
      </c>
      <c r="C69" s="159"/>
      <c r="D69" s="160"/>
      <c r="E69" s="184">
        <v>7</v>
      </c>
      <c r="F69" s="184">
        <v>7</v>
      </c>
      <c r="G69" s="184">
        <v>8.3</v>
      </c>
      <c r="H69" s="184">
        <v>0</v>
      </c>
      <c r="I69" s="162"/>
      <c r="K69">
        <f>FLOOR(K68*(1+K$60),$K70)</f>
        <v>0</v>
      </c>
      <c r="L69">
        <f>CEILING(L68*(1+L$60),$L70)</f>
        <v>0</v>
      </c>
      <c r="M69">
        <f>M68*(1+M$60)</f>
        <v>0</v>
      </c>
    </row>
    <row r="70" spans="2:12" ht="12.75">
      <c r="B70" s="163" t="s">
        <v>260</v>
      </c>
      <c r="C70" s="170"/>
      <c r="D70" s="164">
        <f>IF(D68,D69/D68-1,0)</f>
        <v>0</v>
      </c>
      <c r="E70" s="164">
        <f>IF(E68,E69/E68-1,0)</f>
        <v>0</v>
      </c>
      <c r="F70" s="164">
        <f>IF(F68,F69/F68-1,0)</f>
        <v>0</v>
      </c>
      <c r="G70" s="164">
        <f>IF(G68,G69/G68-1,0)</f>
        <v>0</v>
      </c>
      <c r="H70" s="164">
        <f>IF(H68,H69/H68-1,0)</f>
        <v>0</v>
      </c>
      <c r="I70" s="150"/>
      <c r="K70" s="165">
        <v>0.05</v>
      </c>
      <c r="L70" s="165">
        <v>0.05</v>
      </c>
    </row>
    <row r="71" spans="2:9" ht="12.75">
      <c r="B71" s="144" t="s">
        <v>244</v>
      </c>
      <c r="C71" s="70">
        <f>SUM(D71:I71)</f>
        <v>53293728.03573077</v>
      </c>
      <c r="D71" s="70">
        <f>D56*D66+D57*D69</f>
        <v>0</v>
      </c>
      <c r="E71" s="70">
        <f>E56*E66+E57*E69</f>
        <v>3068155.838461539</v>
      </c>
      <c r="F71" s="70">
        <f>F56*F66+F57*F69</f>
        <v>31153799.210769232</v>
      </c>
      <c r="G71" s="70">
        <f>G56*G66+G57*G69</f>
        <v>19071772.986500002</v>
      </c>
      <c r="H71" s="70">
        <f>H56*H66+H57*H69</f>
        <v>0</v>
      </c>
      <c r="I71" s="70"/>
    </row>
    <row r="72" spans="2:9" ht="12.75">
      <c r="B72" s="144" t="s">
        <v>248</v>
      </c>
      <c r="C72" s="70">
        <f>SUM(D72:I72)</f>
        <v>-1557160.3591</v>
      </c>
      <c r="D72" s="70">
        <f>'Pres &amp; Prop Rev'!D172+'Pres &amp; Prop Rev'!D173</f>
        <v>0</v>
      </c>
      <c r="E72" s="70">
        <f>'Pres &amp; Prop Rev'!E172+'Pres &amp; Prop Rev'!E173</f>
        <v>0</v>
      </c>
      <c r="F72" s="70">
        <f>'Pres &amp; Prop Rev'!F172+'Pres &amp; Prop Rev'!F173</f>
        <v>61123.229999999996</v>
      </c>
      <c r="G72" s="70">
        <f>'Pres &amp; Prop Rev'!G172+'Pres &amp; Prop Rev'!G173</f>
        <v>-1618283.5891</v>
      </c>
      <c r="H72" s="70">
        <f>'Pres &amp; Prop Rev'!H172+'Pres &amp; Prop Rev'!H173</f>
        <v>0</v>
      </c>
      <c r="I72" s="70"/>
    </row>
    <row r="73" spans="2:9" ht="12.75">
      <c r="B73" s="144"/>
      <c r="C73" s="144"/>
      <c r="D73" s="145"/>
      <c r="E73" s="145"/>
      <c r="F73" s="145"/>
      <c r="G73" s="145"/>
      <c r="I73" s="145"/>
    </row>
    <row r="74" spans="2:9" ht="12.75">
      <c r="B74" s="153" t="s">
        <v>342</v>
      </c>
      <c r="C74" s="153"/>
      <c r="D74" s="154">
        <f>D5</f>
        <v>8.103</v>
      </c>
      <c r="E74" s="154">
        <f>E5</f>
        <v>11.686</v>
      </c>
      <c r="F74" s="154">
        <f>F5</f>
        <v>7.535</v>
      </c>
      <c r="G74" s="154">
        <f>G5</f>
        <v>5.505</v>
      </c>
      <c r="H74" s="154">
        <f>H5</f>
        <v>10.292</v>
      </c>
      <c r="I74" s="154"/>
    </row>
    <row r="75" spans="2:9" ht="12.75">
      <c r="B75" s="153" t="s">
        <v>343</v>
      </c>
      <c r="C75" s="153"/>
      <c r="D75" s="154">
        <f aca="true" t="shared" si="8" ref="D75:H76">D6</f>
        <v>9.427</v>
      </c>
      <c r="E75" s="154">
        <f t="shared" si="8"/>
        <v>8.588</v>
      </c>
      <c r="F75" s="154">
        <f t="shared" si="8"/>
        <v>6.742</v>
      </c>
      <c r="G75" s="154">
        <f t="shared" si="8"/>
        <v>4.953</v>
      </c>
      <c r="H75" s="154">
        <f t="shared" si="8"/>
        <v>7.35</v>
      </c>
      <c r="I75" s="154"/>
    </row>
    <row r="76" spans="2:9" ht="12.75">
      <c r="B76" s="153" t="s">
        <v>344</v>
      </c>
      <c r="C76" s="153"/>
      <c r="D76" s="154">
        <f t="shared" si="8"/>
        <v>11.053</v>
      </c>
      <c r="E76" s="154">
        <f t="shared" si="8"/>
        <v>0</v>
      </c>
      <c r="F76" s="154">
        <f t="shared" si="8"/>
        <v>0</v>
      </c>
      <c r="G76" s="154">
        <f t="shared" si="8"/>
        <v>4.235</v>
      </c>
      <c r="H76" s="154">
        <f t="shared" si="8"/>
        <v>0</v>
      </c>
      <c r="I76" s="154"/>
    </row>
    <row r="77" spans="2:11" ht="12.75">
      <c r="B77" s="153"/>
      <c r="C77" s="153"/>
      <c r="D77" s="154"/>
      <c r="E77" s="154"/>
      <c r="F77" s="154"/>
      <c r="G77" s="154"/>
      <c r="H77" s="154"/>
      <c r="I77" s="154"/>
      <c r="K77" s="35"/>
    </row>
    <row r="78" spans="2:9" ht="12.75">
      <c r="B78" s="153" t="s">
        <v>254</v>
      </c>
      <c r="C78" s="153"/>
      <c r="D78" s="156">
        <v>0</v>
      </c>
      <c r="E78" s="156">
        <v>1</v>
      </c>
      <c r="F78" s="156">
        <v>1</v>
      </c>
      <c r="G78" s="156">
        <v>1</v>
      </c>
      <c r="H78" s="156">
        <v>1</v>
      </c>
      <c r="I78" s="154"/>
    </row>
    <row r="79" spans="2:13" ht="12.75">
      <c r="B79" s="153" t="s">
        <v>253</v>
      </c>
      <c r="C79" s="153"/>
      <c r="D79" s="157">
        <v>0</v>
      </c>
      <c r="E79" s="157">
        <v>0</v>
      </c>
      <c r="F79" s="157">
        <v>0</v>
      </c>
      <c r="G79" s="157">
        <v>0</v>
      </c>
      <c r="H79" s="157">
        <v>0</v>
      </c>
      <c r="I79" s="154"/>
      <c r="M79">
        <f>M$60</f>
        <v>0</v>
      </c>
    </row>
    <row r="80" spans="2:9" ht="12.75">
      <c r="B80" s="153" t="s">
        <v>255</v>
      </c>
      <c r="C80" s="153"/>
      <c r="D80" s="167">
        <v>2</v>
      </c>
      <c r="E80" s="167">
        <v>2</v>
      </c>
      <c r="F80" s="167">
        <v>2</v>
      </c>
      <c r="G80" s="167">
        <v>2</v>
      </c>
      <c r="H80" s="167">
        <v>2</v>
      </c>
      <c r="I80" s="155"/>
    </row>
    <row r="81" spans="2:9" ht="12.75">
      <c r="B81" s="153"/>
      <c r="C81" s="153"/>
      <c r="D81" s="154"/>
      <c r="E81" s="154"/>
      <c r="F81" s="154"/>
      <c r="G81" s="154"/>
      <c r="H81" s="154"/>
      <c r="I81" s="154"/>
    </row>
    <row r="82" spans="1:9" ht="12.75">
      <c r="A82" t="s">
        <v>256</v>
      </c>
      <c r="B82" t="s">
        <v>35</v>
      </c>
      <c r="D82" s="154">
        <f>CHOOSE(D$80,D74+D$78,D74*(1+D$79))</f>
        <v>8.103</v>
      </c>
      <c r="E82" s="154">
        <f>CHOOSE(E$80,E74+E$78,E74*(1+E$79))</f>
        <v>11.686</v>
      </c>
      <c r="F82" s="154">
        <f>CHOOSE(F$80,F74+F$78,F74*(1+F$79))</f>
        <v>7.535</v>
      </c>
      <c r="G82" s="154">
        <f>CHOOSE(G$80,G74+G$78,G74*(1+G$79))</f>
        <v>5.505</v>
      </c>
      <c r="H82" s="154">
        <f aca="true" t="shared" si="9" ref="D82:H84">CHOOSE(H$80,H74+H$78,H74*(1+H$79))</f>
        <v>10.292</v>
      </c>
      <c r="I82" s="154"/>
    </row>
    <row r="83" spans="2:13" ht="12.75">
      <c r="B83" t="s">
        <v>36</v>
      </c>
      <c r="D83" s="154">
        <f t="shared" si="9"/>
        <v>9.427</v>
      </c>
      <c r="E83" s="154">
        <f>CHOOSE(E$80,E75+E$78,E75*(1+E$79))</f>
        <v>8.588</v>
      </c>
      <c r="F83" s="154">
        <f t="shared" si="9"/>
        <v>6.742</v>
      </c>
      <c r="G83" s="154">
        <f>CHOOSE(G$80,G75+G$78,G75*(1+G$79))</f>
        <v>4.953</v>
      </c>
      <c r="H83" s="154">
        <f>CHOOSE(H$80,H75+H$78,H75*(1+H$79))</f>
        <v>7.35</v>
      </c>
      <c r="I83" s="154"/>
      <c r="K83" s="154"/>
      <c r="M83">
        <f>0.75*M82</f>
        <v>0</v>
      </c>
    </row>
    <row r="84" spans="2:9" ht="12.75">
      <c r="B84" t="s">
        <v>37</v>
      </c>
      <c r="D84" s="154">
        <f t="shared" si="9"/>
        <v>11.053</v>
      </c>
      <c r="E84" s="154">
        <f t="shared" si="9"/>
        <v>0</v>
      </c>
      <c r="F84" s="154">
        <f t="shared" si="9"/>
        <v>0</v>
      </c>
      <c r="G84" s="154">
        <f>CHOOSE(G$80,G76+G$78,G76*(1+G$79))</f>
        <v>4.235</v>
      </c>
      <c r="H84" s="154">
        <f t="shared" si="9"/>
        <v>0</v>
      </c>
      <c r="I84" s="154"/>
    </row>
    <row r="85" spans="1:13" ht="12.75">
      <c r="A85" t="s">
        <v>257</v>
      </c>
      <c r="B85" s="146" t="s">
        <v>35</v>
      </c>
      <c r="C85" s="169"/>
      <c r="D85" s="190">
        <f>D82</f>
        <v>8.103</v>
      </c>
      <c r="E85" s="190">
        <f aca="true" t="shared" si="10" ref="E85:H87">E82</f>
        <v>11.686</v>
      </c>
      <c r="F85" s="190">
        <f>F82</f>
        <v>7.535</v>
      </c>
      <c r="G85" s="190">
        <f>G82</f>
        <v>5.505</v>
      </c>
      <c r="H85" s="190">
        <f t="shared" si="10"/>
        <v>10.292</v>
      </c>
      <c r="I85" s="187"/>
      <c r="M85">
        <f>M82</f>
        <v>0</v>
      </c>
    </row>
    <row r="86" spans="2:14" ht="12.75">
      <c r="B86" s="161" t="s">
        <v>36</v>
      </c>
      <c r="C86" s="159"/>
      <c r="D86" s="191">
        <f>D83</f>
        <v>9.427</v>
      </c>
      <c r="E86" s="191">
        <f>E83</f>
        <v>8.588</v>
      </c>
      <c r="F86" s="191">
        <f>F83</f>
        <v>6.742</v>
      </c>
      <c r="G86" s="191">
        <f>G83</f>
        <v>4.953</v>
      </c>
      <c r="H86" s="191">
        <f>H83</f>
        <v>7.35</v>
      </c>
      <c r="I86" s="188"/>
      <c r="J86" s="53">
        <f>G86-G85</f>
        <v>-0.5519999999999996</v>
      </c>
      <c r="M86">
        <f>M83</f>
        <v>0</v>
      </c>
      <c r="N86">
        <f>0.75*(N85-N74)+N75</f>
        <v>0</v>
      </c>
    </row>
    <row r="87" spans="2:13" ht="12.75">
      <c r="B87" s="149" t="s">
        <v>37</v>
      </c>
      <c r="C87" s="172"/>
      <c r="D87" s="192">
        <f>D84</f>
        <v>11.053</v>
      </c>
      <c r="E87" s="168">
        <f t="shared" si="10"/>
        <v>0</v>
      </c>
      <c r="F87" s="168">
        <f t="shared" si="10"/>
        <v>0</v>
      </c>
      <c r="G87" s="192">
        <f>G84</f>
        <v>4.235</v>
      </c>
      <c r="H87" s="168">
        <f t="shared" si="10"/>
        <v>0</v>
      </c>
      <c r="I87" s="189"/>
      <c r="J87" s="53">
        <f>G87-G86</f>
        <v>-0.718</v>
      </c>
      <c r="M87">
        <f>M84</f>
        <v>0</v>
      </c>
    </row>
    <row r="88" spans="2:9" ht="12.75">
      <c r="B88" t="s">
        <v>250</v>
      </c>
      <c r="C88" s="70">
        <f>SUM(D88:I88)</f>
        <v>446228105.3473811</v>
      </c>
      <c r="D88" s="145">
        <f>SUMPRODUCT(D50:D52,D85:D87)/100</f>
        <v>212913473.4656982</v>
      </c>
      <c r="E88" s="145">
        <f>SUMPRODUCT(E50:E52,E85:E87)/100</f>
        <v>67361594.84550871</v>
      </c>
      <c r="F88" s="145">
        <f>SUMPRODUCT(F50:F52,F85:F87)/100</f>
        <v>102524117.41305004</v>
      </c>
      <c r="G88" s="145">
        <f>SUMPRODUCT(G50:G52,G85:G87)/100</f>
        <v>51794677.66010395</v>
      </c>
      <c r="H88" s="145">
        <f>SUMPRODUCT(H50:H52,H85:H87)/100</f>
        <v>11634241.9630202</v>
      </c>
      <c r="I88" s="145"/>
    </row>
    <row r="89" spans="2:9" ht="12.75">
      <c r="B89" s="354" t="s">
        <v>251</v>
      </c>
      <c r="C89" s="70">
        <f ca="1">SUM(D89:I89)</f>
        <v>0</v>
      </c>
      <c r="D89" s="145">
        <f ca="1">'Pres &amp; Prop Rev'!D181+'Pres &amp; Prop Rev'!D178</f>
        <v>0</v>
      </c>
      <c r="E89" s="145">
        <f ca="1">'Pres &amp; Prop Rev'!E181+'Pres &amp; Prop Rev'!E178</f>
        <v>0</v>
      </c>
      <c r="F89" s="145">
        <f ca="1">'Pres &amp; Prop Rev'!F181+'Pres &amp; Prop Rev'!F178</f>
        <v>0</v>
      </c>
      <c r="G89" s="145">
        <f ca="1">'Pres &amp; Prop Rev'!G181+'Pres &amp; Prop Rev'!G178+'Pres &amp; Prop Rev'!G174</f>
        <v>0</v>
      </c>
      <c r="H89" s="145">
        <f ca="1">'Pres &amp; Prop Rev'!H181+'Pres &amp; Prop Rev'!H178</f>
        <v>0</v>
      </c>
      <c r="I89" s="145"/>
    </row>
    <row r="90" spans="2:9" ht="12.75">
      <c r="B90" t="s">
        <v>252</v>
      </c>
      <c r="C90" s="70">
        <f ca="1">SUM(D90:I90)</f>
        <v>-4872816.99</v>
      </c>
      <c r="D90" s="145">
        <f ca="1">'Pres &amp; Prop Rev'!D202</f>
        <v>-3935087.6999999997</v>
      </c>
      <c r="E90" s="145">
        <f ca="1">'Pres &amp; Prop Rev'!E202</f>
        <v>-469780.84</v>
      </c>
      <c r="F90" s="145">
        <f ca="1">'Pres &amp; Prop Rev'!F202</f>
        <v>-473206.52999999997</v>
      </c>
      <c r="G90" s="145">
        <f>'Pres &amp; Prop Rev'!G202</f>
        <v>0</v>
      </c>
      <c r="H90" s="145">
        <f ca="1">'Pres &amp; Prop Rev'!H202</f>
        <v>5258.08</v>
      </c>
      <c r="I90" s="145"/>
    </row>
    <row r="92" spans="1:10" ht="12.75">
      <c r="A92" t="s">
        <v>1</v>
      </c>
      <c r="B92" s="183" t="s">
        <v>243</v>
      </c>
      <c r="C92" s="145">
        <f ca="1">IF(ROUND(C59-C64-C71-C72-SUM(C88:C90),3)&lt;&gt;ROUND(SUM(D92:I92),3),#VALUE!,SUM(D92:I92))</f>
        <v>500.0126188620925</v>
      </c>
      <c r="D92" s="145">
        <f ca="1">D59-D64-D71-D72-SUM(D88:D90)</f>
        <v>300.00430178642273</v>
      </c>
      <c r="E92" s="145">
        <f ca="1">E59-E64-E71-E72-SUM(E88:E90)</f>
        <v>0.004491277039051056</v>
      </c>
      <c r="F92" s="145">
        <f ca="1">F59-F64-F71-F72-SUM(F88:F90)</f>
        <v>-100.00305004417896</v>
      </c>
      <c r="G92" s="145">
        <f ca="1">G59-G64-G71-G72-SUM(G88:G90)</f>
        <v>199.99989604204893</v>
      </c>
      <c r="H92" s="145">
        <f ca="1">H59-H64-H71-H72-SUM(H88:H90)</f>
        <v>100.00697980076075</v>
      </c>
      <c r="J92" t="s">
        <v>306</v>
      </c>
    </row>
    <row r="93" spans="2:8" ht="12.75">
      <c r="B93" s="153" t="s">
        <v>274</v>
      </c>
      <c r="C93" s="181">
        <f aca="true" t="shared" si="11" ref="C93:H93">C92/C55*100</f>
        <v>8.908945028444058E-06</v>
      </c>
      <c r="D93" s="181">
        <f ca="1">D92/D55*100</f>
        <v>1.2523736782236987E-05</v>
      </c>
      <c r="E93" s="181">
        <f ca="1" t="shared" si="11"/>
        <v>7.221885148740948E-10</v>
      </c>
      <c r="F93" s="181">
        <f ca="1" t="shared" si="11"/>
        <v>-7.301783831798721E-06</v>
      </c>
      <c r="G93" s="181">
        <f ca="1" t="shared" si="11"/>
        <v>1.8417865806941177E-05</v>
      </c>
      <c r="H93" s="181">
        <f ca="1" t="shared" si="11"/>
        <v>7.162640955192239E-05</v>
      </c>
    </row>
    <row r="94" spans="2:9" ht="12.75">
      <c r="B94" s="153" t="s">
        <v>351</v>
      </c>
      <c r="C94" s="145">
        <f ca="1">SUM(D94:I94)</f>
        <v>-0.016888104379177094</v>
      </c>
      <c r="D94" s="145">
        <f ca="1">D59-'Pres &amp; Prop Rev'!D204-D92</f>
        <v>-0.004301786422729492</v>
      </c>
      <c r="E94" s="145">
        <f ca="1">E59-'Pres &amp; Prop Rev'!E204-E92</f>
        <v>-0.006029747426509857</v>
      </c>
      <c r="F94" s="145">
        <f ca="1">F59-'Pres &amp; Prop Rev'!F204-F92</f>
        <v>0.0038192719221115112</v>
      </c>
      <c r="G94" s="145">
        <f ca="1">G59-'Pres &amp; Prop Rev'!G204-G92</f>
        <v>-0.003396041691303253</v>
      </c>
      <c r="H94" s="145">
        <f ca="1">H59-'Pres &amp; Prop Rev'!H204-H92</f>
        <v>-0.006979800760746002</v>
      </c>
      <c r="I94" s="145"/>
    </row>
    <row r="95" spans="1:9" ht="12.75">
      <c r="A95" s="222" t="str">
        <f>IF(Base1_Billing2=2,"MAKE SURE TO CHANGE Base1_Billing2 to '1' before designing Base Rates","")</f>
        <v/>
      </c>
      <c r="B95" s="153"/>
      <c r="C95" s="145"/>
      <c r="D95" s="145"/>
      <c r="E95" s="145"/>
      <c r="F95" s="145"/>
      <c r="G95" s="145"/>
      <c r="H95" s="145"/>
      <c r="I95" s="145"/>
    </row>
    <row r="96" spans="2:9" ht="12.75">
      <c r="B96" s="183" t="s">
        <v>339</v>
      </c>
      <c r="C96" s="209">
        <f ca="1">SUM(D96:I96)</f>
        <v>525093869.0466308</v>
      </c>
      <c r="D96" s="145">
        <f ca="1">D59</f>
        <v>232554338.77</v>
      </c>
      <c r="E96" s="145">
        <f ca="1">E59</f>
        <v>77795989.84846152</v>
      </c>
      <c r="F96" s="145">
        <f ca="1">F59</f>
        <v>133265733.32076924</v>
      </c>
      <c r="G96" s="145">
        <f ca="1">G59</f>
        <v>69248367.05739999</v>
      </c>
      <c r="H96" s="145">
        <f ca="1">H59</f>
        <v>12229440.05</v>
      </c>
      <c r="I96" s="145"/>
    </row>
    <row r="97" spans="2:9" ht="12.75">
      <c r="B97" s="183" t="s">
        <v>340</v>
      </c>
      <c r="C97" s="209">
        <f ca="1">SUM(D97:I97)</f>
        <v>525093369.0509</v>
      </c>
      <c r="D97" s="226">
        <f ca="1">'Pres &amp; Prop Rev'!D204</f>
        <v>232554038.77</v>
      </c>
      <c r="E97" s="226">
        <f ca="1">'Pres &amp; Prop Rev'!E204</f>
        <v>77795989.85</v>
      </c>
      <c r="F97" s="226">
        <f ca="1">'Pres &amp; Prop Rev'!F204</f>
        <v>133265833.32000001</v>
      </c>
      <c r="G97" s="226">
        <f ca="1">'Pres &amp; Prop Rev'!G204</f>
        <v>69248167.06089999</v>
      </c>
      <c r="H97" s="226">
        <f ca="1">'Pres &amp; Prop Rev'!H204</f>
        <v>12229340.05</v>
      </c>
      <c r="I97" s="226"/>
    </row>
    <row r="98" spans="2:9" ht="12.75">
      <c r="B98" s="153"/>
      <c r="C98" s="228">
        <f ca="1">SUM(D98:H98)</f>
        <v>-499.9957307577133</v>
      </c>
      <c r="D98" s="227">
        <f ca="1">D97-D96</f>
        <v>-300</v>
      </c>
      <c r="E98" s="227">
        <f ca="1">E97-E96</f>
        <v>0.0015384703874588013</v>
      </c>
      <c r="F98" s="227">
        <f ca="1">F97-F96</f>
        <v>99.99923077225685</v>
      </c>
      <c r="G98" s="227">
        <f ca="1">G97-G96</f>
        <v>-199.99650000035763</v>
      </c>
      <c r="H98" s="227">
        <f ca="1">H97-H96</f>
        <v>-100</v>
      </c>
      <c r="I98" s="227"/>
    </row>
    <row r="99" spans="2:3" ht="12.75">
      <c r="B99" s="80" t="s">
        <v>265</v>
      </c>
      <c r="C99" s="80"/>
    </row>
    <row r="100" spans="2:9" ht="12.75">
      <c r="B100" s="144" t="s">
        <v>266</v>
      </c>
      <c r="C100" s="158">
        <f ca="1">'Pres &amp; Prop Rev'!C164/'Pres &amp; Prop Rev'!C111-1</f>
        <v>0</v>
      </c>
      <c r="D100" s="158">
        <f ca="1">'Pres &amp; Prop Rev'!D164/'Pres &amp; Prop Rev'!D111-1</f>
        <v>0</v>
      </c>
      <c r="E100" s="158">
        <f ca="1">'Pres &amp; Prop Rev'!E164/'Pres &amp; Prop Rev'!E111-1</f>
        <v>0</v>
      </c>
      <c r="F100" s="158" t="e">
        <f>'Pres &amp; Prop Rev'!F164/'Pres &amp; Prop Rev'!F111-1</f>
        <v>#DIV/0!</v>
      </c>
      <c r="G100" s="158" t="e">
        <f>'Pres &amp; Prop Rev'!G164/'Pres &amp; Prop Rev'!G111-1</f>
        <v>#DIV/0!</v>
      </c>
      <c r="H100" s="158">
        <f ca="1">'Pres &amp; Prop Rev'!H164/'Pres &amp; Prop Rev'!H111-1</f>
        <v>0</v>
      </c>
      <c r="I100" s="158"/>
    </row>
    <row r="101" spans="2:8" ht="12.75">
      <c r="B101" s="144" t="s">
        <v>267</v>
      </c>
      <c r="C101" s="158">
        <f ca="1">SUM('Pres &amp; Prop Rev'!C170:C171)/SUM('Pres &amp; Prop Rev'!C117:C118)-1</f>
        <v>8.01074762080134E-11</v>
      </c>
      <c r="D101" s="158" t="e">
        <f>SUM('Pres &amp; Prop Rev'!D170:D171)/SUM('Pres &amp; Prop Rev'!D117:D118)-1</f>
        <v>#DIV/0!</v>
      </c>
      <c r="E101" s="158">
        <f ca="1">SUM('Pres &amp; Prop Rev'!E170:E171)/SUM('Pres &amp; Prop Rev'!E117:E118)-1</f>
        <v>5.014286763582732E-10</v>
      </c>
      <c r="F101" s="158">
        <f ca="1">SUM('Pres &amp; Prop Rev'!F170:F171)/SUM('Pres &amp; Prop Rev'!F117:F118)-1</f>
        <v>-2.4691471089965944E-11</v>
      </c>
      <c r="G101" s="158">
        <f ca="1">SUM('Pres &amp; Prop Rev'!G170:G171)/SUM('Pres &amp; Prop Rev'!G117:G118)-1</f>
        <v>1.8351720143527928E-10</v>
      </c>
      <c r="H101" s="158" t="e">
        <f>SUM('Pres &amp; Prop Rev'!H170:H171)/SUM('Pres &amp; Prop Rev'!H117:H118)-1</f>
        <v>#DIV/0!</v>
      </c>
    </row>
    <row r="102" spans="2:8" ht="12.75">
      <c r="B102" s="144" t="s">
        <v>251</v>
      </c>
      <c r="C102" s="158" t="e">
        <f ca="1">'Pres &amp; Prop Rev'!C181/'Pres &amp; Prop Rev'!C128-1</f>
        <v>#DIV/0!</v>
      </c>
      <c r="D102" s="158" t="e">
        <f ca="1">'Pres &amp; Prop Rev'!D181/'Pres &amp; Prop Rev'!D128-1</f>
        <v>#DIV/0!</v>
      </c>
      <c r="E102" s="158" t="e">
        <f ca="1">'Pres &amp; Prop Rev'!E181/'Pres &amp; Prop Rev'!E128-1</f>
        <v>#DIV/0!</v>
      </c>
      <c r="F102" s="158" t="e">
        <f ca="1">'Pres &amp; Prop Rev'!F181/'Pres &amp; Prop Rev'!F128-1</f>
        <v>#DIV/0!</v>
      </c>
      <c r="G102" s="158" t="e">
        <f>'Pres &amp; Prop Rev'!G181/'Pres &amp; Prop Rev'!G128-1</f>
        <v>#DIV/0!</v>
      </c>
      <c r="H102" s="158" t="e">
        <f ca="1">'Pres &amp; Prop Rev'!H181/'Pres &amp; Prop Rev'!H128-1</f>
        <v>#DIV/0!</v>
      </c>
    </row>
    <row r="103" spans="2:8" ht="12.75">
      <c r="B103" s="144" t="s">
        <v>252</v>
      </c>
      <c r="C103" s="158">
        <f ca="1">'Pres &amp; Prop Rev'!C202/'Pres &amp; Prop Rev'!C149-1</f>
        <v>0</v>
      </c>
      <c r="D103" s="158">
        <f ca="1">'Pres &amp; Prop Rev'!D202/'Pres &amp; Prop Rev'!D149-1</f>
        <v>0</v>
      </c>
      <c r="E103" s="158">
        <f ca="1">'Pres &amp; Prop Rev'!E202/'Pres &amp; Prop Rev'!E149-1</f>
        <v>0</v>
      </c>
      <c r="F103" s="158">
        <f ca="1">'Pres &amp; Prop Rev'!F202/'Pres &amp; Prop Rev'!F149-1</f>
        <v>0</v>
      </c>
      <c r="G103" s="158" t="e">
        <f>'Pres &amp; Prop Rev'!G202/'Pres &amp; Prop Rev'!G149-1</f>
        <v>#DIV/0!</v>
      </c>
      <c r="H103" s="158">
        <f ca="1">'Pres &amp; Prop Rev'!H202/'Pres &amp; Prop Rev'!H149-1</f>
        <v>0</v>
      </c>
    </row>
    <row r="104" spans="2:8" ht="12.75">
      <c r="B104" s="144" t="s">
        <v>268</v>
      </c>
      <c r="C104" s="158">
        <f ca="1">SUM('Pres &amp; Prop Rev'!C166:C169)/SUM('Pres &amp; Prop Rev'!C113:C116)-1</f>
        <v>0</v>
      </c>
      <c r="D104" s="158">
        <f ca="1">SUM('Pres &amp; Prop Rev'!D166:D169)/SUM('Pres &amp; Prop Rev'!D113:D116)-1</f>
        <v>0</v>
      </c>
      <c r="E104" s="158">
        <f ca="1">SUM('Pres &amp; Prop Rev'!E166:E169)/SUM('Pres &amp; Prop Rev'!E113:E116)-1</f>
        <v>0</v>
      </c>
      <c r="F104" s="158">
        <f ca="1">SUM('Pres &amp; Prop Rev'!F166:F169)/SUM('Pres &amp; Prop Rev'!F113:F116)-1</f>
        <v>0</v>
      </c>
      <c r="G104" s="158">
        <f ca="1">SUM('Pres &amp; Prop Rev'!G166:G169)/SUM('Pres &amp; Prop Rev'!G113:G116)-1</f>
        <v>0</v>
      </c>
      <c r="H104" s="158">
        <f ca="1">SUM('Pres &amp; Prop Rev'!H166:H169)/SUM('Pres &amp; Prop Rev'!H113:H116)-1</f>
        <v>0</v>
      </c>
    </row>
    <row r="105" spans="2:8" ht="12.75">
      <c r="B105" s="143" t="s">
        <v>269</v>
      </c>
      <c r="C105" s="182">
        <f ca="1">'Pres &amp; Prop Rev'!C208</f>
        <v>6.5528033011446966E-09</v>
      </c>
      <c r="D105" s="182">
        <f ca="1">'Pres &amp; Prop Rev'!D208</f>
        <v>0</v>
      </c>
      <c r="E105" s="182">
        <f ca="1">'Pres &amp; Prop Rev'!E208</f>
        <v>1.9775702969466437E-11</v>
      </c>
      <c r="F105" s="182">
        <f ca="1">'Pres &amp; Prop Rev'!F208</f>
        <v>-5.772242030396792E-12</v>
      </c>
      <c r="G105" s="182">
        <f ca="1">'Pres &amp; Prop Rev'!G208</f>
        <v>5.054284887383333E-11</v>
      </c>
      <c r="H105" s="182">
        <f ca="1">'Pres &amp; Prop Rev'!H208</f>
        <v>0</v>
      </c>
    </row>
    <row r="107" spans="2:8" ht="12.75">
      <c r="B107" t="s">
        <v>270</v>
      </c>
      <c r="D107" s="173">
        <f>D55/D56</f>
        <v>914.4760369300907</v>
      </c>
      <c r="E107" s="173">
        <f>E55/E56</f>
        <v>1587.2806693602106</v>
      </c>
      <c r="F107" s="173">
        <f>F55/F56</f>
        <v>59699.669859945076</v>
      </c>
      <c r="G107" s="173">
        <f>G55/G56</f>
        <v>3934426.0192572465</v>
      </c>
      <c r="H107" s="173">
        <f>H55/H56</f>
        <v>4734.268718364302</v>
      </c>
    </row>
    <row r="108" spans="2:12" ht="12.75">
      <c r="B108" s="169" t="s">
        <v>271</v>
      </c>
      <c r="C108" s="177" t="str">
        <f>INDEX($D$2:$I$2,K108)</f>
        <v>SCH. 1,2</v>
      </c>
      <c r="D108" s="174"/>
      <c r="E108" s="169"/>
      <c r="F108" s="177" t="str">
        <f>INDEX($D$2:$I$2,L108)</f>
        <v>SCH. 11,12</v>
      </c>
      <c r="G108" s="174"/>
      <c r="H108" s="169"/>
      <c r="I108" s="180"/>
      <c r="J108" s="180"/>
      <c r="K108" s="176">
        <v>1</v>
      </c>
      <c r="L108" s="176">
        <v>2</v>
      </c>
    </row>
    <row r="109" spans="2:10" ht="12.75">
      <c r="B109" s="222" t="str">
        <f>IF(Base1_Billing2=2,"BILLING RATES","BASE RATES")</f>
        <v>BASE RATES</v>
      </c>
      <c r="C109" s="59" t="s">
        <v>272</v>
      </c>
      <c r="D109" s="59" t="s">
        <v>273</v>
      </c>
      <c r="E109" s="59" t="s">
        <v>278</v>
      </c>
      <c r="F109" s="59" t="s">
        <v>272</v>
      </c>
      <c r="G109" s="59" t="s">
        <v>273</v>
      </c>
      <c r="H109" s="59" t="s">
        <v>278</v>
      </c>
      <c r="I109" s="59"/>
      <c r="J109" s="59"/>
    </row>
    <row r="110" spans="2:10" ht="12.75">
      <c r="B110" s="175">
        <v>100</v>
      </c>
      <c r="C110" s="145"/>
      <c r="D110" s="145"/>
      <c r="E110" s="158"/>
      <c r="F110" s="145"/>
      <c r="G110" s="145"/>
      <c r="H110" s="158"/>
      <c r="I110" s="158"/>
      <c r="J110" s="158"/>
    </row>
    <row r="111" spans="2:10" ht="12.75">
      <c r="B111" s="175">
        <v>200</v>
      </c>
      <c r="C111" s="145"/>
      <c r="D111" s="145"/>
      <c r="E111" s="158"/>
      <c r="F111" s="145"/>
      <c r="G111" s="145"/>
      <c r="H111" s="158"/>
      <c r="I111" s="158"/>
      <c r="J111" s="158"/>
    </row>
    <row r="112" spans="2:10" ht="12.75">
      <c r="B112" s="175">
        <v>300</v>
      </c>
      <c r="C112" s="145"/>
      <c r="D112" s="145"/>
      <c r="E112" s="158"/>
      <c r="F112" s="145"/>
      <c r="G112" s="145"/>
      <c r="H112" s="158"/>
      <c r="I112" s="158"/>
      <c r="J112" s="158"/>
    </row>
    <row r="113" spans="2:10" ht="12.75">
      <c r="B113" s="175">
        <v>400</v>
      </c>
      <c r="C113" s="145"/>
      <c r="D113" s="145"/>
      <c r="E113" s="158"/>
      <c r="F113" s="145"/>
      <c r="G113" s="145"/>
      <c r="H113" s="158"/>
      <c r="I113" s="158"/>
      <c r="J113" s="158"/>
    </row>
    <row r="114" spans="2:10" ht="12.75">
      <c r="B114" s="175">
        <v>500</v>
      </c>
      <c r="C114" s="145"/>
      <c r="D114" s="145"/>
      <c r="E114" s="158"/>
      <c r="F114" s="145"/>
      <c r="G114" s="145"/>
      <c r="H114" s="158"/>
      <c r="I114" s="158"/>
      <c r="J114" s="158"/>
    </row>
    <row r="115" spans="2:10" ht="12.75">
      <c r="B115" s="175">
        <v>600</v>
      </c>
      <c r="C115" s="145"/>
      <c r="D115" s="145"/>
      <c r="E115" s="158"/>
      <c r="F115" s="145"/>
      <c r="G115" s="145"/>
      <c r="H115" s="158"/>
      <c r="I115" s="158"/>
      <c r="J115" s="158"/>
    </row>
    <row r="116" spans="2:10" ht="12.75">
      <c r="B116" s="175">
        <v>700</v>
      </c>
      <c r="C116" s="145"/>
      <c r="D116" s="145"/>
      <c r="E116" s="158"/>
      <c r="F116" s="145"/>
      <c r="G116" s="145"/>
      <c r="H116" s="158"/>
      <c r="I116" s="158"/>
      <c r="J116" s="158"/>
    </row>
    <row r="117" spans="2:10" ht="12.75">
      <c r="B117" s="175">
        <v>800</v>
      </c>
      <c r="C117" s="145"/>
      <c r="D117" s="145"/>
      <c r="E117" s="158"/>
      <c r="F117" s="145"/>
      <c r="G117" s="145"/>
      <c r="H117" s="158"/>
      <c r="I117" s="158"/>
      <c r="J117" s="158"/>
    </row>
    <row r="118" spans="2:10" ht="12.75">
      <c r="B118" s="175">
        <v>900</v>
      </c>
      <c r="C118" s="145"/>
      <c r="D118" s="145"/>
      <c r="E118" s="158"/>
      <c r="F118" s="145"/>
      <c r="G118" s="145"/>
      <c r="H118" s="158"/>
      <c r="I118" s="158"/>
      <c r="J118" s="158"/>
    </row>
    <row r="119" spans="2:10" ht="12.75">
      <c r="B119" s="175">
        <v>1000</v>
      </c>
      <c r="C119" s="54">
        <f>ROUND(D14+600*D15/100+400*D16/100,2)</f>
        <v>93.18</v>
      </c>
      <c r="D119" s="54">
        <f>ROUND(D36+600*D37/100+400*D38/100,2)</f>
        <v>93.18</v>
      </c>
      <c r="E119" s="315">
        <f>D119/C119-1</f>
        <v>0</v>
      </c>
      <c r="F119" s="54">
        <f>D119-C119</f>
        <v>0</v>
      </c>
      <c r="G119" s="145"/>
      <c r="H119" s="158"/>
      <c r="I119" s="158"/>
      <c r="J119" s="158"/>
    </row>
    <row r="120" spans="2:10" ht="12.75">
      <c r="B120" s="175">
        <v>1100</v>
      </c>
      <c r="C120" s="54"/>
      <c r="D120" s="54"/>
      <c r="E120" s="315"/>
      <c r="F120" s="54"/>
      <c r="G120" s="145"/>
      <c r="H120" s="158"/>
      <c r="I120" s="158"/>
      <c r="J120" s="158"/>
    </row>
    <row r="121" spans="2:10" ht="12.75">
      <c r="B121" s="175">
        <v>1200</v>
      </c>
      <c r="C121" s="145"/>
      <c r="D121" s="145"/>
      <c r="E121" s="158"/>
      <c r="F121" s="145"/>
      <c r="G121" s="145"/>
      <c r="H121" s="158"/>
      <c r="I121" s="158"/>
      <c r="J121" s="158"/>
    </row>
    <row r="122" spans="2:10" ht="12.75">
      <c r="B122" s="175">
        <v>1300</v>
      </c>
      <c r="C122" s="145"/>
      <c r="D122" s="145"/>
      <c r="E122" s="158"/>
      <c r="F122" s="145"/>
      <c r="G122" s="145"/>
      <c r="H122" s="158"/>
      <c r="I122" s="158"/>
      <c r="J122" s="158"/>
    </row>
    <row r="123" spans="2:10" ht="12.75">
      <c r="B123" s="175">
        <v>1400</v>
      </c>
      <c r="C123" s="145"/>
      <c r="D123" s="145"/>
      <c r="E123" s="158"/>
      <c r="F123" s="145"/>
      <c r="G123" s="145"/>
      <c r="H123" s="158"/>
      <c r="I123" s="158"/>
      <c r="J123" s="158"/>
    </row>
    <row r="124" spans="2:10" ht="12.75">
      <c r="B124" s="175">
        <v>1500</v>
      </c>
      <c r="C124" s="145"/>
      <c r="D124" s="145"/>
      <c r="E124" s="158"/>
      <c r="F124" s="145"/>
      <c r="G124" s="145"/>
      <c r="H124" s="158"/>
      <c r="I124" s="158"/>
      <c r="J124" s="158"/>
    </row>
    <row r="125" spans="4:5" ht="12.75">
      <c r="D125">
        <v>2425727000</v>
      </c>
      <c r="E125">
        <f>395341000+52692000</f>
        <v>448033000</v>
      </c>
    </row>
    <row r="126" spans="4:5" ht="12.75">
      <c r="D126">
        <f>205474*12</f>
        <v>2465688</v>
      </c>
      <c r="E126">
        <f>(19967+8691)*12</f>
        <v>343896</v>
      </c>
    </row>
    <row r="127" spans="4:5" ht="12.75">
      <c r="D127">
        <f>D125/D126</f>
        <v>983.7931644230738</v>
      </c>
      <c r="E127" s="405">
        <f>E125/E126</f>
        <v>1302.8153860469445</v>
      </c>
    </row>
  </sheetData>
  <conditionalFormatting sqref="D14:I14 D36:I36 D18:I20 I15:I17 D40:I42 I37:I39">
    <cfRule type="expression" priority="3" dxfId="0" stopIfTrue="1">
      <formula>D14-D4&lt;0</formula>
    </cfRule>
  </conditionalFormatting>
  <conditionalFormatting sqref="D62:H62 F66:G66 E69:H69">
    <cfRule type="expression" priority="4" dxfId="32" stopIfTrue="1">
      <formula>ABS(D62-D61)&gt;0.001</formula>
    </cfRule>
  </conditionalFormatting>
  <conditionalFormatting sqref="D85:I87">
    <cfRule type="expression" priority="5" dxfId="32" stopIfTrue="1">
      <formula>ABS(D85-D74)&gt;0.000001</formula>
    </cfRule>
  </conditionalFormatting>
  <conditionalFormatting sqref="I94:I95">
    <cfRule type="expression" priority="6" dxfId="0" stopIfTrue="1">
      <formula>ABS(I94)&gt;0.1</formula>
    </cfRule>
  </conditionalFormatting>
  <conditionalFormatting sqref="D92:I92">
    <cfRule type="expression" priority="7" dxfId="0" stopIfTrue="1">
      <formula>ABS(D92)&gt;1000</formula>
    </cfRule>
  </conditionalFormatting>
  <conditionalFormatting sqref="C95:H95">
    <cfRule type="expression" priority="8" dxfId="0" stopIfTrue="1">
      <formula>ABS(C95)&gt;4000</formula>
    </cfRule>
  </conditionalFormatting>
  <conditionalFormatting sqref="D15:H17">
    <cfRule type="expression" priority="2" dxfId="0" stopIfTrue="1">
      <formula>D15-D5&lt;0</formula>
    </cfRule>
  </conditionalFormatting>
  <conditionalFormatting sqref="D37:H39">
    <cfRule type="expression" priority="1" dxfId="0" stopIfTrue="1">
      <formula>D37-D27&lt;0</formula>
    </cfRule>
  </conditionalFormatting>
  <printOptions/>
  <pageMargins left="0.25" right="0.25" top="0.5" bottom="0.5" header="0.5" footer="0.25"/>
  <pageSetup fitToHeight="1" fitToWidth="1" horizontalDpi="600" verticalDpi="600" orientation="landscape" scale="71" r:id="rId3"/>
  <headerFooter alignWithMargins="0">
    <oddFooter>&amp;L&amp;F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pageSetUpPr fitToPage="1"/>
  </sheetPr>
  <dimension ref="A1:AC102"/>
  <sheetViews>
    <sheetView showGridLines="0" view="pageBreakPreview" zoomScaleSheetLayoutView="100" workbookViewId="0" topLeftCell="A1">
      <selection activeCell="D30" sqref="D30"/>
    </sheetView>
  </sheetViews>
  <sheetFormatPr defaultColWidth="11.421875" defaultRowHeight="12.75"/>
  <cols>
    <col min="1" max="1" width="5.00390625" style="214" customWidth="1"/>
    <col min="2" max="2" width="23.7109375" style="44" customWidth="1"/>
    <col min="3" max="3" width="8.7109375" style="214" customWidth="1"/>
    <col min="4" max="4" width="12.421875" style="368" customWidth="1"/>
    <col min="5" max="5" width="9.7109375" style="368" customWidth="1"/>
    <col min="6" max="6" width="15.00390625" style="368" bestFit="1" customWidth="1"/>
    <col min="7" max="7" width="10.421875" style="205" bestFit="1" customWidth="1"/>
    <col min="8" max="8" width="12.28125" style="44" customWidth="1"/>
    <col min="9" max="9" width="15.00390625" style="435" hidden="1" customWidth="1"/>
    <col min="10" max="10" width="12.28125" style="435" hidden="1" customWidth="1"/>
    <col min="11" max="11" width="13.28125" style="44" bestFit="1" customWidth="1"/>
    <col min="12" max="12" width="13.28125" style="435" hidden="1" customWidth="1"/>
    <col min="13" max="14" width="15.00390625" style="435" hidden="1" customWidth="1"/>
    <col min="15" max="15" width="15.00390625" style="435" customWidth="1"/>
    <col min="16" max="16" width="9.7109375" style="44" customWidth="1"/>
    <col min="17" max="17" width="12.28125" style="435" hidden="1" customWidth="1"/>
    <col min="18" max="18" width="8.28125" style="44" hidden="1" customWidth="1"/>
    <col min="19" max="19" width="10.7109375" style="117" bestFit="1" customWidth="1"/>
    <col min="20" max="20" width="9.28125" style="44" bestFit="1" customWidth="1"/>
    <col min="21" max="21" width="1.7109375" style="44" customWidth="1"/>
    <col min="22" max="22" width="11.421875" style="44" customWidth="1"/>
    <col min="23" max="23" width="13.421875" style="44" customWidth="1"/>
    <col min="24" max="16384" width="11.421875" style="44" customWidth="1"/>
  </cols>
  <sheetData>
    <row r="1" spans="1:24" s="214" customFormat="1" ht="12.75">
      <c r="A1" s="778" t="s">
        <v>101</v>
      </c>
      <c r="B1" s="778"/>
      <c r="C1" s="778"/>
      <c r="D1" s="778"/>
      <c r="E1" s="778"/>
      <c r="F1" s="778"/>
      <c r="G1" s="778"/>
      <c r="H1" s="778"/>
      <c r="I1" s="778"/>
      <c r="J1" s="778"/>
      <c r="K1" s="778"/>
      <c r="L1" s="778"/>
      <c r="M1" s="778"/>
      <c r="N1" s="778"/>
      <c r="O1" s="778"/>
      <c r="P1" s="778"/>
      <c r="Q1" s="778"/>
      <c r="R1" s="778"/>
      <c r="S1" s="778"/>
      <c r="T1" s="778"/>
      <c r="U1" s="44"/>
      <c r="W1" s="779" t="s">
        <v>347</v>
      </c>
      <c r="X1" s="779"/>
    </row>
    <row r="2" spans="1:24" s="214" customFormat="1" ht="12.75">
      <c r="A2" s="778" t="s">
        <v>405</v>
      </c>
      <c r="B2" s="778"/>
      <c r="C2" s="778"/>
      <c r="D2" s="778"/>
      <c r="E2" s="778"/>
      <c r="F2" s="778"/>
      <c r="G2" s="778"/>
      <c r="H2" s="778"/>
      <c r="I2" s="778"/>
      <c r="J2" s="778"/>
      <c r="K2" s="778"/>
      <c r="L2" s="778"/>
      <c r="M2" s="778"/>
      <c r="N2" s="778"/>
      <c r="O2" s="778"/>
      <c r="P2" s="778"/>
      <c r="Q2" s="778"/>
      <c r="R2" s="778"/>
      <c r="S2" s="778"/>
      <c r="T2" s="778"/>
      <c r="U2" s="44"/>
      <c r="W2" s="779"/>
      <c r="X2" s="779"/>
    </row>
    <row r="3" spans="1:24" s="214" customFormat="1" ht="12.75">
      <c r="A3" s="778" t="s">
        <v>307</v>
      </c>
      <c r="B3" s="778"/>
      <c r="C3" s="778"/>
      <c r="D3" s="778"/>
      <c r="E3" s="778"/>
      <c r="F3" s="778"/>
      <c r="G3" s="778"/>
      <c r="H3" s="778"/>
      <c r="I3" s="778"/>
      <c r="J3" s="778"/>
      <c r="K3" s="778"/>
      <c r="L3" s="778"/>
      <c r="M3" s="778"/>
      <c r="N3" s="778"/>
      <c r="O3" s="778"/>
      <c r="P3" s="778"/>
      <c r="Q3" s="778"/>
      <c r="R3" s="778"/>
      <c r="S3" s="778"/>
      <c r="T3" s="778"/>
      <c r="U3" s="44"/>
      <c r="W3" s="779"/>
      <c r="X3" s="779"/>
    </row>
    <row r="4" spans="1:21" s="214" customFormat="1" ht="12.75">
      <c r="A4" s="778" t="s">
        <v>985</v>
      </c>
      <c r="B4" s="778"/>
      <c r="C4" s="778"/>
      <c r="D4" s="778"/>
      <c r="E4" s="778"/>
      <c r="F4" s="778"/>
      <c r="G4" s="778"/>
      <c r="H4" s="778"/>
      <c r="I4" s="778"/>
      <c r="J4" s="778"/>
      <c r="K4" s="778"/>
      <c r="L4" s="778"/>
      <c r="M4" s="778"/>
      <c r="N4" s="778"/>
      <c r="O4" s="778"/>
      <c r="P4" s="778"/>
      <c r="Q4" s="778"/>
      <c r="R4" s="778"/>
      <c r="S4" s="778"/>
      <c r="T4" s="778"/>
      <c r="U4" s="44"/>
    </row>
    <row r="5" spans="1:21" s="214" customFormat="1" ht="12.75">
      <c r="A5" s="778" t="s">
        <v>308</v>
      </c>
      <c r="B5" s="778"/>
      <c r="C5" s="778"/>
      <c r="D5" s="778"/>
      <c r="E5" s="778"/>
      <c r="F5" s="778"/>
      <c r="G5" s="778"/>
      <c r="H5" s="778"/>
      <c r="I5" s="778"/>
      <c r="J5" s="778"/>
      <c r="K5" s="778"/>
      <c r="L5" s="778"/>
      <c r="M5" s="778"/>
      <c r="N5" s="778"/>
      <c r="O5" s="778"/>
      <c r="P5" s="778"/>
      <c r="Q5" s="778"/>
      <c r="R5" s="778"/>
      <c r="S5" s="778"/>
      <c r="T5" s="778"/>
      <c r="U5" s="44"/>
    </row>
    <row r="6" spans="3:21" s="214" customFormat="1" ht="12.75">
      <c r="C6" s="44"/>
      <c r="D6" s="363"/>
      <c r="E6" s="352"/>
      <c r="F6" s="352"/>
      <c r="G6" s="201"/>
      <c r="I6" s="585"/>
      <c r="J6" s="585"/>
      <c r="L6" s="585"/>
      <c r="M6" s="585"/>
      <c r="N6" s="585"/>
      <c r="O6" s="585"/>
      <c r="T6" s="353"/>
      <c r="U6" s="44"/>
    </row>
    <row r="7" spans="1:21" s="214" customFormat="1" ht="15.75">
      <c r="A7" s="611"/>
      <c r="C7" s="44"/>
      <c r="D7" s="363"/>
      <c r="E7" s="352"/>
      <c r="F7" s="352"/>
      <c r="G7" s="201"/>
      <c r="I7" s="585"/>
      <c r="J7" s="585"/>
      <c r="L7" s="585"/>
      <c r="M7" s="585"/>
      <c r="N7" s="585"/>
      <c r="O7" s="585"/>
      <c r="T7" s="353"/>
      <c r="U7" s="44"/>
    </row>
    <row r="8" spans="1:21" s="585" customFormat="1" ht="15.75">
      <c r="A8" s="611"/>
      <c r="C8" s="435"/>
      <c r="D8" s="363"/>
      <c r="E8" s="610"/>
      <c r="F8" s="610"/>
      <c r="G8" s="201"/>
      <c r="T8" s="598"/>
      <c r="U8" s="435"/>
    </row>
    <row r="9" spans="1:21" s="585" customFormat="1" ht="15.75">
      <c r="A9" s="611"/>
      <c r="C9" s="435"/>
      <c r="D9" s="363"/>
      <c r="E9" s="610"/>
      <c r="F9" s="610"/>
      <c r="G9" s="201"/>
      <c r="T9" s="598"/>
      <c r="U9" s="435"/>
    </row>
    <row r="10" spans="3:25" s="214" customFormat="1" ht="12.75">
      <c r="C10" s="364"/>
      <c r="D10" s="363" t="s">
        <v>229</v>
      </c>
      <c r="E10" s="365"/>
      <c r="F10" s="363" t="s">
        <v>229</v>
      </c>
      <c r="G10" s="202" t="s">
        <v>283</v>
      </c>
      <c r="H10" s="214" t="s">
        <v>309</v>
      </c>
      <c r="I10" s="585"/>
      <c r="J10" s="585" t="s">
        <v>761</v>
      </c>
      <c r="K10" s="214" t="s">
        <v>950</v>
      </c>
      <c r="L10" s="585" t="s">
        <v>948</v>
      </c>
      <c r="M10" s="676" t="s">
        <v>940</v>
      </c>
      <c r="N10" s="676" t="s">
        <v>941</v>
      </c>
      <c r="O10" s="676"/>
      <c r="P10" s="353" t="s">
        <v>315</v>
      </c>
      <c r="Q10" s="523"/>
      <c r="T10" s="353" t="s">
        <v>310</v>
      </c>
      <c r="U10" s="44"/>
      <c r="X10" s="523" t="s">
        <v>310</v>
      </c>
      <c r="Y10" s="214" t="s">
        <v>309</v>
      </c>
    </row>
    <row r="11" spans="3:25" s="214" customFormat="1" ht="12.75">
      <c r="C11" s="364"/>
      <c r="D11" s="214" t="s">
        <v>106</v>
      </c>
      <c r="E11" s="363" t="s">
        <v>942</v>
      </c>
      <c r="F11" s="214" t="s">
        <v>106</v>
      </c>
      <c r="G11" s="200" t="s">
        <v>285</v>
      </c>
      <c r="H11" s="214" t="s">
        <v>106</v>
      </c>
      <c r="I11" s="585" t="s">
        <v>823</v>
      </c>
      <c r="J11" s="585" t="s">
        <v>106</v>
      </c>
      <c r="K11" s="363" t="s">
        <v>275</v>
      </c>
      <c r="L11" s="363" t="s">
        <v>949</v>
      </c>
      <c r="M11" s="363" t="s">
        <v>578</v>
      </c>
      <c r="N11" s="363" t="s">
        <v>921</v>
      </c>
      <c r="O11" s="749" t="s">
        <v>66</v>
      </c>
      <c r="P11" s="353" t="s">
        <v>292</v>
      </c>
      <c r="Q11" s="214" t="s">
        <v>559</v>
      </c>
      <c r="R11" s="214" t="s">
        <v>579</v>
      </c>
      <c r="S11" s="363" t="s">
        <v>286</v>
      </c>
      <c r="T11" s="353" t="s">
        <v>292</v>
      </c>
      <c r="X11" s="523" t="s">
        <v>292</v>
      </c>
      <c r="Y11" s="214" t="s">
        <v>106</v>
      </c>
    </row>
    <row r="12" spans="2:25" s="214" customFormat="1" ht="12.75">
      <c r="B12" s="214" t="s">
        <v>287</v>
      </c>
      <c r="C12" s="214" t="s">
        <v>311</v>
      </c>
      <c r="D12" s="363" t="s">
        <v>312</v>
      </c>
      <c r="E12" s="363" t="s">
        <v>313</v>
      </c>
      <c r="F12" s="363" t="s">
        <v>314</v>
      </c>
      <c r="G12" s="201" t="s">
        <v>315</v>
      </c>
      <c r="H12" s="214" t="s">
        <v>316</v>
      </c>
      <c r="I12" s="585" t="s">
        <v>759</v>
      </c>
      <c r="J12" s="585" t="s">
        <v>316</v>
      </c>
      <c r="K12" s="363" t="s">
        <v>313</v>
      </c>
      <c r="L12" s="363" t="s">
        <v>325</v>
      </c>
      <c r="M12" s="363" t="s">
        <v>325</v>
      </c>
      <c r="N12" s="363" t="s">
        <v>325</v>
      </c>
      <c r="O12" s="749" t="s">
        <v>947</v>
      </c>
      <c r="P12" s="353" t="s">
        <v>317</v>
      </c>
      <c r="Q12" s="214" t="s">
        <v>560</v>
      </c>
      <c r="R12" s="214" t="s">
        <v>578</v>
      </c>
      <c r="S12" s="363" t="s">
        <v>313</v>
      </c>
      <c r="T12" s="353" t="s">
        <v>317</v>
      </c>
      <c r="X12" s="523" t="s">
        <v>557</v>
      </c>
      <c r="Y12" s="214" t="s">
        <v>558</v>
      </c>
    </row>
    <row r="13" spans="1:29" s="350" customFormat="1" ht="12.75">
      <c r="A13" s="350" t="s">
        <v>289</v>
      </c>
      <c r="B13" s="350" t="s">
        <v>290</v>
      </c>
      <c r="C13" s="350" t="s">
        <v>291</v>
      </c>
      <c r="D13" s="366" t="s">
        <v>318</v>
      </c>
      <c r="E13" s="366" t="s">
        <v>292</v>
      </c>
      <c r="F13" s="366" t="s">
        <v>318</v>
      </c>
      <c r="G13" s="203" t="s">
        <v>292</v>
      </c>
      <c r="H13" s="350" t="s">
        <v>441</v>
      </c>
      <c r="I13" s="350" t="s">
        <v>829</v>
      </c>
      <c r="J13" s="350" t="s">
        <v>441</v>
      </c>
      <c r="K13" s="366" t="s">
        <v>292</v>
      </c>
      <c r="L13" s="366" t="s">
        <v>768</v>
      </c>
      <c r="M13" s="366" t="s">
        <v>768</v>
      </c>
      <c r="N13" s="366" t="s">
        <v>768</v>
      </c>
      <c r="O13" s="750" t="s">
        <v>460</v>
      </c>
      <c r="P13" s="204" t="s">
        <v>106</v>
      </c>
      <c r="Q13" s="350" t="s">
        <v>413</v>
      </c>
      <c r="R13" s="350" t="s">
        <v>292</v>
      </c>
      <c r="S13" s="350" t="s">
        <v>292</v>
      </c>
      <c r="T13" s="204" t="s">
        <v>106</v>
      </c>
      <c r="U13" s="44"/>
      <c r="V13" s="214"/>
      <c r="W13" s="214"/>
      <c r="X13" s="204" t="s">
        <v>106</v>
      </c>
      <c r="Y13" s="350" t="s">
        <v>441</v>
      </c>
      <c r="Z13" s="214"/>
      <c r="AA13" s="214" t="s">
        <v>770</v>
      </c>
      <c r="AB13" s="214" t="s">
        <v>578</v>
      </c>
      <c r="AC13" s="214" t="s">
        <v>921</v>
      </c>
    </row>
    <row r="14" spans="2:22" s="214" customFormat="1" ht="12.75">
      <c r="B14" s="214" t="s">
        <v>293</v>
      </c>
      <c r="C14" s="214" t="s">
        <v>294</v>
      </c>
      <c r="D14" s="363" t="s">
        <v>295</v>
      </c>
      <c r="E14" s="214" t="s">
        <v>296</v>
      </c>
      <c r="F14" s="214" t="s">
        <v>297</v>
      </c>
      <c r="G14" s="201" t="s">
        <v>298</v>
      </c>
      <c r="H14" s="214" t="s">
        <v>299</v>
      </c>
      <c r="I14" s="585" t="s">
        <v>319</v>
      </c>
      <c r="J14" s="585" t="s">
        <v>319</v>
      </c>
      <c r="K14" s="214" t="s">
        <v>319</v>
      </c>
      <c r="L14" s="585" t="s">
        <v>320</v>
      </c>
      <c r="M14" s="585" t="s">
        <v>380</v>
      </c>
      <c r="N14" s="585" t="s">
        <v>428</v>
      </c>
      <c r="O14" s="598" t="s">
        <v>762</v>
      </c>
      <c r="P14" s="379" t="s">
        <v>924</v>
      </c>
      <c r="Q14" s="214" t="s">
        <v>380</v>
      </c>
      <c r="R14" s="214" t="s">
        <v>428</v>
      </c>
      <c r="S14" s="585" t="s">
        <v>380</v>
      </c>
      <c r="T14" s="598" t="s">
        <v>428</v>
      </c>
      <c r="U14" s="44"/>
      <c r="V14" s="348" t="str">
        <f>"col (m) source"</f>
        <v>col (m) source</v>
      </c>
    </row>
    <row r="15" spans="4:20" ht="12.75">
      <c r="D15" s="367" t="str">
        <f>IF(Base1_Billing2&lt;&gt;1,"ERROR","")</f>
        <v/>
      </c>
      <c r="O15" s="117"/>
      <c r="S15" s="44"/>
      <c r="T15" s="117"/>
    </row>
    <row r="16" spans="1:29" ht="12.75">
      <c r="A16" s="214">
        <v>1</v>
      </c>
      <c r="B16" s="44" t="s">
        <v>300</v>
      </c>
      <c r="C16" s="402" t="s">
        <v>701</v>
      </c>
      <c r="D16" s="363">
        <f ca="1">'Pres &amp; Prop Rev'!$D$152/1000</f>
        <v>232554.03877</v>
      </c>
      <c r="E16" s="363">
        <f ca="1">'Pres &amp; Prop Rev'!$D$207/1000</f>
        <v>0</v>
      </c>
      <c r="F16" s="363">
        <f ca="1">D16+E16</f>
        <v>232554.03877</v>
      </c>
      <c r="G16" s="344">
        <f ca="1">E16/D16</f>
        <v>0</v>
      </c>
      <c r="H16" s="658">
        <f>227403.7449-138</f>
        <v>227265.7449</v>
      </c>
      <c r="I16" s="351">
        <v>0</v>
      </c>
      <c r="J16" s="658">
        <f>H16+I16</f>
        <v>227265.7449</v>
      </c>
      <c r="K16" s="351">
        <f ca="1">E16</f>
        <v>0</v>
      </c>
      <c r="L16" s="351">
        <v>0</v>
      </c>
      <c r="M16" s="351">
        <v>0</v>
      </c>
      <c r="N16" s="351">
        <v>0</v>
      </c>
      <c r="O16" s="751">
        <f ca="1">K16+L16+M16+N16</f>
        <v>0</v>
      </c>
      <c r="P16" s="345">
        <f ca="1">(K16+L16+M16+N16)/J16</f>
        <v>0</v>
      </c>
      <c r="Q16" s="372" t="e">
        <f>#REF!/1000</f>
        <v>#REF!</v>
      </c>
      <c r="R16" s="368">
        <f>('Pres &amp; Prop Rev'!D23*(0))/1000</f>
        <v>0</v>
      </c>
      <c r="S16" s="363">
        <f ca="1">E16+R16</f>
        <v>0</v>
      </c>
      <c r="T16" s="182">
        <f ca="1">(S16)/H16</f>
        <v>0</v>
      </c>
      <c r="V16" s="44" t="s">
        <v>384</v>
      </c>
      <c r="X16" s="182">
        <f ca="1">(E16+R16)/D16</f>
        <v>0</v>
      </c>
      <c r="Y16" s="368">
        <f ca="1">K16+J16+M16+N16</f>
        <v>227265.7449</v>
      </c>
      <c r="AA16" s="533">
        <f ca="1">K16/J16</f>
        <v>0</v>
      </c>
      <c r="AB16" s="533">
        <f>M16/J16</f>
        <v>0</v>
      </c>
      <c r="AC16" s="533">
        <f>N16/J16</f>
        <v>0</v>
      </c>
    </row>
    <row r="17" spans="4:29" ht="12.75">
      <c r="D17" s="363"/>
      <c r="E17" s="363"/>
      <c r="F17" s="363"/>
      <c r="G17" s="344"/>
      <c r="H17" s="658"/>
      <c r="I17" s="351"/>
      <c r="J17" s="658"/>
      <c r="K17" s="351"/>
      <c r="L17" s="351"/>
      <c r="M17" s="351"/>
      <c r="N17" s="351"/>
      <c r="O17" s="751"/>
      <c r="P17" s="345"/>
      <c r="Q17" s="372"/>
      <c r="R17" s="368"/>
      <c r="S17" s="363"/>
      <c r="T17" s="182"/>
      <c r="Y17" s="368"/>
      <c r="AA17" s="533"/>
      <c r="AB17" s="533"/>
      <c r="AC17" s="533"/>
    </row>
    <row r="18" spans="1:29" ht="12.75">
      <c r="A18" s="214">
        <v>2</v>
      </c>
      <c r="B18" s="44" t="s">
        <v>301</v>
      </c>
      <c r="C18" s="402" t="s">
        <v>466</v>
      </c>
      <c r="D18" s="363">
        <f ca="1">'Pres &amp; Prop Rev'!$E$152/1000</f>
        <v>77795.98984846153</v>
      </c>
      <c r="E18" s="372">
        <f ca="1">'Pres &amp; Prop Rev'!$E$207/1000</f>
        <v>1.5384703874588013E-06</v>
      </c>
      <c r="F18" s="363">
        <f ca="1">D18+E18</f>
        <v>77795.98985</v>
      </c>
      <c r="G18" s="344">
        <f ca="1">E18/D18</f>
        <v>1.9775702969466437E-11</v>
      </c>
      <c r="H18" s="658">
        <f>80395.5241384615-253</f>
        <v>80142.5241384615</v>
      </c>
      <c r="I18" s="351">
        <v>0</v>
      </c>
      <c r="J18" s="658">
        <f aca="true" t="shared" si="0" ref="J18:J28">H18+I18</f>
        <v>80142.5241384615</v>
      </c>
      <c r="K18" s="351">
        <f ca="1">E18</f>
        <v>1.5384703874588013E-06</v>
      </c>
      <c r="L18" s="351">
        <v>0</v>
      </c>
      <c r="M18" s="351">
        <v>0</v>
      </c>
      <c r="N18" s="351">
        <v>0</v>
      </c>
      <c r="O18" s="751">
        <f aca="true" t="shared" si="1" ref="O18:O28">K18+L18+M18+N18</f>
        <v>1.5384703874588013E-06</v>
      </c>
      <c r="P18" s="345">
        <f aca="true" t="shared" si="2" ref="P18:P28">(K18+L18+M18+N18)/J18</f>
        <v>1.9196679964818682E-11</v>
      </c>
      <c r="Q18" s="372" t="e">
        <f>#REF!/1000</f>
        <v>#REF!</v>
      </c>
      <c r="R18" s="368">
        <f>('Pres &amp; Prop Rev'!E23*(0))/1000</f>
        <v>0</v>
      </c>
      <c r="S18" s="363">
        <f ca="1">E18+R18</f>
        <v>1.5384703874588013E-06</v>
      </c>
      <c r="T18" s="182">
        <f ca="1">(S18)/H18</f>
        <v>1.9196679964818682E-11</v>
      </c>
      <c r="V18" s="44" t="s">
        <v>385</v>
      </c>
      <c r="X18" s="182">
        <f ca="1">(E18+R18)/D18</f>
        <v>1.9775702969466437E-11</v>
      </c>
      <c r="Y18" s="368">
        <f ca="1">K18+J18+M18+N18</f>
        <v>80142.52413999996</v>
      </c>
      <c r="AA18" s="533">
        <f ca="1">K18/J18</f>
        <v>1.9196679964818682E-11</v>
      </c>
      <c r="AB18" s="533">
        <f>M18/J18</f>
        <v>0</v>
      </c>
      <c r="AC18" s="533">
        <f>N18/J18</f>
        <v>0</v>
      </c>
    </row>
    <row r="19" spans="4:29" ht="12.75">
      <c r="D19" s="363"/>
      <c r="E19" s="363"/>
      <c r="F19" s="363"/>
      <c r="G19" s="344"/>
      <c r="H19" s="658"/>
      <c r="I19" s="351"/>
      <c r="J19" s="658"/>
      <c r="K19" s="351"/>
      <c r="L19" s="351"/>
      <c r="M19" s="351"/>
      <c r="N19" s="351"/>
      <c r="O19" s="751"/>
      <c r="P19" s="345"/>
      <c r="Q19" s="372"/>
      <c r="R19" s="368"/>
      <c r="S19" s="363"/>
      <c r="T19" s="182"/>
      <c r="Y19" s="368"/>
      <c r="AA19" s="533"/>
      <c r="AB19" s="533"/>
      <c r="AC19" s="533"/>
    </row>
    <row r="20" spans="1:29" ht="12.75">
      <c r="A20" s="214">
        <v>3</v>
      </c>
      <c r="B20" s="44" t="s">
        <v>302</v>
      </c>
      <c r="C20" s="403" t="s">
        <v>467</v>
      </c>
      <c r="D20" s="363">
        <f ca="1">'Pres &amp; Prop Rev'!$F$152/1000</f>
        <v>133265.83332076925</v>
      </c>
      <c r="E20" s="363">
        <f ca="1">'Pres &amp; Prop Rev'!$F$207/1000</f>
        <v>-7.692426443099975E-07</v>
      </c>
      <c r="F20" s="363">
        <f ca="1">D20+E20</f>
        <v>133265.83332</v>
      </c>
      <c r="G20" s="344">
        <f ca="1">E20/D20</f>
        <v>-5.772242030396792E-12</v>
      </c>
      <c r="H20" s="658">
        <f>137237.899020769-137</f>
        <v>137100.899020769</v>
      </c>
      <c r="I20" s="351">
        <v>0</v>
      </c>
      <c r="J20" s="658">
        <f t="shared" si="0"/>
        <v>137100.899020769</v>
      </c>
      <c r="K20" s="351">
        <f ca="1">E20</f>
        <v>-7.692426443099975E-07</v>
      </c>
      <c r="L20" s="351">
        <v>0</v>
      </c>
      <c r="M20" s="351">
        <v>0</v>
      </c>
      <c r="N20" s="351">
        <v>0</v>
      </c>
      <c r="O20" s="751">
        <f ca="1" t="shared" si="1"/>
        <v>-7.692426443099975E-07</v>
      </c>
      <c r="P20" s="345">
        <f ca="1" t="shared" si="2"/>
        <v>-5.610777535408191E-12</v>
      </c>
      <c r="Q20" s="372" t="e">
        <f>#REF!/1000</f>
        <v>#REF!</v>
      </c>
      <c r="R20" s="368">
        <f>('Pres &amp; Prop Rev'!F23*(0))/1000</f>
        <v>0</v>
      </c>
      <c r="S20" s="363">
        <f ca="1">E20+R20</f>
        <v>-7.692426443099975E-07</v>
      </c>
      <c r="T20" s="182">
        <f ca="1">(S20)/H20</f>
        <v>-5.610777535408191E-12</v>
      </c>
      <c r="V20" s="44" t="s">
        <v>385</v>
      </c>
      <c r="X20" s="182">
        <f ca="1">(E20+R20)/D20</f>
        <v>-5.772242030396792E-12</v>
      </c>
      <c r="Y20" s="368">
        <f ca="1">K20+J20+M20+N20</f>
        <v>137100.89901999975</v>
      </c>
      <c r="AA20" s="533">
        <f ca="1">K20/J20</f>
        <v>-5.610777535408191E-12</v>
      </c>
      <c r="AB20" s="533">
        <f>M20/J20</f>
        <v>0</v>
      </c>
      <c r="AC20" s="533">
        <f>N20/J20</f>
        <v>0</v>
      </c>
    </row>
    <row r="21" spans="4:29" ht="12.75">
      <c r="D21" s="363"/>
      <c r="E21" s="363"/>
      <c r="F21" s="363"/>
      <c r="G21" s="344"/>
      <c r="H21" s="658"/>
      <c r="I21" s="351"/>
      <c r="J21" s="658"/>
      <c r="K21" s="351"/>
      <c r="L21" s="351"/>
      <c r="M21" s="351"/>
      <c r="N21" s="351"/>
      <c r="O21" s="751"/>
      <c r="P21" s="345"/>
      <c r="Q21" s="372"/>
      <c r="R21" s="368"/>
      <c r="S21" s="363"/>
      <c r="T21" s="182"/>
      <c r="Y21" s="368"/>
      <c r="AA21" s="533"/>
      <c r="AB21" s="533"/>
      <c r="AC21" s="533"/>
    </row>
    <row r="22" spans="1:29" ht="12.75">
      <c r="A22" s="214">
        <v>4</v>
      </c>
      <c r="B22" s="44" t="s">
        <v>321</v>
      </c>
      <c r="C22" s="214">
        <v>25</v>
      </c>
      <c r="D22" s="363">
        <f ca="1">'Pres &amp; Prop Rev'!$G$152/1000</f>
        <v>69248.16705739999</v>
      </c>
      <c r="E22" s="363">
        <f ca="1">'Pres &amp; Prop Rev'!$G$207/1000</f>
        <v>3.4999996423721314E-06</v>
      </c>
      <c r="F22" s="363">
        <f ca="1">D22+E22</f>
        <v>69248.16706089998</v>
      </c>
      <c r="G22" s="344">
        <f ca="1">E22/D22</f>
        <v>5.054284887383333E-11</v>
      </c>
      <c r="H22" s="658">
        <v>66870.04432739998</v>
      </c>
      <c r="I22" s="351">
        <v>0</v>
      </c>
      <c r="J22" s="658">
        <f t="shared" si="0"/>
        <v>66870.04432739998</v>
      </c>
      <c r="K22" s="351">
        <f ca="1">E22</f>
        <v>3.4999996423721314E-06</v>
      </c>
      <c r="L22" s="351">
        <v>0</v>
      </c>
      <c r="M22" s="351">
        <v>0</v>
      </c>
      <c r="N22" s="351">
        <v>0</v>
      </c>
      <c r="O22" s="751">
        <f ca="1" t="shared" si="1"/>
        <v>3.4999996423721314E-06</v>
      </c>
      <c r="P22" s="345">
        <f ca="1" t="shared" si="2"/>
        <v>5.2340321852276796E-11</v>
      </c>
      <c r="Q22" s="372" t="e">
        <f>#REF!/1000</f>
        <v>#REF!</v>
      </c>
      <c r="R22" s="368">
        <f>('Pres &amp; Prop Rev'!G23*(0))/1000</f>
        <v>0</v>
      </c>
      <c r="S22" s="363">
        <f ca="1">E22+R22</f>
        <v>3.4999996423721314E-06</v>
      </c>
      <c r="T22" s="182">
        <f ca="1">(S22)/H22</f>
        <v>5.2340321852276796E-11</v>
      </c>
      <c r="V22" s="44" t="s">
        <v>384</v>
      </c>
      <c r="X22" s="182">
        <f ca="1">(E22+R22)/D22</f>
        <v>5.054284887383333E-11</v>
      </c>
      <c r="Y22" s="368">
        <f ca="1">K22+J22+M22+N22</f>
        <v>66870.04433089998</v>
      </c>
      <c r="AA22" s="533">
        <f ca="1">K22/J22</f>
        <v>5.2340321852276796E-11</v>
      </c>
      <c r="AB22" s="533">
        <f>M22/J22</f>
        <v>0</v>
      </c>
      <c r="AC22" s="533">
        <f>N22/J22</f>
        <v>0</v>
      </c>
    </row>
    <row r="23" spans="4:29" ht="12.75">
      <c r="D23" s="363"/>
      <c r="E23" s="363"/>
      <c r="F23" s="363"/>
      <c r="G23" s="344"/>
      <c r="H23" s="658"/>
      <c r="I23" s="351"/>
      <c r="J23" s="658"/>
      <c r="K23" s="351"/>
      <c r="L23" s="351"/>
      <c r="M23" s="351"/>
      <c r="N23" s="351"/>
      <c r="O23" s="751"/>
      <c r="P23" s="345"/>
      <c r="Q23" s="372"/>
      <c r="R23" s="368"/>
      <c r="S23" s="363"/>
      <c r="T23" s="182"/>
      <c r="Y23" s="368"/>
      <c r="AA23" s="533"/>
      <c r="AB23" s="533"/>
      <c r="AC23" s="533"/>
    </row>
    <row r="24" spans="1:29" ht="12.75">
      <c r="A24" s="214">
        <v>5</v>
      </c>
      <c r="B24" s="44" t="s">
        <v>303</v>
      </c>
      <c r="C24" s="403" t="s">
        <v>468</v>
      </c>
      <c r="D24" s="363">
        <f ca="1">'Pres &amp; Prop Rev'!$H$152/1000</f>
        <v>12229.34005</v>
      </c>
      <c r="E24" s="363">
        <f ca="1">'Pres &amp; Prop Rev'!$H$207/1000</f>
        <v>0</v>
      </c>
      <c r="F24" s="363">
        <f ca="1">D24+E24</f>
        <v>12229.34005</v>
      </c>
      <c r="G24" s="344">
        <f ca="1">E24/D24</f>
        <v>0</v>
      </c>
      <c r="H24" s="658">
        <f>12595.15245-36</f>
        <v>12559.15245</v>
      </c>
      <c r="I24" s="351">
        <v>0</v>
      </c>
      <c r="J24" s="658">
        <f t="shared" si="0"/>
        <v>12559.15245</v>
      </c>
      <c r="K24" s="351">
        <f ca="1">E24</f>
        <v>0</v>
      </c>
      <c r="L24" s="351">
        <v>0</v>
      </c>
      <c r="M24" s="351">
        <v>0</v>
      </c>
      <c r="N24" s="351">
        <v>0</v>
      </c>
      <c r="O24" s="751">
        <f ca="1" t="shared" si="1"/>
        <v>0</v>
      </c>
      <c r="P24" s="345">
        <f ca="1" t="shared" si="2"/>
        <v>0</v>
      </c>
      <c r="Q24" s="372" t="e">
        <f>#REF!/1000</f>
        <v>#REF!</v>
      </c>
      <c r="R24" s="368">
        <f>('Pres &amp; Prop Rev'!H23*(0))/1000</f>
        <v>0</v>
      </c>
      <c r="S24" s="363">
        <f ca="1">E24+R24</f>
        <v>0</v>
      </c>
      <c r="T24" s="182">
        <f ca="1">(S24)/H24</f>
        <v>0</v>
      </c>
      <c r="V24" s="44" t="s">
        <v>385</v>
      </c>
      <c r="X24" s="182">
        <f ca="1">(E24+R24)/D24</f>
        <v>0</v>
      </c>
      <c r="Y24" s="368">
        <f ca="1">K24+J24+M24+N24</f>
        <v>12559.15245</v>
      </c>
      <c r="AA24" s="533">
        <f ca="1">K24/J24</f>
        <v>0</v>
      </c>
      <c r="AB24" s="533">
        <f>M24/J24</f>
        <v>0</v>
      </c>
      <c r="AC24" s="533">
        <f>N24/J24</f>
        <v>0</v>
      </c>
    </row>
    <row r="25" spans="4:29" ht="12.75">
      <c r="D25" s="363"/>
      <c r="E25" s="363"/>
      <c r="F25" s="363"/>
      <c r="G25" s="344"/>
      <c r="H25" s="658"/>
      <c r="I25" s="351"/>
      <c r="J25" s="658"/>
      <c r="K25" s="351"/>
      <c r="L25" s="351"/>
      <c r="M25" s="351"/>
      <c r="N25" s="351"/>
      <c r="O25" s="751"/>
      <c r="P25" s="345"/>
      <c r="Q25" s="372"/>
      <c r="R25" s="368"/>
      <c r="S25" s="363"/>
      <c r="T25" s="182"/>
      <c r="Y25" s="368"/>
      <c r="AA25" s="533"/>
      <c r="AB25" s="533"/>
      <c r="AC25" s="533"/>
    </row>
    <row r="26" spans="1:29" ht="12.75">
      <c r="A26" s="214">
        <v>6</v>
      </c>
      <c r="B26" s="44" t="s">
        <v>304</v>
      </c>
      <c r="C26" s="214" t="s">
        <v>352</v>
      </c>
      <c r="D26" s="369">
        <f>'Pres &amp; Prop Rev'!$I$152/1000</f>
        <v>6628.562281992</v>
      </c>
      <c r="E26" s="370">
        <f>'Pres &amp; Prop Rev'!$I$207/1000</f>
        <v>0.003479999999515712</v>
      </c>
      <c r="F26" s="370">
        <f>D26+E26</f>
        <v>6628.565761991999</v>
      </c>
      <c r="G26" s="344">
        <f>E26/D26</f>
        <v>5.250007243606846E-07</v>
      </c>
      <c r="H26" s="369">
        <f>6628.562281992+129</f>
        <v>6757.562281992</v>
      </c>
      <c r="I26" s="667">
        <v>0</v>
      </c>
      <c r="J26" s="668">
        <f>H26+I26</f>
        <v>6757.562281992</v>
      </c>
      <c r="K26" s="381">
        <f>E26</f>
        <v>0.003479999999515712</v>
      </c>
      <c r="L26" s="381">
        <v>0</v>
      </c>
      <c r="M26" s="667">
        <v>0</v>
      </c>
      <c r="N26" s="667">
        <v>0</v>
      </c>
      <c r="O26" s="751">
        <f t="shared" si="1"/>
        <v>0.003479999999515712</v>
      </c>
      <c r="P26" s="345">
        <f t="shared" si="2"/>
        <v>5.149786053455174E-07</v>
      </c>
      <c r="Q26" s="524" t="e">
        <f>#REF!/1000</f>
        <v>#REF!</v>
      </c>
      <c r="R26" s="371">
        <f>('Pres &amp; Prop Rev'!I23*(0))/1000</f>
        <v>0</v>
      </c>
      <c r="S26" s="370">
        <f>E26+R26</f>
        <v>0.003479999999515712</v>
      </c>
      <c r="T26" s="182">
        <f>(S26)/H26</f>
        <v>5.149786053455174E-07</v>
      </c>
      <c r="V26" s="44" t="s">
        <v>384</v>
      </c>
      <c r="X26" s="182">
        <f>(E26+R26)/D26</f>
        <v>5.250007243606846E-07</v>
      </c>
      <c r="Y26" s="368">
        <f>K26+J26+M26+N26</f>
        <v>6757.565761991999</v>
      </c>
      <c r="AA26" s="533">
        <f>K26/J26</f>
        <v>5.149786053455174E-07</v>
      </c>
      <c r="AB26" s="533">
        <f>M26/J26</f>
        <v>0</v>
      </c>
      <c r="AC26" s="533">
        <f>N26/J26</f>
        <v>0</v>
      </c>
    </row>
    <row r="27" spans="4:29" ht="12.75">
      <c r="D27" s="363"/>
      <c r="E27" s="363"/>
      <c r="F27" s="363"/>
      <c r="G27" s="346"/>
      <c r="H27" s="372"/>
      <c r="I27" s="351"/>
      <c r="J27" s="658"/>
      <c r="K27" s="351"/>
      <c r="L27" s="351"/>
      <c r="M27" s="351"/>
      <c r="N27" s="351"/>
      <c r="O27" s="751"/>
      <c r="P27" s="345"/>
      <c r="Q27" s="372"/>
      <c r="R27" s="373"/>
      <c r="S27" s="363"/>
      <c r="T27" s="182"/>
      <c r="AA27" s="533"/>
      <c r="AB27" s="533"/>
      <c r="AC27" s="533"/>
    </row>
    <row r="28" spans="1:29" ht="12.75">
      <c r="A28" s="214">
        <v>7</v>
      </c>
      <c r="B28" s="374" t="s">
        <v>66</v>
      </c>
      <c r="D28" s="363">
        <f ca="1">SUM(D16:D26)</f>
        <v>531721.9313286229</v>
      </c>
      <c r="E28" s="363">
        <f ca="1">SUM(E16:E26)</f>
        <v>0.003484269226901233</v>
      </c>
      <c r="F28" s="363">
        <f ca="1">SUM(F16:F26)</f>
        <v>531721.934812892</v>
      </c>
      <c r="G28" s="344">
        <f ca="1">E28/D28</f>
        <v>6.552803301144696E-09</v>
      </c>
      <c r="H28" s="363">
        <f>SUM(H16:H26)</f>
        <v>530695.9271186225</v>
      </c>
      <c r="I28" s="351">
        <f>SUM(I16:I26)</f>
        <v>0</v>
      </c>
      <c r="J28" s="658">
        <f t="shared" si="0"/>
        <v>530695.9271186225</v>
      </c>
      <c r="K28" s="351">
        <f ca="1">E28</f>
        <v>0.003484269226901233</v>
      </c>
      <c r="L28" s="351">
        <f>SUM(L16:L26)</f>
        <v>0</v>
      </c>
      <c r="M28" s="351">
        <f>SUM(M16:M26)</f>
        <v>0</v>
      </c>
      <c r="N28" s="351">
        <f>SUM(N16:N26)</f>
        <v>0</v>
      </c>
      <c r="O28" s="751">
        <f ca="1" t="shared" si="1"/>
        <v>0.003484269226901233</v>
      </c>
      <c r="P28" s="345">
        <f ca="1" t="shared" si="2"/>
        <v>6.565471956453174E-09</v>
      </c>
      <c r="Q28" s="372" t="e">
        <f>SUM(Q16:Q27)</f>
        <v>#REF!</v>
      </c>
      <c r="R28" s="368">
        <f>SUM(R16:R26)</f>
        <v>0</v>
      </c>
      <c r="S28" s="363">
        <f ca="1">E28+R28</f>
        <v>0.003484269226901233</v>
      </c>
      <c r="T28" s="182">
        <f ca="1">(S28)/H28</f>
        <v>6.565471956453174E-09</v>
      </c>
      <c r="V28" s="44" t="s">
        <v>385</v>
      </c>
      <c r="X28" s="182">
        <f ca="1">(E28+R28)/D28</f>
        <v>6.552803301144696E-09</v>
      </c>
      <c r="Y28" s="368">
        <f ca="1">E28+H28+R28</f>
        <v>530695.9306028917</v>
      </c>
      <c r="AA28" s="533">
        <f ca="1">K28/J28</f>
        <v>6.565471956453174E-09</v>
      </c>
      <c r="AB28" s="533">
        <f>M28/J28</f>
        <v>0</v>
      </c>
      <c r="AC28" s="533">
        <f>N28/J28</f>
        <v>0</v>
      </c>
    </row>
    <row r="29" spans="2:20" ht="12.75">
      <c r="B29" s="214"/>
      <c r="D29" s="375">
        <f ca="1">ROUND(D28-'Pres &amp; Prop Rev'!C205/1000,0)</f>
        <v>0</v>
      </c>
      <c r="E29" s="375"/>
      <c r="F29" s="375"/>
      <c r="H29" s="357"/>
      <c r="I29" s="357"/>
      <c r="J29" s="357"/>
      <c r="K29" s="357"/>
      <c r="L29" s="357"/>
      <c r="M29" s="357"/>
      <c r="N29" s="357"/>
      <c r="O29" s="357"/>
      <c r="R29" s="357"/>
      <c r="S29" s="357"/>
      <c r="T29" s="357"/>
    </row>
    <row r="30" spans="2:20" ht="12.75">
      <c r="B30" s="214"/>
      <c r="D30" s="695"/>
      <c r="E30" s="357"/>
      <c r="Q30" s="533"/>
      <c r="R30" s="533"/>
      <c r="S30" s="357"/>
      <c r="T30" s="117"/>
    </row>
    <row r="31" ht="12.75">
      <c r="A31" s="44"/>
    </row>
    <row r="33" spans="1:13" ht="12.75">
      <c r="A33" s="435" t="s">
        <v>918</v>
      </c>
      <c r="M33" s="533"/>
    </row>
    <row r="34" ht="12.75">
      <c r="A34" s="349" t="s">
        <v>840</v>
      </c>
    </row>
    <row r="35" spans="1:19" s="435" customFormat="1" ht="12.75">
      <c r="A35" s="349"/>
      <c r="C35" s="214"/>
      <c r="D35" s="368"/>
      <c r="E35" s="368"/>
      <c r="F35" s="368"/>
      <c r="G35" s="205"/>
      <c r="S35" s="117"/>
    </row>
    <row r="36" ht="12.75">
      <c r="A36" s="435" t="s">
        <v>919</v>
      </c>
    </row>
    <row r="37" ht="12.75">
      <c r="A37" s="349" t="s">
        <v>841</v>
      </c>
    </row>
    <row r="40" spans="2:17" ht="12.75">
      <c r="B40" s="80" t="s">
        <v>390</v>
      </c>
      <c r="F40" s="363"/>
      <c r="H40" s="363"/>
      <c r="I40" s="363"/>
      <c r="J40" s="363"/>
      <c r="K40" s="363"/>
      <c r="L40" s="363"/>
      <c r="M40" s="363"/>
      <c r="N40" s="363"/>
      <c r="O40" s="363"/>
      <c r="P40" s="363"/>
      <c r="Q40" s="363"/>
    </row>
    <row r="41" spans="6:19" ht="12.75">
      <c r="F41" s="363" t="s">
        <v>426</v>
      </c>
      <c r="G41" s="80"/>
      <c r="H41" s="363"/>
      <c r="I41" s="363"/>
      <c r="J41" s="363"/>
      <c r="K41" s="363" t="s">
        <v>459</v>
      </c>
      <c r="L41" s="363"/>
      <c r="M41" s="363"/>
      <c r="N41" s="363"/>
      <c r="O41" s="363"/>
      <c r="P41" s="117"/>
      <c r="Q41" s="117"/>
      <c r="S41" s="44"/>
    </row>
    <row r="42" spans="6:19" ht="12.75">
      <c r="F42" s="370" t="s">
        <v>458</v>
      </c>
      <c r="G42" s="80"/>
      <c r="H42" s="366" t="s">
        <v>521</v>
      </c>
      <c r="I42" s="365"/>
      <c r="J42" s="365"/>
      <c r="K42" s="370" t="s">
        <v>460</v>
      </c>
      <c r="L42" s="370"/>
      <c r="M42" s="370"/>
      <c r="N42" s="370"/>
      <c r="O42" s="370"/>
      <c r="P42" s="117"/>
      <c r="Q42" s="117"/>
      <c r="S42" s="44"/>
    </row>
    <row r="43" spans="2:19" ht="12.75">
      <c r="B43" s="323" t="s">
        <v>387</v>
      </c>
      <c r="F43" s="179">
        <f>'REVRUNS 12ME1219'!P113</f>
        <v>61017333.257</v>
      </c>
      <c r="G43" s="44"/>
      <c r="H43" s="396">
        <v>-0.00414</v>
      </c>
      <c r="I43" s="517"/>
      <c r="J43" s="517"/>
      <c r="K43" s="60">
        <f>F43*H43</f>
        <v>-252611.75968397997</v>
      </c>
      <c r="L43" s="529"/>
      <c r="M43" s="529"/>
      <c r="N43" s="529"/>
      <c r="O43" s="529"/>
      <c r="P43" s="618"/>
      <c r="Q43" s="117"/>
      <c r="S43" s="44"/>
    </row>
    <row r="44" spans="2:19" ht="12.75">
      <c r="B44" s="323" t="s">
        <v>388</v>
      </c>
      <c r="F44" s="179">
        <f>'REVRUNS 12ME1219'!P143</f>
        <v>33141700.520000003</v>
      </c>
      <c r="G44" s="44"/>
      <c r="H44" s="517">
        <f>H43</f>
        <v>-0.00414</v>
      </c>
      <c r="I44" s="517"/>
      <c r="J44" s="517"/>
      <c r="K44" s="60">
        <f>F44*H44</f>
        <v>-137206.6401528</v>
      </c>
      <c r="L44" s="529"/>
      <c r="M44" s="529"/>
      <c r="N44" s="529"/>
      <c r="O44" s="529"/>
      <c r="P44" s="117"/>
      <c r="Q44" s="117"/>
      <c r="S44" s="44"/>
    </row>
    <row r="45" spans="2:19" ht="12.75">
      <c r="B45" s="323" t="s">
        <v>389</v>
      </c>
      <c r="F45" s="280">
        <f>'REVRUNS 12ME1219'!P198</f>
        <v>8612374.172</v>
      </c>
      <c r="G45" s="361"/>
      <c r="H45" s="517">
        <f aca="true" t="shared" si="3" ref="H45:H46">H44</f>
        <v>-0.00414</v>
      </c>
      <c r="I45" s="517"/>
      <c r="J45" s="517"/>
      <c r="K45" s="445">
        <f>F45*H45</f>
        <v>-35655.22907208</v>
      </c>
      <c r="L45" s="445"/>
      <c r="M45" s="445"/>
      <c r="N45" s="445"/>
      <c r="O45" s="445"/>
      <c r="P45" s="117"/>
      <c r="Q45" s="117"/>
      <c r="S45" s="44"/>
    </row>
    <row r="46" spans="1:17" s="435" customFormat="1" ht="12.75">
      <c r="A46" s="214"/>
      <c r="B46" s="323" t="s">
        <v>635</v>
      </c>
      <c r="C46" s="214"/>
      <c r="D46" s="368"/>
      <c r="E46" s="368"/>
      <c r="F46" s="280">
        <f>'REVRUNS 12ME1219'!P262</f>
        <v>2499245.17629</v>
      </c>
      <c r="H46" s="517">
        <f t="shared" si="3"/>
        <v>-0.00414</v>
      </c>
      <c r="I46" s="517"/>
      <c r="J46" s="517"/>
      <c r="K46" s="445">
        <f>F46*H46</f>
        <v>-10346.875029840598</v>
      </c>
      <c r="L46" s="445"/>
      <c r="M46" s="445"/>
      <c r="N46" s="445"/>
      <c r="O46" s="445"/>
      <c r="P46" s="117"/>
      <c r="Q46" s="117"/>
    </row>
    <row r="47" spans="2:19" ht="12.75">
      <c r="B47" s="323" t="s">
        <v>66</v>
      </c>
      <c r="C47" s="44"/>
      <c r="D47" s="44"/>
      <c r="E47" s="44"/>
      <c r="F47" s="48">
        <f>SUM(F43:F46)</f>
        <v>105270653.12529002</v>
      </c>
      <c r="K47" s="397">
        <f>SUM(K43:K46)</f>
        <v>-435820.5039387006</v>
      </c>
      <c r="L47" s="397"/>
      <c r="M47" s="397"/>
      <c r="N47" s="397"/>
      <c r="O47" s="397"/>
      <c r="P47" s="44" t="s">
        <v>461</v>
      </c>
      <c r="S47" s="44"/>
    </row>
    <row r="48" spans="1:15" s="435" customFormat="1" ht="12.75">
      <c r="A48" s="585"/>
      <c r="B48" s="323"/>
      <c r="F48" s="48"/>
      <c r="G48" s="205"/>
      <c r="K48" s="397"/>
      <c r="L48" s="397"/>
      <c r="M48" s="397"/>
      <c r="N48" s="397"/>
      <c r="O48" s="397"/>
    </row>
    <row r="49" spans="1:15" s="435" customFormat="1" ht="12.75">
      <c r="A49" s="585"/>
      <c r="B49" s="323" t="s">
        <v>637</v>
      </c>
      <c r="F49" s="48"/>
      <c r="G49" s="205"/>
      <c r="H49" s="366" t="s">
        <v>638</v>
      </c>
      <c r="I49" s="365"/>
      <c r="J49" s="365"/>
      <c r="K49" s="397"/>
      <c r="L49" s="397"/>
      <c r="M49" s="397"/>
      <c r="N49" s="397"/>
      <c r="O49" s="397"/>
    </row>
    <row r="50" spans="1:15" s="435" customFormat="1" ht="12.75">
      <c r="A50" s="585"/>
      <c r="B50" s="323" t="s">
        <v>636</v>
      </c>
      <c r="C50" s="585"/>
      <c r="D50" s="368"/>
      <c r="E50" s="368"/>
      <c r="F50" s="280">
        <f>'REVRUNS 12ME1219'!P287</f>
        <v>17961923.65997</v>
      </c>
      <c r="H50" s="517">
        <v>-0.00045</v>
      </c>
      <c r="I50" s="517"/>
      <c r="J50" s="517"/>
      <c r="K50" s="445">
        <f>F50*H50</f>
        <v>-8082.8656469865</v>
      </c>
      <c r="L50" s="445"/>
      <c r="M50" s="445"/>
      <c r="N50" s="445"/>
      <c r="O50" s="445"/>
    </row>
    <row r="51" spans="1:15" s="435" customFormat="1" ht="12.75">
      <c r="A51" s="585"/>
      <c r="B51" s="323"/>
      <c r="C51" s="585"/>
      <c r="D51" s="368"/>
      <c r="E51" s="368"/>
      <c r="F51" s="280"/>
      <c r="H51" s="517"/>
      <c r="I51" s="517"/>
      <c r="J51" s="517"/>
      <c r="K51" s="445"/>
      <c r="L51" s="445"/>
      <c r="M51" s="445"/>
      <c r="N51" s="445"/>
      <c r="O51" s="445"/>
    </row>
    <row r="52" spans="1:15" s="435" customFormat="1" ht="12.75">
      <c r="A52" s="585"/>
      <c r="B52" s="323" t="s">
        <v>992</v>
      </c>
      <c r="F52" s="48"/>
      <c r="G52" s="205"/>
      <c r="H52" s="366" t="s">
        <v>993</v>
      </c>
      <c r="I52" s="365"/>
      <c r="J52" s="365"/>
      <c r="K52" s="397"/>
      <c r="L52" s="445"/>
      <c r="M52" s="445"/>
      <c r="N52" s="445"/>
      <c r="O52" s="445"/>
    </row>
    <row r="53" spans="1:15" s="435" customFormat="1" ht="12.75">
      <c r="A53" s="585"/>
      <c r="B53" s="323" t="s">
        <v>636</v>
      </c>
      <c r="C53" s="585"/>
      <c r="D53" s="368"/>
      <c r="E53" s="368"/>
      <c r="F53" s="445">
        <f>'Lighting summary'!D19</f>
        <v>6628562.281992</v>
      </c>
      <c r="H53" s="400">
        <v>0.0151</v>
      </c>
      <c r="I53" s="517"/>
      <c r="J53" s="517"/>
      <c r="K53" s="445">
        <f>F53*H53</f>
        <v>100091.2904580792</v>
      </c>
      <c r="L53" s="445"/>
      <c r="M53" s="445"/>
      <c r="N53" s="445"/>
      <c r="O53" s="445"/>
    </row>
    <row r="54" spans="1:15" s="435" customFormat="1" ht="12.75">
      <c r="A54" s="585"/>
      <c r="B54" s="323"/>
      <c r="C54" s="585"/>
      <c r="D54" s="368"/>
      <c r="E54" s="368"/>
      <c r="F54" s="280"/>
      <c r="H54" s="517"/>
      <c r="I54" s="517"/>
      <c r="J54" s="517"/>
      <c r="K54" s="445"/>
      <c r="L54" s="445"/>
      <c r="M54" s="445"/>
      <c r="N54" s="445"/>
      <c r="O54" s="445"/>
    </row>
    <row r="55" spans="1:15" s="435" customFormat="1" ht="12.75">
      <c r="A55" s="585"/>
      <c r="B55" s="323" t="s">
        <v>988</v>
      </c>
      <c r="F55" s="48"/>
      <c r="G55" s="205"/>
      <c r="H55" s="366" t="s">
        <v>989</v>
      </c>
      <c r="I55" s="365"/>
      <c r="J55" s="365"/>
      <c r="K55" s="397"/>
      <c r="L55" s="445"/>
      <c r="M55" s="445"/>
      <c r="N55" s="445"/>
      <c r="O55" s="445"/>
    </row>
    <row r="56" spans="1:15" s="435" customFormat="1" ht="12.75">
      <c r="A56" s="585"/>
      <c r="B56" s="323" t="s">
        <v>636</v>
      </c>
      <c r="C56" s="585"/>
      <c r="D56" s="368"/>
      <c r="E56" s="368"/>
      <c r="F56" s="280">
        <f>'REVRUNS 12ME1219'!P287</f>
        <v>17961923.65997</v>
      </c>
      <c r="H56" s="517">
        <v>-0.00789</v>
      </c>
      <c r="I56" s="517"/>
      <c r="J56" s="517"/>
      <c r="K56" s="445">
        <f>F56*H56</f>
        <v>-141719.5776771633</v>
      </c>
      <c r="L56" s="445"/>
      <c r="M56" s="445"/>
      <c r="N56" s="445"/>
      <c r="O56" s="445"/>
    </row>
    <row r="57" spans="1:15" s="435" customFormat="1" ht="12.75">
      <c r="A57" s="585"/>
      <c r="B57" s="323"/>
      <c r="C57" s="585"/>
      <c r="D57" s="368"/>
      <c r="E57" s="368"/>
      <c r="F57" s="280"/>
      <c r="H57" s="517"/>
      <c r="I57" s="517"/>
      <c r="J57" s="517"/>
      <c r="K57" s="445"/>
      <c r="L57" s="445"/>
      <c r="M57" s="445"/>
      <c r="N57" s="445"/>
      <c r="O57" s="445"/>
    </row>
    <row r="58" spans="1:15" s="435" customFormat="1" ht="12.75">
      <c r="A58" s="585"/>
      <c r="B58" s="323" t="s">
        <v>990</v>
      </c>
      <c r="F58" s="48"/>
      <c r="G58" s="205"/>
      <c r="H58" s="366" t="s">
        <v>991</v>
      </c>
      <c r="I58" s="365"/>
      <c r="J58" s="365"/>
      <c r="K58" s="397"/>
      <c r="L58" s="397"/>
      <c r="M58" s="445"/>
      <c r="N58" s="445"/>
      <c r="O58" s="445"/>
    </row>
    <row r="59" spans="1:15" s="435" customFormat="1" ht="12.75">
      <c r="A59" s="585"/>
      <c r="B59" s="323" t="s">
        <v>636</v>
      </c>
      <c r="C59" s="585"/>
      <c r="D59" s="368"/>
      <c r="E59" s="368"/>
      <c r="F59" s="280">
        <f>'REVRUNS 12ME1219'!P287</f>
        <v>17961923.65997</v>
      </c>
      <c r="H59" s="517">
        <v>-0.00339</v>
      </c>
      <c r="I59" s="517"/>
      <c r="J59" s="517"/>
      <c r="K59" s="445">
        <f>F59*H59</f>
        <v>-60890.9212072983</v>
      </c>
      <c r="L59" s="445"/>
      <c r="M59" s="445"/>
      <c r="N59" s="445"/>
      <c r="O59" s="445"/>
    </row>
    <row r="60" spans="1:15" s="435" customFormat="1" ht="12.75">
      <c r="A60" s="585"/>
      <c r="B60" s="323"/>
      <c r="C60" s="585"/>
      <c r="D60" s="368"/>
      <c r="E60" s="368"/>
      <c r="F60" s="280"/>
      <c r="H60" s="517"/>
      <c r="I60" s="517"/>
      <c r="J60" s="517"/>
      <c r="K60" s="445"/>
      <c r="L60" s="445"/>
      <c r="M60" s="445"/>
      <c r="N60" s="445"/>
      <c r="O60" s="445"/>
    </row>
    <row r="61" spans="1:15" s="435" customFormat="1" ht="12.75">
      <c r="A61" s="585"/>
      <c r="B61" s="323" t="s">
        <v>649</v>
      </c>
      <c r="F61" s="48"/>
      <c r="G61" s="205"/>
      <c r="H61" s="366" t="s">
        <v>651</v>
      </c>
      <c r="I61" s="365"/>
      <c r="J61" s="365"/>
      <c r="K61" s="397"/>
      <c r="L61" s="397"/>
      <c r="M61" s="397"/>
      <c r="N61" s="397"/>
      <c r="O61" s="397"/>
    </row>
    <row r="62" spans="1:15" s="435" customFormat="1" ht="12.75">
      <c r="A62" s="585"/>
      <c r="B62" s="323" t="s">
        <v>636</v>
      </c>
      <c r="C62" s="585"/>
      <c r="D62" s="368"/>
      <c r="E62" s="368"/>
      <c r="F62" s="280">
        <f>'REVRUNS 12ME1219'!P287</f>
        <v>17961923.65997</v>
      </c>
      <c r="H62" s="517">
        <v>0.01394</v>
      </c>
      <c r="I62" s="517"/>
      <c r="J62" s="517"/>
      <c r="K62" s="445">
        <f>F62*H62</f>
        <v>250389.2158199818</v>
      </c>
      <c r="L62" s="445"/>
      <c r="M62" s="445"/>
      <c r="N62" s="445"/>
      <c r="O62" s="445"/>
    </row>
    <row r="63" spans="16:20" ht="12.75">
      <c r="P63" s="117"/>
      <c r="Q63" s="117"/>
      <c r="S63" s="44"/>
      <c r="T63" s="435" t="s">
        <v>520</v>
      </c>
    </row>
    <row r="64" spans="8:10" ht="12.75">
      <c r="H64" s="366" t="s">
        <v>730</v>
      </c>
      <c r="I64" s="365"/>
      <c r="J64" s="365"/>
    </row>
    <row r="65" spans="2:23" ht="12.75">
      <c r="B65" s="323" t="s">
        <v>729</v>
      </c>
      <c r="F65" s="48">
        <f>'REVRUNS 12ME1219'!P83</f>
        <v>4501964.017999999</v>
      </c>
      <c r="H65" s="517">
        <v>-0.03064</v>
      </c>
      <c r="I65" s="517"/>
      <c r="J65" s="517"/>
      <c r="K65" s="529">
        <f>F65*H65</f>
        <v>-137940.17751151999</v>
      </c>
      <c r="L65" s="529"/>
      <c r="M65" s="529"/>
      <c r="N65" s="529"/>
      <c r="O65" s="529"/>
      <c r="R65" s="398">
        <v>0</v>
      </c>
      <c r="S65" s="117">
        <v>1</v>
      </c>
      <c r="T65" s="399">
        <f ca="1">-D16*$R$66</f>
        <v>0</v>
      </c>
      <c r="V65" s="210">
        <f>0/'Pres &amp; Prop Rev'!D23</f>
        <v>0</v>
      </c>
      <c r="W65" s="212">
        <f ca="1">(D16/$D$28)*$T$71</f>
        <v>0</v>
      </c>
    </row>
    <row r="66" spans="18:23" ht="12.75">
      <c r="R66" s="400">
        <f ca="1">R65/D28</f>
        <v>0</v>
      </c>
      <c r="S66" s="117">
        <v>11</v>
      </c>
      <c r="T66" s="399">
        <f ca="1">-D18*R66</f>
        <v>0</v>
      </c>
      <c r="W66" s="212">
        <f ca="1">(D18/$D$28)*$T$71</f>
        <v>0</v>
      </c>
    </row>
    <row r="67" spans="19:23" ht="12.75">
      <c r="S67" s="117">
        <v>21</v>
      </c>
      <c r="T67" s="399">
        <f ca="1">-D20*R66</f>
        <v>0</v>
      </c>
      <c r="W67" s="212">
        <f ca="1">(D20/$D$28)*$T$71</f>
        <v>0</v>
      </c>
    </row>
    <row r="68" spans="19:23" ht="12.75">
      <c r="S68" s="117">
        <v>25</v>
      </c>
      <c r="T68" s="399">
        <f ca="1">-D22*R66</f>
        <v>0</v>
      </c>
      <c r="W68" s="212">
        <f ca="1">(D22/$D$28)*$T$71</f>
        <v>0</v>
      </c>
    </row>
    <row r="69" spans="2:23" ht="12.75">
      <c r="B69" s="323" t="s">
        <v>755</v>
      </c>
      <c r="K69" s="397">
        <f>K46+K50+K62+K59+K56+K53</f>
        <v>129440.26671677231</v>
      </c>
      <c r="L69" s="397"/>
      <c r="M69" s="397"/>
      <c r="N69" s="397"/>
      <c r="O69" s="397"/>
      <c r="S69" s="117">
        <v>31</v>
      </c>
      <c r="T69" s="399">
        <f ca="1">-D24*R66</f>
        <v>0</v>
      </c>
      <c r="W69" s="212">
        <f ca="1">(D24/$D$28)*$T$71</f>
        <v>0</v>
      </c>
    </row>
    <row r="70" spans="19:23" ht="12.75">
      <c r="S70" s="71" t="s">
        <v>352</v>
      </c>
      <c r="T70" s="399">
        <f ca="1">-D26*R66</f>
        <v>0</v>
      </c>
      <c r="W70" s="212">
        <f ca="1">(D26/$D$28)*$T$71</f>
        <v>0</v>
      </c>
    </row>
    <row r="71" spans="20:23" ht="12.75">
      <c r="T71" s="399">
        <f ca="1">SUM(T65:T70)</f>
        <v>0</v>
      </c>
      <c r="W71" s="212">
        <f ca="1">SUM(W65:W70)</f>
        <v>0</v>
      </c>
    </row>
    <row r="102" ht="12.75">
      <c r="B102" s="435"/>
    </row>
  </sheetData>
  <mergeCells count="6">
    <mergeCell ref="A5:T5"/>
    <mergeCell ref="W1:X3"/>
    <mergeCell ref="A1:T1"/>
    <mergeCell ref="A2:T2"/>
    <mergeCell ref="A3:T3"/>
    <mergeCell ref="A4:T4"/>
  </mergeCells>
  <conditionalFormatting sqref="D29:F29">
    <cfRule type="cellIs" priority="1" dxfId="0" operator="notEqual" stopIfTrue="1">
      <formula>0</formula>
    </cfRule>
  </conditionalFormatting>
  <printOptions/>
  <pageMargins left="0.5" right="0.5" top="1" bottom="1" header="0.5" footer="0.5"/>
  <pageSetup fitToHeight="1" fitToWidth="1" horizontalDpi="600" verticalDpi="600" orientation="landscape" scale="96" r:id="rId3"/>
  <headerFooter alignWithMargins="0">
    <oddFooter>&amp;LAttachment A&amp;RPage 1 of 6</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Y66"/>
  <sheetViews>
    <sheetView showGridLines="0" view="pageBreakPreview" zoomScale="110" zoomScaleSheetLayoutView="110" workbookViewId="0" topLeftCell="A1">
      <pane xSplit="3" ySplit="12" topLeftCell="D16" activePane="bottomRight" state="frozen"/>
      <selection pane="topLeft" activeCell="D27" sqref="D27"/>
      <selection pane="topRight" activeCell="D27" sqref="D27"/>
      <selection pane="bottomLeft" activeCell="D27" sqref="D27"/>
      <selection pane="bottomRight" activeCell="A63" sqref="A63"/>
    </sheetView>
  </sheetViews>
  <sheetFormatPr defaultColWidth="9.28125" defaultRowHeight="12.75"/>
  <cols>
    <col min="1" max="2" width="9.28125" style="44" customWidth="1"/>
    <col min="3" max="3" width="8.7109375" style="44" customWidth="1"/>
    <col min="4" max="4" width="10.28125" style="44" customWidth="1"/>
    <col min="5" max="5" width="10.7109375" style="44" customWidth="1"/>
    <col min="6" max="6" width="10.28125" style="44" customWidth="1"/>
    <col min="7" max="7" width="9.57421875" style="117" hidden="1" customWidth="1"/>
    <col min="8" max="8" width="10.28125" style="435" hidden="1" customWidth="1"/>
    <col min="9" max="9" width="1.7109375" style="44" customWidth="1"/>
    <col min="10" max="10" width="11.7109375" style="117" customWidth="1"/>
    <col min="11" max="11" width="15.28125" style="117" hidden="1" customWidth="1"/>
    <col min="12" max="12" width="11.28125" style="117" hidden="1" customWidth="1"/>
    <col min="13" max="13" width="11.7109375" style="117" customWidth="1"/>
    <col min="14" max="14" width="13.00390625" style="117" customWidth="1"/>
    <col min="15" max="16" width="13.57421875" style="117" hidden="1" customWidth="1"/>
    <col min="17" max="17" width="17.57421875" style="117" hidden="1" customWidth="1"/>
    <col min="18" max="20" width="9.28125" style="44" customWidth="1"/>
    <col min="21" max="21" width="11.7109375" style="44" bestFit="1" customWidth="1"/>
    <col min="22" max="22" width="11.421875" style="44" bestFit="1" customWidth="1"/>
    <col min="23" max="23" width="10.28125" style="44" bestFit="1" customWidth="1"/>
    <col min="24" max="24" width="14.57421875" style="361" bestFit="1" customWidth="1"/>
    <col min="25" max="25" width="9.28125" style="361" bestFit="1" customWidth="1"/>
    <col min="26" max="16384" width="9.28125" style="44" customWidth="1"/>
  </cols>
  <sheetData>
    <row r="1" spans="1:19" ht="12.75">
      <c r="A1" s="138" t="s">
        <v>101</v>
      </c>
      <c r="B1" s="355"/>
      <c r="C1" s="355"/>
      <c r="D1" s="355"/>
      <c r="E1" s="355"/>
      <c r="F1" s="355"/>
      <c r="G1" s="138"/>
      <c r="H1" s="355"/>
      <c r="I1" s="355"/>
      <c r="J1" s="138"/>
      <c r="K1" s="138"/>
      <c r="L1" s="138"/>
      <c r="M1" s="138"/>
      <c r="N1" s="138"/>
      <c r="O1" s="138"/>
      <c r="P1" s="138"/>
      <c r="Q1" s="138"/>
      <c r="S1" s="44" t="s">
        <v>346</v>
      </c>
    </row>
    <row r="2" spans="1:17" ht="12.75">
      <c r="A2" s="138" t="s">
        <v>405</v>
      </c>
      <c r="B2" s="355"/>
      <c r="C2" s="355"/>
      <c r="D2" s="355"/>
      <c r="E2" s="355"/>
      <c r="F2" s="355"/>
      <c r="G2" s="138"/>
      <c r="H2" s="355"/>
      <c r="I2" s="355"/>
      <c r="J2" s="138"/>
      <c r="K2" s="138"/>
      <c r="L2" s="138"/>
      <c r="M2" s="138"/>
      <c r="N2" s="138"/>
      <c r="O2" s="138"/>
      <c r="P2" s="138"/>
      <c r="Q2" s="138"/>
    </row>
    <row r="3" spans="1:17" ht="12.75">
      <c r="A3" s="138" t="s">
        <v>322</v>
      </c>
      <c r="B3" s="355"/>
      <c r="C3" s="355"/>
      <c r="D3" s="355"/>
      <c r="E3" s="355"/>
      <c r="F3" s="355"/>
      <c r="G3" s="138"/>
      <c r="H3" s="355"/>
      <c r="I3" s="355"/>
      <c r="J3" s="138"/>
      <c r="K3" s="138"/>
      <c r="L3" s="138"/>
      <c r="M3" s="138"/>
      <c r="N3" s="138"/>
      <c r="O3" s="138"/>
      <c r="P3" s="138"/>
      <c r="Q3" s="138"/>
    </row>
    <row r="4" spans="6:8" ht="12.75">
      <c r="F4" s="353"/>
      <c r="H4" s="598"/>
    </row>
    <row r="6" ht="15.75">
      <c r="A6" s="611"/>
    </row>
    <row r="7" spans="1:25" s="435" customFormat="1" ht="15.75">
      <c r="A7" s="611"/>
      <c r="G7" s="117"/>
      <c r="J7" s="117"/>
      <c r="K7" s="117"/>
      <c r="L7" s="117"/>
      <c r="M7" s="117"/>
      <c r="N7" s="117"/>
      <c r="O7" s="117"/>
      <c r="P7" s="117"/>
      <c r="Q7" s="117"/>
      <c r="X7" s="361"/>
      <c r="Y7" s="361"/>
    </row>
    <row r="8" spans="1:25" s="435" customFormat="1" ht="15.75">
      <c r="A8" s="611"/>
      <c r="G8" s="117"/>
      <c r="J8" s="117"/>
      <c r="K8" s="117"/>
      <c r="L8" s="117"/>
      <c r="M8" s="117"/>
      <c r="N8" s="117"/>
      <c r="O8" s="117"/>
      <c r="P8" s="117"/>
      <c r="Q8" s="117"/>
      <c r="X8" s="361"/>
      <c r="Y8" s="361"/>
    </row>
    <row r="9" spans="4:17" ht="12.75">
      <c r="D9" s="214"/>
      <c r="E9" s="214"/>
      <c r="F9" s="214"/>
      <c r="G9" s="598" t="s">
        <v>823</v>
      </c>
      <c r="H9" s="585"/>
      <c r="I9" s="214"/>
      <c r="J9" s="353" t="s">
        <v>323</v>
      </c>
      <c r="K9" s="523" t="s">
        <v>938</v>
      </c>
      <c r="L9" s="554" t="s">
        <v>579</v>
      </c>
      <c r="M9" s="353" t="s">
        <v>288</v>
      </c>
      <c r="N9" s="353" t="s">
        <v>288</v>
      </c>
      <c r="O9" s="523" t="s">
        <v>559</v>
      </c>
      <c r="P9" s="523" t="s">
        <v>553</v>
      </c>
      <c r="Q9" s="379" t="s">
        <v>464</v>
      </c>
    </row>
    <row r="10" spans="4:24" ht="12.75">
      <c r="D10" s="214" t="s">
        <v>229</v>
      </c>
      <c r="E10" s="214" t="s">
        <v>284</v>
      </c>
      <c r="F10" s="214" t="s">
        <v>324</v>
      </c>
      <c r="G10" s="598" t="s">
        <v>275</v>
      </c>
      <c r="H10" s="585" t="s">
        <v>769</v>
      </c>
      <c r="I10" s="214"/>
      <c r="J10" s="353" t="s">
        <v>325</v>
      </c>
      <c r="K10" s="523" t="s">
        <v>939</v>
      </c>
      <c r="L10" s="554" t="s">
        <v>937</v>
      </c>
      <c r="M10" s="353" t="s">
        <v>326</v>
      </c>
      <c r="N10" s="353" t="s">
        <v>229</v>
      </c>
      <c r="O10" s="523" t="s">
        <v>560</v>
      </c>
      <c r="P10" s="523" t="s">
        <v>554</v>
      </c>
      <c r="Q10" s="379" t="s">
        <v>465</v>
      </c>
      <c r="X10" s="364"/>
    </row>
    <row r="11" spans="1:24" ht="12.75">
      <c r="A11" s="780" t="s">
        <v>444</v>
      </c>
      <c r="B11" s="780"/>
      <c r="C11" s="780"/>
      <c r="D11" s="356" t="s">
        <v>327</v>
      </c>
      <c r="E11" s="356" t="s">
        <v>328</v>
      </c>
      <c r="F11" s="356" t="s">
        <v>329</v>
      </c>
      <c r="G11" s="139" t="s">
        <v>768</v>
      </c>
      <c r="H11" s="356" t="s">
        <v>329</v>
      </c>
      <c r="I11" s="356"/>
      <c r="J11" s="139" t="s">
        <v>561</v>
      </c>
      <c r="K11" s="139" t="s">
        <v>292</v>
      </c>
      <c r="L11" s="139" t="s">
        <v>413</v>
      </c>
      <c r="M11" s="139" t="s">
        <v>275</v>
      </c>
      <c r="N11" s="139" t="s">
        <v>275</v>
      </c>
      <c r="O11" s="139" t="s">
        <v>413</v>
      </c>
      <c r="P11" s="139" t="s">
        <v>292</v>
      </c>
      <c r="Q11" s="139" t="s">
        <v>469</v>
      </c>
      <c r="R11" s="311" t="s">
        <v>427</v>
      </c>
      <c r="S11" s="311"/>
      <c r="T11" s="214"/>
      <c r="U11" s="214" t="s">
        <v>284</v>
      </c>
      <c r="V11" s="214" t="s">
        <v>286</v>
      </c>
      <c r="W11" s="214" t="s">
        <v>288</v>
      </c>
      <c r="X11" s="364"/>
    </row>
    <row r="12" spans="2:24" ht="12.75">
      <c r="B12" s="214" t="s">
        <v>293</v>
      </c>
      <c r="D12" s="214" t="s">
        <v>294</v>
      </c>
      <c r="E12" s="214" t="s">
        <v>295</v>
      </c>
      <c r="F12" s="214" t="s">
        <v>296</v>
      </c>
      <c r="G12" s="598" t="s">
        <v>297</v>
      </c>
      <c r="H12" s="585" t="s">
        <v>297</v>
      </c>
      <c r="I12" s="214"/>
      <c r="J12" s="353" t="s">
        <v>297</v>
      </c>
      <c r="K12" s="523" t="s">
        <v>298</v>
      </c>
      <c r="L12" s="523" t="s">
        <v>299</v>
      </c>
      <c r="M12" s="598" t="s">
        <v>319</v>
      </c>
      <c r="N12" s="598" t="s">
        <v>320</v>
      </c>
      <c r="O12" s="379" t="s">
        <v>319</v>
      </c>
      <c r="P12" s="523" t="s">
        <v>320</v>
      </c>
      <c r="Q12" s="523" t="s">
        <v>380</v>
      </c>
      <c r="R12" s="214" t="s">
        <v>283</v>
      </c>
      <c r="S12" s="214" t="s">
        <v>426</v>
      </c>
      <c r="T12" s="214"/>
      <c r="U12" s="214" t="s">
        <v>426</v>
      </c>
      <c r="V12" s="214" t="s">
        <v>283</v>
      </c>
      <c r="W12" s="214" t="s">
        <v>426</v>
      </c>
      <c r="X12" s="364"/>
    </row>
    <row r="13" spans="1:21" ht="12.75">
      <c r="A13" s="206" t="s">
        <v>330</v>
      </c>
      <c r="U13" s="406"/>
    </row>
    <row r="14" spans="1:25" ht="12.75">
      <c r="A14" s="44" t="s">
        <v>266</v>
      </c>
      <c r="D14" s="212">
        <f>'Rate Design'!D4</f>
        <v>9</v>
      </c>
      <c r="E14" s="211">
        <f>F14-D14</f>
        <v>0</v>
      </c>
      <c r="F14" s="212">
        <f>'Rate Design'!D14</f>
        <v>9</v>
      </c>
      <c r="G14" s="207"/>
      <c r="H14" s="212"/>
      <c r="J14" s="207">
        <f>IF(ROUND(M14-F14,5)&lt;&gt;ROUND(N14-D14,5),#VALUE!,N14-D14)</f>
        <v>0</v>
      </c>
      <c r="K14" s="207"/>
      <c r="L14" s="207"/>
      <c r="M14" s="207">
        <f>'Rate Design'!D36</f>
        <v>9</v>
      </c>
      <c r="N14" s="207">
        <f>'Rate Design'!D26</f>
        <v>9</v>
      </c>
      <c r="O14" s="207"/>
      <c r="P14" s="207"/>
      <c r="Q14" s="207">
        <f>N14</f>
        <v>9</v>
      </c>
      <c r="R14" s="357">
        <f>J14/D14</f>
        <v>0</v>
      </c>
      <c r="S14" s="357">
        <f>J14/F14</f>
        <v>0</v>
      </c>
      <c r="T14" s="357"/>
      <c r="U14" s="407"/>
      <c r="V14" s="407"/>
      <c r="X14" s="445"/>
      <c r="Y14" s="445"/>
    </row>
    <row r="15" spans="1:25" ht="12.75">
      <c r="A15" s="44" t="s">
        <v>331</v>
      </c>
      <c r="U15" s="407"/>
      <c r="V15" s="407"/>
      <c r="X15" s="445"/>
      <c r="Y15" s="445"/>
    </row>
    <row r="16" spans="1:25" ht="12.75">
      <c r="A16" s="323" t="str">
        <f>"First "&amp;TEXT('Rate Design'!N5,"#,##0")&amp;" kWhs"</f>
        <v>First 800 kWhs</v>
      </c>
      <c r="D16" s="210">
        <f>'Rate Design'!D5/100</f>
        <v>0.08102999999999999</v>
      </c>
      <c r="E16" s="210">
        <f>F16-D16</f>
        <v>-0.0021499999999999853</v>
      </c>
      <c r="F16" s="210">
        <f>'Rate Design'!D15/100</f>
        <v>0.07888</v>
      </c>
      <c r="G16" s="404"/>
      <c r="H16" s="210">
        <f>F16+G16</f>
        <v>0.07888</v>
      </c>
      <c r="I16" s="210"/>
      <c r="J16" s="208">
        <f>N16-D16</f>
        <v>0</v>
      </c>
      <c r="K16" s="528">
        <v>0</v>
      </c>
      <c r="L16" s="208">
        <f>Open!G13</f>
        <v>0</v>
      </c>
      <c r="M16" s="208">
        <f>F16+J16+K16+L16</f>
        <v>0.07888</v>
      </c>
      <c r="N16" s="358">
        <f>'Rate Design'!D27/100</f>
        <v>0.08102999999999999</v>
      </c>
      <c r="O16" s="404" t="e">
        <f>#REF!</f>
        <v>#REF!</v>
      </c>
      <c r="P16" s="404">
        <f>0.00164+0.00083</f>
        <v>0.00247</v>
      </c>
      <c r="Q16" s="358" t="e">
        <f>M16+O16+P16</f>
        <v>#REF!</v>
      </c>
      <c r="R16" s="357">
        <f>J16/D16</f>
        <v>0</v>
      </c>
      <c r="S16" s="357">
        <f>J16/F16</f>
        <v>0</v>
      </c>
      <c r="U16" s="210">
        <f>D16+E16-F16</f>
        <v>0</v>
      </c>
      <c r="V16" s="210">
        <f>D16+J16-N16</f>
        <v>0</v>
      </c>
      <c r="W16" s="210">
        <f>F16+G16+J16+K16+L16-M16</f>
        <v>0</v>
      </c>
      <c r="X16" s="445"/>
      <c r="Y16" s="445"/>
    </row>
    <row r="17" spans="1:25" ht="12.75">
      <c r="A17" s="323" t="str">
        <f>TEXT('Rate Design'!N5,"#,##0")&amp;" - "&amp;TEXT('Rate Design'!N6,"#,##0")&amp;" kWhs"</f>
        <v>800 - 1,500 kWhs</v>
      </c>
      <c r="D17" s="210">
        <f>'Rate Design'!D6/100</f>
        <v>0.09426999999999999</v>
      </c>
      <c r="E17" s="210">
        <f>F17-D17</f>
        <v>-0.002149999999999999</v>
      </c>
      <c r="F17" s="210">
        <f>'Rate Design'!D16/100</f>
        <v>0.09212</v>
      </c>
      <c r="G17" s="404"/>
      <c r="H17" s="210">
        <f>F17+G17</f>
        <v>0.09212</v>
      </c>
      <c r="I17" s="210"/>
      <c r="J17" s="208">
        <f>N17-D17</f>
        <v>0</v>
      </c>
      <c r="K17" s="528">
        <f>K16</f>
        <v>0</v>
      </c>
      <c r="L17" s="208">
        <f>L16</f>
        <v>0</v>
      </c>
      <c r="M17" s="208">
        <f aca="true" t="shared" si="0" ref="M17:M18">F17+J17+K17+L17</f>
        <v>0.09212</v>
      </c>
      <c r="N17" s="358">
        <f>'Rate Design'!D28/100</f>
        <v>0.09426999999999999</v>
      </c>
      <c r="O17" s="404" t="e">
        <f>O16</f>
        <v>#REF!</v>
      </c>
      <c r="P17" s="404">
        <f>P16</f>
        <v>0.00247</v>
      </c>
      <c r="Q17" s="358" t="e">
        <f>M17+O17</f>
        <v>#REF!</v>
      </c>
      <c r="R17" s="357">
        <f>J17/D17</f>
        <v>0</v>
      </c>
      <c r="S17" s="357">
        <f>J17/F17</f>
        <v>0</v>
      </c>
      <c r="U17" s="210">
        <f>D17+E17-F17</f>
        <v>0</v>
      </c>
      <c r="V17" s="210">
        <f>D17+J17-N17</f>
        <v>0</v>
      </c>
      <c r="W17" s="210">
        <f>F17+G17+J17+K17+L17-M17</f>
        <v>0</v>
      </c>
      <c r="X17" s="445"/>
      <c r="Y17" s="445"/>
    </row>
    <row r="18" spans="1:25" ht="12.75">
      <c r="A18" s="323" t="str">
        <f>"All over "&amp;TEXT('Rate Design'!N6,"#,##0")&amp;" kWhs"</f>
        <v>All over 1,500 kWhs</v>
      </c>
      <c r="D18" s="210">
        <f>'Rate Design'!D7/100</f>
        <v>0.11053</v>
      </c>
      <c r="E18" s="210">
        <f>F18-D18</f>
        <v>-0.002149999999999999</v>
      </c>
      <c r="F18" s="210">
        <f>'Rate Design'!D17/100</f>
        <v>0.10838</v>
      </c>
      <c r="G18" s="404"/>
      <c r="H18" s="210">
        <f>F18+G18</f>
        <v>0.10838</v>
      </c>
      <c r="I18" s="210"/>
      <c r="J18" s="208">
        <f>N18-D18</f>
        <v>0</v>
      </c>
      <c r="K18" s="528">
        <f>K16</f>
        <v>0</v>
      </c>
      <c r="L18" s="208">
        <f>L16</f>
        <v>0</v>
      </c>
      <c r="M18" s="208">
        <f t="shared" si="0"/>
        <v>0.10838</v>
      </c>
      <c r="N18" s="358">
        <f>'Rate Design'!D29/100</f>
        <v>0.11053</v>
      </c>
      <c r="O18" s="404" t="e">
        <f>O16</f>
        <v>#REF!</v>
      </c>
      <c r="P18" s="404">
        <f>P16</f>
        <v>0.00247</v>
      </c>
      <c r="Q18" s="358" t="e">
        <f>M18+O18</f>
        <v>#REF!</v>
      </c>
      <c r="R18" s="357">
        <f>J18/D18</f>
        <v>0</v>
      </c>
      <c r="S18" s="357">
        <f>J18/F18</f>
        <v>0</v>
      </c>
      <c r="U18" s="210">
        <f>D18+E18-F18</f>
        <v>0</v>
      </c>
      <c r="V18" s="210">
        <f>D18+J18-N18</f>
        <v>0</v>
      </c>
      <c r="W18" s="210">
        <f>F18+G18+J18+K18+L18-M18</f>
        <v>0</v>
      </c>
      <c r="X18" s="445"/>
      <c r="Y18" s="445"/>
    </row>
    <row r="19" spans="4:25" ht="12.75">
      <c r="D19" s="210"/>
      <c r="E19" s="210"/>
      <c r="F19" s="210"/>
      <c r="G19" s="208"/>
      <c r="H19" s="210"/>
      <c r="I19" s="210"/>
      <c r="J19" s="208"/>
      <c r="K19" s="208"/>
      <c r="L19" s="208"/>
      <c r="M19" s="208"/>
      <c r="U19" s="210"/>
      <c r="V19" s="210"/>
      <c r="W19" s="210"/>
      <c r="X19" s="445"/>
      <c r="Y19" s="445"/>
    </row>
    <row r="20" spans="1:25" ht="12.75">
      <c r="A20" s="206" t="s">
        <v>332</v>
      </c>
      <c r="K20" s="208"/>
      <c r="U20" s="210"/>
      <c r="V20" s="210"/>
      <c r="W20" s="210"/>
      <c r="X20" s="445"/>
      <c r="Y20" s="445"/>
    </row>
    <row r="21" spans="1:25" ht="12.75">
      <c r="A21" s="44" t="s">
        <v>266</v>
      </c>
      <c r="D21" s="212">
        <f>'Rate Design'!E4</f>
        <v>20</v>
      </c>
      <c r="E21" s="211">
        <f>F21-D21</f>
        <v>0</v>
      </c>
      <c r="F21" s="212">
        <f>'Rate Design'!E14</f>
        <v>20</v>
      </c>
      <c r="G21" s="207"/>
      <c r="H21" s="212"/>
      <c r="J21" s="207">
        <f>IF(ROUND(M21-F21,5)&lt;&gt;ROUND(N21-D21,5),#VALUE!,N21-D21)</f>
        <v>0</v>
      </c>
      <c r="K21" s="208"/>
      <c r="L21" s="207"/>
      <c r="M21" s="207">
        <f>'Rate Design'!E36</f>
        <v>20</v>
      </c>
      <c r="N21" s="207">
        <f>'Rate Design'!E26</f>
        <v>20</v>
      </c>
      <c r="O21" s="207"/>
      <c r="P21" s="207"/>
      <c r="Q21" s="207">
        <f>N21</f>
        <v>20</v>
      </c>
      <c r="R21" s="357">
        <f>J21/D21</f>
        <v>0</v>
      </c>
      <c r="S21" s="357">
        <f>J21/F21</f>
        <v>0</v>
      </c>
      <c r="U21" s="210"/>
      <c r="V21" s="210"/>
      <c r="W21" s="210"/>
      <c r="X21" s="445"/>
      <c r="Y21" s="445"/>
    </row>
    <row r="22" spans="1:25" ht="12.75">
      <c r="A22" s="44" t="s">
        <v>331</v>
      </c>
      <c r="K22" s="208"/>
      <c r="U22" s="210"/>
      <c r="V22" s="210"/>
      <c r="W22" s="210"/>
      <c r="X22" s="445"/>
      <c r="Y22" s="445"/>
    </row>
    <row r="23" spans="1:25" ht="12.75">
      <c r="A23" s="323" t="str">
        <f>"First "&amp;TEXT('Rate Design'!O5,"#,##0")&amp;" kWhs"</f>
        <v>First 3,650 kWhs</v>
      </c>
      <c r="D23" s="210">
        <f>'Rate Design'!E5/100</f>
        <v>0.11686</v>
      </c>
      <c r="E23" s="210">
        <f>F23-D23</f>
        <v>0.004179999999999989</v>
      </c>
      <c r="F23" s="210">
        <f>'Rate Design'!E15/100</f>
        <v>0.12104</v>
      </c>
      <c r="G23" s="208"/>
      <c r="H23" s="210">
        <f>F23+G23</f>
        <v>0.12104</v>
      </c>
      <c r="I23" s="210"/>
      <c r="J23" s="208">
        <f>N23-D23</f>
        <v>0</v>
      </c>
      <c r="K23" s="208">
        <v>0</v>
      </c>
      <c r="L23" s="208">
        <f>Open!G15</f>
        <v>0</v>
      </c>
      <c r="M23" s="208">
        <f>F23+J23+K23+L23</f>
        <v>0.12104</v>
      </c>
      <c r="N23" s="358">
        <f>'Rate Design'!E27/100</f>
        <v>0.11686</v>
      </c>
      <c r="O23" s="358" t="e">
        <f>O16</f>
        <v>#REF!</v>
      </c>
      <c r="P23" s="358">
        <f>P16</f>
        <v>0.00247</v>
      </c>
      <c r="Q23" s="358" t="e">
        <f>M23+O23</f>
        <v>#REF!</v>
      </c>
      <c r="R23" s="357">
        <f>J23/D23</f>
        <v>0</v>
      </c>
      <c r="S23" s="357">
        <f>J23/F23</f>
        <v>0</v>
      </c>
      <c r="U23" s="210">
        <f>D23+E23-F23</f>
        <v>0</v>
      </c>
      <c r="V23" s="210">
        <f>D23+J23-N23</f>
        <v>0</v>
      </c>
      <c r="W23" s="210">
        <f>F23+G23+J23+K23+L23-M23</f>
        <v>0</v>
      </c>
      <c r="X23" s="445"/>
      <c r="Y23" s="445"/>
    </row>
    <row r="24" spans="1:25" ht="12.75">
      <c r="A24" s="323" t="str">
        <f>"All over "&amp;TEXT('Rate Design'!O5,"#,##0")&amp;" kWhs"</f>
        <v>All over 3,650 kWhs</v>
      </c>
      <c r="D24" s="210">
        <f>'Rate Design'!E6/100</f>
        <v>0.08588</v>
      </c>
      <c r="E24" s="210">
        <f>F24-D24</f>
        <v>0.004179999999999989</v>
      </c>
      <c r="F24" s="210">
        <f>'Rate Design'!E16/100</f>
        <v>0.09005999999999999</v>
      </c>
      <c r="G24" s="208"/>
      <c r="H24" s="210">
        <f>F24+G24</f>
        <v>0.09005999999999999</v>
      </c>
      <c r="I24" s="210"/>
      <c r="J24" s="208">
        <f>N24-D24</f>
        <v>0</v>
      </c>
      <c r="K24" s="208">
        <f>K23</f>
        <v>0</v>
      </c>
      <c r="L24" s="208">
        <f>L23</f>
        <v>0</v>
      </c>
      <c r="M24" s="208">
        <f>F24+J24+K24+L24</f>
        <v>0.09005999999999999</v>
      </c>
      <c r="N24" s="358">
        <f>'Rate Design'!E28/100</f>
        <v>0.08588</v>
      </c>
      <c r="O24" s="358" t="e">
        <f>O23</f>
        <v>#REF!</v>
      </c>
      <c r="P24" s="358">
        <f>P23</f>
        <v>0.00247</v>
      </c>
      <c r="Q24" s="358" t="e">
        <f>M24+O24</f>
        <v>#REF!</v>
      </c>
      <c r="R24" s="357">
        <f>J24/D24</f>
        <v>0</v>
      </c>
      <c r="S24" s="357">
        <f>J24/F24</f>
        <v>0</v>
      </c>
      <c r="U24" s="210">
        <f>D24+E24-F24</f>
        <v>0</v>
      </c>
      <c r="V24" s="210">
        <f>D24+J24-N24</f>
        <v>0</v>
      </c>
      <c r="W24" s="210">
        <f>F24+G24+J24+K24+L24-M24</f>
        <v>0</v>
      </c>
      <c r="X24" s="445"/>
      <c r="Y24" s="445"/>
    </row>
    <row r="25" spans="1:25" ht="12.75">
      <c r="A25" s="44" t="s">
        <v>333</v>
      </c>
      <c r="K25" s="208"/>
      <c r="U25" s="210"/>
      <c r="V25" s="210"/>
      <c r="W25" s="210"/>
      <c r="X25" s="445"/>
      <c r="Y25" s="445"/>
    </row>
    <row r="26" spans="1:25" ht="12.75">
      <c r="A26" s="323" t="str">
        <f>TEXT('Rate Design'!O10,"#,##0")&amp;" kW or less"</f>
        <v>20 kW or less</v>
      </c>
      <c r="D26" s="215" t="s">
        <v>334</v>
      </c>
      <c r="E26" s="214"/>
      <c r="F26" s="215" t="s">
        <v>334</v>
      </c>
      <c r="H26" s="215"/>
      <c r="J26" s="71" t="s">
        <v>334</v>
      </c>
      <c r="K26" s="525"/>
      <c r="N26" s="71" t="s">
        <v>334</v>
      </c>
      <c r="O26" s="71"/>
      <c r="P26" s="71"/>
      <c r="Q26" s="71" t="s">
        <v>334</v>
      </c>
      <c r="U26" s="210"/>
      <c r="V26" s="210"/>
      <c r="W26" s="210"/>
      <c r="X26" s="445"/>
      <c r="Y26" s="445"/>
    </row>
    <row r="27" spans="1:25" ht="12.75">
      <c r="A27" s="323" t="str">
        <f>"Over "&amp;TEXT('Rate Design'!O10,"#,##0")&amp;" kW"</f>
        <v>Over 20 kW</v>
      </c>
      <c r="D27" s="213">
        <f>'Rate Design'!E10</f>
        <v>7</v>
      </c>
      <c r="E27" s="213">
        <f>F27-D27</f>
        <v>0</v>
      </c>
      <c r="F27" s="213">
        <f>'Rate Design'!E20</f>
        <v>7</v>
      </c>
      <c r="G27" s="213"/>
      <c r="H27" s="213"/>
      <c r="J27" s="213">
        <f>IF(ROUND(M27-F27,5)&lt;&gt;ROUND(N27-D27,5),#VALUE!,N27-D27)</f>
        <v>0</v>
      </c>
      <c r="K27" s="527"/>
      <c r="L27" s="213"/>
      <c r="M27" s="213">
        <f>'Rate Design'!E42</f>
        <v>7</v>
      </c>
      <c r="N27" s="213">
        <f>'Rate Design'!E32</f>
        <v>7</v>
      </c>
      <c r="O27" s="213"/>
      <c r="P27" s="213"/>
      <c r="Q27" s="213">
        <f>'Rate Design'!E32</f>
        <v>7</v>
      </c>
      <c r="R27" s="357">
        <f>J27/D27</f>
        <v>0</v>
      </c>
      <c r="S27" s="357">
        <f>J27/F27</f>
        <v>0</v>
      </c>
      <c r="U27" s="210"/>
      <c r="V27" s="210"/>
      <c r="W27" s="210"/>
      <c r="X27" s="445"/>
      <c r="Y27" s="445"/>
    </row>
    <row r="28" spans="1:25" s="435" customFormat="1" ht="12.75">
      <c r="A28" s="435" t="s">
        <v>619</v>
      </c>
      <c r="D28" s="675" t="s">
        <v>620</v>
      </c>
      <c r="E28" s="213"/>
      <c r="F28" s="213"/>
      <c r="G28" s="213"/>
      <c r="H28" s="213"/>
      <c r="J28" s="607"/>
      <c r="K28" s="527"/>
      <c r="L28" s="213"/>
      <c r="M28" s="675" t="s">
        <v>620</v>
      </c>
      <c r="N28" s="213"/>
      <c r="O28" s="213"/>
      <c r="P28" s="213"/>
      <c r="Q28" s="213"/>
      <c r="R28" s="357"/>
      <c r="S28" s="357"/>
      <c r="U28" s="210"/>
      <c r="V28" s="210"/>
      <c r="W28" s="210"/>
      <c r="X28" s="445"/>
      <c r="Y28" s="445"/>
    </row>
    <row r="29" spans="4:25" ht="12.75">
      <c r="D29" s="675" t="s">
        <v>621</v>
      </c>
      <c r="K29" s="208"/>
      <c r="M29" s="675" t="s">
        <v>621</v>
      </c>
      <c r="U29" s="210"/>
      <c r="V29" s="210"/>
      <c r="W29" s="210"/>
      <c r="X29" s="445"/>
      <c r="Y29" s="445"/>
    </row>
    <row r="30" spans="4:25" s="435" customFormat="1" ht="12.75">
      <c r="D30" s="608"/>
      <c r="G30" s="117"/>
      <c r="J30" s="117"/>
      <c r="K30" s="208"/>
      <c r="L30" s="117"/>
      <c r="M30" s="608"/>
      <c r="N30" s="117"/>
      <c r="O30" s="117"/>
      <c r="P30" s="117"/>
      <c r="Q30" s="117"/>
      <c r="U30" s="210"/>
      <c r="V30" s="210"/>
      <c r="W30" s="210"/>
      <c r="X30" s="445"/>
      <c r="Y30" s="445"/>
    </row>
    <row r="31" spans="1:25" ht="12.75">
      <c r="A31" s="206" t="s">
        <v>335</v>
      </c>
      <c r="K31" s="208"/>
      <c r="U31" s="210"/>
      <c r="V31" s="210"/>
      <c r="W31" s="210"/>
      <c r="X31" s="445"/>
      <c r="Y31" s="445"/>
    </row>
    <row r="32" spans="1:25" ht="12.75">
      <c r="A32" s="44" t="s">
        <v>331</v>
      </c>
      <c r="K32" s="208"/>
      <c r="U32" s="210"/>
      <c r="V32" s="210"/>
      <c r="W32" s="210"/>
      <c r="X32" s="445"/>
      <c r="Y32" s="445"/>
    </row>
    <row r="33" spans="1:25" ht="12.75">
      <c r="A33" s="323" t="str">
        <f>"First "&amp;TEXT('Rate Design'!P5,"#,##0")&amp;" kWhs"</f>
        <v>First 250,000 kWhs</v>
      </c>
      <c r="D33" s="210">
        <f>'Rate Design'!F5/100</f>
        <v>0.07535</v>
      </c>
      <c r="E33" s="210">
        <f>F33-D33</f>
        <v>0.0029000000000000137</v>
      </c>
      <c r="F33" s="210">
        <f>'Rate Design'!F15/100</f>
        <v>0.07825000000000001</v>
      </c>
      <c r="G33" s="208"/>
      <c r="H33" s="210">
        <f>F33+G33</f>
        <v>0.07825000000000001</v>
      </c>
      <c r="I33" s="210"/>
      <c r="J33" s="208">
        <f>N33-D33</f>
        <v>0</v>
      </c>
      <c r="K33" s="208">
        <v>0</v>
      </c>
      <c r="L33" s="208">
        <f>Open!G17</f>
        <v>0</v>
      </c>
      <c r="M33" s="208">
        <f>F33+J33+K33+L33</f>
        <v>0.07825000000000001</v>
      </c>
      <c r="N33" s="358">
        <f>'Rate Design'!F27/100</f>
        <v>0.07535</v>
      </c>
      <c r="O33" s="358" t="e">
        <f>O16</f>
        <v>#REF!</v>
      </c>
      <c r="P33" s="358">
        <f>P16</f>
        <v>0.00247</v>
      </c>
      <c r="Q33" s="358" t="e">
        <f>M33+O33</f>
        <v>#REF!</v>
      </c>
      <c r="R33" s="357">
        <f>J33/D33</f>
        <v>0</v>
      </c>
      <c r="S33" s="357">
        <f>J33/F33</f>
        <v>0</v>
      </c>
      <c r="U33" s="210">
        <f>D33+E33-F33</f>
        <v>0</v>
      </c>
      <c r="V33" s="210">
        <f>D33+J33-N33</f>
        <v>0</v>
      </c>
      <c r="W33" s="210">
        <f>F33+G33+J33+K33+L33-M33</f>
        <v>0</v>
      </c>
      <c r="X33" s="445"/>
      <c r="Y33" s="445"/>
    </row>
    <row r="34" spans="1:25" ht="12.75">
      <c r="A34" s="323" t="str">
        <f>"All over "&amp;TEXT('Rate Design'!P5,"#,##0")&amp;" kWhs"</f>
        <v>All over 250,000 kWhs</v>
      </c>
      <c r="D34" s="210">
        <f>'Rate Design'!F6/100</f>
        <v>0.06742</v>
      </c>
      <c r="E34" s="210">
        <f>F34-D34</f>
        <v>0.0029000000000000137</v>
      </c>
      <c r="F34" s="210">
        <f>'Rate Design'!F16/100</f>
        <v>0.07032000000000001</v>
      </c>
      <c r="G34" s="208"/>
      <c r="H34" s="210">
        <f>F34+G34</f>
        <v>0.07032000000000001</v>
      </c>
      <c r="I34" s="210"/>
      <c r="J34" s="208">
        <f>N34-D34</f>
        <v>0</v>
      </c>
      <c r="K34" s="208">
        <f>K33</f>
        <v>0</v>
      </c>
      <c r="L34" s="208">
        <f>L33</f>
        <v>0</v>
      </c>
      <c r="M34" s="208">
        <f>F34+J34+K34+L34</f>
        <v>0.07032000000000001</v>
      </c>
      <c r="N34" s="358">
        <f>'Rate Design'!F28/100</f>
        <v>0.06742</v>
      </c>
      <c r="O34" s="358" t="e">
        <f>O33</f>
        <v>#REF!</v>
      </c>
      <c r="P34" s="358">
        <f>P33</f>
        <v>0.00247</v>
      </c>
      <c r="Q34" s="358" t="e">
        <f>M34+O34</f>
        <v>#REF!</v>
      </c>
      <c r="R34" s="357">
        <f>J34/D34</f>
        <v>0</v>
      </c>
      <c r="S34" s="357">
        <f>J34/F34</f>
        <v>0</v>
      </c>
      <c r="U34" s="210">
        <f>D34+E34-F34</f>
        <v>0</v>
      </c>
      <c r="V34" s="210">
        <f>D34+J34-N34</f>
        <v>0</v>
      </c>
      <c r="W34" s="210">
        <f>F34+G34+J34+K34+L34-M34</f>
        <v>0</v>
      </c>
      <c r="X34" s="445"/>
      <c r="Y34" s="445"/>
    </row>
    <row r="35" spans="1:25" ht="12.75">
      <c r="A35" s="44" t="s">
        <v>333</v>
      </c>
      <c r="K35" s="208"/>
      <c r="U35" s="210"/>
      <c r="V35" s="210"/>
      <c r="W35" s="210"/>
      <c r="X35" s="445"/>
      <c r="Y35" s="445"/>
    </row>
    <row r="36" spans="1:25" ht="12.75">
      <c r="A36" s="323" t="str">
        <f>TEXT('Rate Design'!P10,"#,##0")&amp;" kW or less"</f>
        <v>50 kW or less</v>
      </c>
      <c r="D36" s="212">
        <f>'Rate Design'!F9</f>
        <v>550</v>
      </c>
      <c r="E36" s="211">
        <f>F36-D36</f>
        <v>0</v>
      </c>
      <c r="F36" s="212">
        <f>'Rate Design'!F19</f>
        <v>550</v>
      </c>
      <c r="G36" s="207"/>
      <c r="H36" s="212"/>
      <c r="J36" s="207">
        <f>IF(ROUND(M36-F36,5)&lt;&gt;ROUND(N36-D36,5),#VALUE!,N36-D36)</f>
        <v>0</v>
      </c>
      <c r="K36" s="208"/>
      <c r="L36" s="207"/>
      <c r="M36" s="207">
        <f>'Rate Design'!F41</f>
        <v>550</v>
      </c>
      <c r="N36" s="207">
        <f>'Rate Design'!F31</f>
        <v>550</v>
      </c>
      <c r="O36" s="207"/>
      <c r="P36" s="207"/>
      <c r="Q36" s="207">
        <f>N36</f>
        <v>550</v>
      </c>
      <c r="R36" s="357">
        <f>J36/D36</f>
        <v>0</v>
      </c>
      <c r="S36" s="357">
        <f>J36/F36</f>
        <v>0</v>
      </c>
      <c r="U36" s="210"/>
      <c r="V36" s="210"/>
      <c r="W36" s="210"/>
      <c r="X36" s="445"/>
      <c r="Y36" s="445"/>
    </row>
    <row r="37" spans="1:25" ht="12.75">
      <c r="A37" s="323" t="str">
        <f>"Over "&amp;TEXT('Rate Design'!P10,"#,##0")&amp;" kW"</f>
        <v>Over 50 kW</v>
      </c>
      <c r="D37" s="213">
        <f>'Rate Design'!F10</f>
        <v>7</v>
      </c>
      <c r="E37" s="213">
        <f>F37-D37</f>
        <v>0</v>
      </c>
      <c r="F37" s="213">
        <f>'Rate Design'!F20</f>
        <v>7</v>
      </c>
      <c r="G37" s="213"/>
      <c r="H37" s="213"/>
      <c r="J37" s="213">
        <f>IF(ROUND(M37-F37,5)&lt;&gt;ROUND(N37-D37,5),#VALUE!,N37-D37)</f>
        <v>0</v>
      </c>
      <c r="K37" s="527"/>
      <c r="L37" s="213"/>
      <c r="M37" s="213">
        <f>'Rate Design'!F42</f>
        <v>7</v>
      </c>
      <c r="N37" s="213">
        <f>'Rate Design'!F32</f>
        <v>7</v>
      </c>
      <c r="O37" s="213"/>
      <c r="P37" s="213"/>
      <c r="Q37" s="213">
        <f>'Rate Design'!F32</f>
        <v>7</v>
      </c>
      <c r="R37" s="357">
        <f>J37/D37</f>
        <v>0</v>
      </c>
      <c r="S37" s="357">
        <f>J37/F37</f>
        <v>0</v>
      </c>
      <c r="U37" s="210"/>
      <c r="V37" s="210"/>
      <c r="W37" s="210"/>
      <c r="X37" s="445"/>
      <c r="Y37" s="445"/>
    </row>
    <row r="38" spans="1:25" ht="12.75">
      <c r="A38" s="44" t="s">
        <v>97</v>
      </c>
      <c r="D38" s="213">
        <v>0.2</v>
      </c>
      <c r="E38" s="213">
        <f>F38-D38</f>
        <v>0</v>
      </c>
      <c r="F38" s="213">
        <v>0.2</v>
      </c>
      <c r="G38" s="213"/>
      <c r="H38" s="213"/>
      <c r="J38" s="213">
        <f>IF(ROUND(M38-F38,5)&lt;&gt;ROUND(N38-D38,5),#VALUE!,N38-D38)</f>
        <v>0</v>
      </c>
      <c r="K38" s="527"/>
      <c r="L38" s="213"/>
      <c r="M38" s="213">
        <v>0.2</v>
      </c>
      <c r="N38" s="213">
        <v>0.2</v>
      </c>
      <c r="O38" s="213"/>
      <c r="P38" s="213"/>
      <c r="Q38" s="213">
        <v>0.2</v>
      </c>
      <c r="R38" s="357">
        <f>J38/D38</f>
        <v>0</v>
      </c>
      <c r="S38" s="357">
        <f>J38/F38</f>
        <v>0</v>
      </c>
      <c r="U38" s="210"/>
      <c r="V38" s="210"/>
      <c r="W38" s="210"/>
      <c r="X38" s="445"/>
      <c r="Y38" s="445"/>
    </row>
    <row r="39" spans="4:25" ht="12.75">
      <c r="D39" s="215"/>
      <c r="E39" s="214"/>
      <c r="F39" s="215"/>
      <c r="G39" s="71"/>
      <c r="H39" s="215"/>
      <c r="J39" s="353"/>
      <c r="K39" s="208"/>
      <c r="L39" s="71"/>
      <c r="M39" s="71"/>
      <c r="U39" s="210"/>
      <c r="V39" s="210"/>
      <c r="W39" s="210"/>
      <c r="X39" s="445"/>
      <c r="Y39" s="445"/>
    </row>
    <row r="40" spans="1:25" ht="12.75">
      <c r="A40" s="206" t="s">
        <v>336</v>
      </c>
      <c r="K40" s="208"/>
      <c r="U40" s="210"/>
      <c r="V40" s="210"/>
      <c r="W40" s="210"/>
      <c r="X40" s="445"/>
      <c r="Y40" s="445"/>
    </row>
    <row r="41" spans="1:25" ht="12.75">
      <c r="A41" s="44" t="s">
        <v>331</v>
      </c>
      <c r="K41" s="208"/>
      <c r="U41" s="210"/>
      <c r="V41" s="210"/>
      <c r="W41" s="210"/>
      <c r="X41" s="445"/>
      <c r="Y41" s="445"/>
    </row>
    <row r="42" spans="1:25" ht="12.75">
      <c r="A42" s="323" t="str">
        <f>"First "&amp;TEXT('Rate Design'!Q5,"#,##0")&amp;" kWhs"</f>
        <v>First 500,000 kWhs</v>
      </c>
      <c r="D42" s="210">
        <f>'Rate Design'!G5/100</f>
        <v>0.05505</v>
      </c>
      <c r="E42" s="210">
        <f>F42-D42</f>
        <v>-0.0018900000000000028</v>
      </c>
      <c r="F42" s="210">
        <f>'Rate Design'!G15/100</f>
        <v>0.05316</v>
      </c>
      <c r="G42" s="208"/>
      <c r="H42" s="210">
        <f>F42+G42</f>
        <v>0.05316</v>
      </c>
      <c r="I42" s="210"/>
      <c r="J42" s="208">
        <f>N42-D42</f>
        <v>0</v>
      </c>
      <c r="K42" s="208">
        <v>0</v>
      </c>
      <c r="L42" s="208">
        <f>Open!G19</f>
        <v>0</v>
      </c>
      <c r="M42" s="208">
        <f>F42+J42+K42+L42</f>
        <v>0.05316</v>
      </c>
      <c r="N42" s="358">
        <f>'Rate Design'!G27/100</f>
        <v>0.05505</v>
      </c>
      <c r="O42" s="358" t="e">
        <f>O16</f>
        <v>#REF!</v>
      </c>
      <c r="P42" s="358">
        <f>P16</f>
        <v>0.00247</v>
      </c>
      <c r="Q42" s="358" t="e">
        <f>M42+O42</f>
        <v>#REF!</v>
      </c>
      <c r="R42" s="357">
        <f>J42/D42</f>
        <v>0</v>
      </c>
      <c r="S42" s="357">
        <f>J42/F42</f>
        <v>0</v>
      </c>
      <c r="U42" s="210">
        <f>D42+E42-F42</f>
        <v>0</v>
      </c>
      <c r="V42" s="210">
        <f>D42+J42-N42</f>
        <v>0</v>
      </c>
      <c r="W42" s="210">
        <f>F42+G42+J42+K42+L42-M42</f>
        <v>0</v>
      </c>
      <c r="X42" s="445"/>
      <c r="Y42" s="445"/>
    </row>
    <row r="43" spans="1:25" ht="12.75">
      <c r="A43" s="323" t="str">
        <f>TEXT('Rate Design'!Q27,"#,##0")&amp;" - "&amp;TEXT('Rate Design'!Q28,"#,##0")&amp;" kWhs"</f>
        <v>500,000 - 6,000,000 kWhs</v>
      </c>
      <c r="D43" s="210">
        <f>'Rate Design'!G6/100</f>
        <v>0.049530000000000005</v>
      </c>
      <c r="E43" s="210">
        <f>F43-D43</f>
        <v>-0.0018900000000000028</v>
      </c>
      <c r="F43" s="210">
        <f>'Rate Design'!G16/100</f>
        <v>0.04764</v>
      </c>
      <c r="G43" s="208"/>
      <c r="H43" s="210">
        <f>F43+G43</f>
        <v>0.04764</v>
      </c>
      <c r="I43" s="210"/>
      <c r="J43" s="208">
        <f>N43-D43</f>
        <v>0</v>
      </c>
      <c r="K43" s="208">
        <f>K42</f>
        <v>0</v>
      </c>
      <c r="L43" s="208">
        <f>L42</f>
        <v>0</v>
      </c>
      <c r="M43" s="208">
        <f aca="true" t="shared" si="1" ref="M43:M44">F43+J43+K43+L43</f>
        <v>0.04764</v>
      </c>
      <c r="N43" s="358">
        <f>'Rate Design'!G28/100</f>
        <v>0.049530000000000005</v>
      </c>
      <c r="O43" s="358" t="e">
        <f>O42</f>
        <v>#REF!</v>
      </c>
      <c r="P43" s="358">
        <f>P42</f>
        <v>0.00247</v>
      </c>
      <c r="Q43" s="358" t="e">
        <f>M43+O43</f>
        <v>#REF!</v>
      </c>
      <c r="R43" s="357">
        <f>J43/D43</f>
        <v>0</v>
      </c>
      <c r="S43" s="357">
        <f>J43/F43</f>
        <v>0</v>
      </c>
      <c r="U43" s="210">
        <f>D43+E43-F43</f>
        <v>0</v>
      </c>
      <c r="V43" s="210">
        <f>D43+J43-N43</f>
        <v>0</v>
      </c>
      <c r="W43" s="210">
        <f>F43+G43+J43+K43+L43-M43</f>
        <v>0</v>
      </c>
      <c r="X43" s="445"/>
      <c r="Y43" s="445"/>
    </row>
    <row r="44" spans="1:25" ht="12.75">
      <c r="A44" s="323" t="str">
        <f>"All over "&amp;TEXT('Rate Design'!Q28,"#,##0")&amp;" kWhs"</f>
        <v>All over 6,000,000 kWhs</v>
      </c>
      <c r="D44" s="210">
        <f>'Rate Design'!G7/100</f>
        <v>0.042350000000000006</v>
      </c>
      <c r="E44" s="210">
        <f>F44-D44</f>
        <v>-0.0027399999999999994</v>
      </c>
      <c r="F44" s="210">
        <f>'Rate Design'!G17/100</f>
        <v>0.039610000000000006</v>
      </c>
      <c r="G44" s="208"/>
      <c r="H44" s="210">
        <f>F44+G44</f>
        <v>0.039610000000000006</v>
      </c>
      <c r="I44" s="210"/>
      <c r="J44" s="208">
        <f>N44-D44</f>
        <v>0</v>
      </c>
      <c r="K44" s="208"/>
      <c r="L44" s="208">
        <f>L43</f>
        <v>0</v>
      </c>
      <c r="M44" s="208">
        <f t="shared" si="1"/>
        <v>0.039610000000000006</v>
      </c>
      <c r="N44" s="358">
        <f>'Rate Design'!G29/100</f>
        <v>0.042350000000000006</v>
      </c>
      <c r="O44" s="358" t="e">
        <f>O42</f>
        <v>#REF!</v>
      </c>
      <c r="P44" s="358">
        <f>P42</f>
        <v>0.00247</v>
      </c>
      <c r="Q44" s="358" t="e">
        <f>M44+O44</f>
        <v>#REF!</v>
      </c>
      <c r="R44" s="357">
        <f>J44/D44</f>
        <v>0</v>
      </c>
      <c r="S44" s="357">
        <f>J44/F44</f>
        <v>0</v>
      </c>
      <c r="U44" s="210">
        <f>D44+E44-F44</f>
        <v>0</v>
      </c>
      <c r="V44" s="210">
        <f>D44+J44-N44</f>
        <v>0</v>
      </c>
      <c r="W44" s="210">
        <f>F44+G44+J44+K44+L44-M44</f>
        <v>0</v>
      </c>
      <c r="X44" s="445"/>
      <c r="Y44" s="445"/>
    </row>
    <row r="45" spans="1:25" ht="12.75">
      <c r="A45" s="44" t="s">
        <v>333</v>
      </c>
      <c r="K45" s="208"/>
      <c r="U45" s="210"/>
      <c r="V45" s="210"/>
      <c r="W45" s="210"/>
      <c r="X45" s="445"/>
      <c r="Y45" s="445"/>
    </row>
    <row r="46" spans="1:25" ht="12.75">
      <c r="A46" s="323" t="str">
        <f>TEXT('Rate Design'!Q10,"#,##0")&amp;" kva or less"</f>
        <v>3,000 kva or less</v>
      </c>
      <c r="D46" s="216">
        <f>'Rate Design'!G9</f>
        <v>30650</v>
      </c>
      <c r="E46" s="216">
        <f>F46-D46</f>
        <v>0</v>
      </c>
      <c r="F46" s="216">
        <f>'Rate Design'!G19</f>
        <v>30650</v>
      </c>
      <c r="G46" s="217"/>
      <c r="H46" s="216"/>
      <c r="I46" s="216"/>
      <c r="J46" s="217">
        <f>IF(ROUND(M46-F46,5)&lt;&gt;ROUND(N46-D46,5),#VALUE!,N46-D46)</f>
        <v>0</v>
      </c>
      <c r="K46" s="208"/>
      <c r="L46" s="217"/>
      <c r="M46" s="217">
        <f>'Rate Design'!G41</f>
        <v>30650</v>
      </c>
      <c r="N46" s="217">
        <f>'Rate Design'!G31</f>
        <v>30650</v>
      </c>
      <c r="O46" s="217"/>
      <c r="P46" s="217"/>
      <c r="Q46" s="217">
        <f>'Rate Design'!G31</f>
        <v>30650</v>
      </c>
      <c r="R46" s="357">
        <f>J46/D46</f>
        <v>0</v>
      </c>
      <c r="S46" s="357">
        <f>J46/F46</f>
        <v>0</v>
      </c>
      <c r="U46" s="210"/>
      <c r="V46" s="210"/>
      <c r="W46" s="210"/>
      <c r="X46" s="445"/>
      <c r="Y46" s="445"/>
    </row>
    <row r="47" spans="1:25" ht="12.75">
      <c r="A47" s="323" t="str">
        <f>"Over "&amp;TEXT('Rate Design'!Q10,"#,##0")&amp;" kva"</f>
        <v>Over 3,000 kva</v>
      </c>
      <c r="D47" s="218">
        <f>'Rate Design'!G10</f>
        <v>8.3</v>
      </c>
      <c r="E47" s="218">
        <f>F47-D47</f>
        <v>0</v>
      </c>
      <c r="F47" s="218">
        <f>'Rate Design'!G20</f>
        <v>8.3</v>
      </c>
      <c r="G47" s="218"/>
      <c r="H47" s="218"/>
      <c r="J47" s="218">
        <f>IF(ROUND(M47-F47,5)&lt;&gt;ROUND(N47-D47,5),#VALUE!,N47-D47)</f>
        <v>0</v>
      </c>
      <c r="K47" s="527"/>
      <c r="L47" s="218"/>
      <c r="M47" s="218">
        <f>'Rate Design'!G42</f>
        <v>8.3</v>
      </c>
      <c r="N47" s="218">
        <f>'Rate Design'!G32</f>
        <v>8.3</v>
      </c>
      <c r="O47" s="218"/>
      <c r="P47" s="218"/>
      <c r="Q47" s="218">
        <f>'Rate Design'!G32</f>
        <v>8.3</v>
      </c>
      <c r="R47" s="357">
        <f>J47/D47</f>
        <v>0</v>
      </c>
      <c r="S47" s="357">
        <f>J47/F47</f>
        <v>0</v>
      </c>
      <c r="U47" s="210"/>
      <c r="V47" s="210"/>
      <c r="W47" s="210"/>
      <c r="X47" s="445"/>
      <c r="Y47" s="445"/>
    </row>
    <row r="48" spans="1:25" ht="12.75">
      <c r="A48" s="44" t="s">
        <v>357</v>
      </c>
      <c r="G48" s="435"/>
      <c r="J48" s="44"/>
      <c r="K48" s="210"/>
      <c r="L48" s="44"/>
      <c r="M48" s="44"/>
      <c r="N48" s="44"/>
      <c r="O48" s="44"/>
      <c r="P48" s="435"/>
      <c r="Q48" s="44"/>
      <c r="U48" s="210"/>
      <c r="V48" s="210"/>
      <c r="W48" s="210"/>
      <c r="X48" s="445"/>
      <c r="Y48" s="445"/>
    </row>
    <row r="49" spans="1:25" ht="12.75">
      <c r="A49" s="323" t="s">
        <v>358</v>
      </c>
      <c r="D49" s="218">
        <v>0.2</v>
      </c>
      <c r="E49" s="213">
        <f>F49-D49</f>
        <v>0</v>
      </c>
      <c r="F49" s="218">
        <v>0.2</v>
      </c>
      <c r="G49" s="213"/>
      <c r="H49" s="213"/>
      <c r="J49" s="213">
        <f>IF(ROUND(M49-F49,5)&lt;&gt;ROUND(N49-D49,5),#VALUE!,N49-D49)</f>
        <v>0</v>
      </c>
      <c r="K49" s="527"/>
      <c r="L49" s="213"/>
      <c r="M49" s="218">
        <v>0.2</v>
      </c>
      <c r="N49" s="218">
        <v>0.2</v>
      </c>
      <c r="O49" s="213"/>
      <c r="P49" s="213"/>
      <c r="Q49" s="213">
        <f>N49</f>
        <v>0.2</v>
      </c>
      <c r="R49" s="357">
        <f>J49/D49</f>
        <v>0</v>
      </c>
      <c r="S49" s="357">
        <f>J49/F49</f>
        <v>0</v>
      </c>
      <c r="U49" s="210"/>
      <c r="V49" s="210"/>
      <c r="W49" s="210"/>
      <c r="X49" s="445"/>
      <c r="Y49" s="445"/>
    </row>
    <row r="50" spans="1:25" ht="12.75">
      <c r="A50" s="323" t="s">
        <v>359</v>
      </c>
      <c r="D50" s="218">
        <v>1.52</v>
      </c>
      <c r="E50" s="213">
        <f>F50-D50</f>
        <v>0</v>
      </c>
      <c r="F50" s="218">
        <v>1.52</v>
      </c>
      <c r="G50" s="213"/>
      <c r="H50" s="213"/>
      <c r="J50" s="218">
        <f>IF(ROUND(M50-F50,5)&lt;&gt;ROUND(N50-D50,5),#VALUE!,N50-D50)</f>
        <v>0</v>
      </c>
      <c r="K50" s="527"/>
      <c r="L50" s="213"/>
      <c r="M50" s="218">
        <v>1.52</v>
      </c>
      <c r="N50" s="218">
        <v>1.52</v>
      </c>
      <c r="O50" s="213"/>
      <c r="P50" s="213"/>
      <c r="Q50" s="213">
        <f>N50</f>
        <v>1.52</v>
      </c>
      <c r="R50" s="357">
        <f>J50/D50</f>
        <v>0</v>
      </c>
      <c r="S50" s="357">
        <f>J50/F50</f>
        <v>0</v>
      </c>
      <c r="U50" s="210"/>
      <c r="V50" s="210"/>
      <c r="W50" s="210"/>
      <c r="X50" s="445"/>
      <c r="Y50" s="445"/>
    </row>
    <row r="51" spans="1:25" ht="12.75">
      <c r="A51" s="323" t="s">
        <v>360</v>
      </c>
      <c r="D51" s="218">
        <v>1.93</v>
      </c>
      <c r="E51" s="213">
        <f>F51-D51</f>
        <v>0</v>
      </c>
      <c r="F51" s="218">
        <v>1.93</v>
      </c>
      <c r="G51" s="213"/>
      <c r="H51" s="213"/>
      <c r="J51" s="218">
        <f>IF(ROUND(M51-F51,5)&lt;&gt;ROUND(N51-D51,5),#VALUE!,N51-D51)</f>
        <v>0</v>
      </c>
      <c r="K51" s="527"/>
      <c r="L51" s="213"/>
      <c r="M51" s="218">
        <v>1.93</v>
      </c>
      <c r="N51" s="218">
        <v>1.93</v>
      </c>
      <c r="O51" s="213"/>
      <c r="P51" s="213"/>
      <c r="Q51" s="213">
        <f>N51</f>
        <v>1.93</v>
      </c>
      <c r="R51" s="357">
        <f>J51/D51</f>
        <v>0</v>
      </c>
      <c r="S51" s="357">
        <f>J51/F51</f>
        <v>0</v>
      </c>
      <c r="U51" s="210"/>
      <c r="V51" s="210"/>
      <c r="W51" s="210"/>
      <c r="X51" s="445"/>
      <c r="Y51" s="445"/>
    </row>
    <row r="52" spans="1:25" ht="12.75">
      <c r="A52" s="44" t="s">
        <v>337</v>
      </c>
      <c r="D52" s="359" t="s">
        <v>349</v>
      </c>
      <c r="E52" s="360">
        <v>945750</v>
      </c>
      <c r="F52" s="361"/>
      <c r="G52" s="362"/>
      <c r="H52" s="361"/>
      <c r="I52" s="361"/>
      <c r="J52" s="359"/>
      <c r="K52" s="526"/>
      <c r="L52" s="362" t="s">
        <v>350</v>
      </c>
      <c r="M52" s="224">
        <f>6000000*N42+5000000*N43+12*N46</f>
        <v>945750</v>
      </c>
      <c r="N52" s="225"/>
      <c r="O52" s="225"/>
      <c r="P52" s="225"/>
      <c r="Q52" s="224">
        <f>M52</f>
        <v>945750</v>
      </c>
      <c r="R52" s="357">
        <f>M52/E52-1</f>
        <v>0</v>
      </c>
      <c r="S52" s="357"/>
      <c r="U52" s="210"/>
      <c r="V52" s="210"/>
      <c r="W52" s="210"/>
      <c r="X52" s="445"/>
      <c r="Y52" s="445"/>
    </row>
    <row r="53" spans="11:25" ht="12.75">
      <c r="K53" s="208"/>
      <c r="U53" s="210"/>
      <c r="V53" s="210"/>
      <c r="W53" s="210"/>
      <c r="X53" s="445"/>
      <c r="Y53" s="445"/>
    </row>
    <row r="54" spans="1:25" ht="12.75">
      <c r="A54" s="206" t="s">
        <v>338</v>
      </c>
      <c r="K54" s="208"/>
      <c r="U54" s="210"/>
      <c r="V54" s="210"/>
      <c r="W54" s="210"/>
      <c r="X54" s="445"/>
      <c r="Y54" s="445"/>
    </row>
    <row r="55" spans="1:25" ht="12.75">
      <c r="A55" s="44" t="s">
        <v>266</v>
      </c>
      <c r="D55" s="212">
        <f>'Rate Design'!H4</f>
        <v>20</v>
      </c>
      <c r="E55" s="211">
        <f>F55-D55</f>
        <v>0</v>
      </c>
      <c r="F55" s="212">
        <f>'Rate Design'!H14</f>
        <v>20</v>
      </c>
      <c r="G55" s="207"/>
      <c r="H55" s="212"/>
      <c r="J55" s="207">
        <f>IF(ROUND(M55-F55,5)&lt;&gt;ROUND(N55-D55,5),#VALUE!,N55-D55)</f>
        <v>0</v>
      </c>
      <c r="K55" s="208"/>
      <c r="L55" s="207"/>
      <c r="M55" s="207">
        <f>'Rate Design'!H36</f>
        <v>20</v>
      </c>
      <c r="N55" s="207">
        <f>'Rate Design'!H26</f>
        <v>20</v>
      </c>
      <c r="O55" s="207"/>
      <c r="P55" s="207"/>
      <c r="Q55" s="207">
        <f>N55</f>
        <v>20</v>
      </c>
      <c r="R55" s="357">
        <f>J55/D55</f>
        <v>0</v>
      </c>
      <c r="S55" s="357">
        <f>J55/F55</f>
        <v>0</v>
      </c>
      <c r="U55" s="210"/>
      <c r="V55" s="210"/>
      <c r="W55" s="210"/>
      <c r="X55" s="445"/>
      <c r="Y55" s="445"/>
    </row>
    <row r="56" spans="1:25" ht="12.75">
      <c r="A56" s="44" t="s">
        <v>331</v>
      </c>
      <c r="K56" s="208"/>
      <c r="U56" s="210"/>
      <c r="V56" s="210"/>
      <c r="W56" s="210"/>
      <c r="X56" s="445"/>
      <c r="Y56" s="445"/>
    </row>
    <row r="57" spans="1:25" ht="12.75">
      <c r="A57" s="376" t="s">
        <v>757</v>
      </c>
      <c r="B57" s="666"/>
      <c r="C57" s="666"/>
      <c r="D57" s="210">
        <f>'Rate Design'!H5/100</f>
        <v>0.10292</v>
      </c>
      <c r="E57" s="210">
        <f>F57-D57</f>
        <v>0.002620000000000025</v>
      </c>
      <c r="F57" s="210">
        <f>'Rate Design'!H15/100</f>
        <v>0.10554000000000002</v>
      </c>
      <c r="G57" s="208"/>
      <c r="H57" s="210">
        <f>F57+G57</f>
        <v>0.10554000000000002</v>
      </c>
      <c r="I57" s="210"/>
      <c r="J57" s="208">
        <f>N57-D57</f>
        <v>0</v>
      </c>
      <c r="K57" s="208">
        <v>0</v>
      </c>
      <c r="L57" s="208">
        <f>Open!G21</f>
        <v>0</v>
      </c>
      <c r="M57" s="208">
        <f>F57+J57+K57+L57</f>
        <v>0.10554000000000002</v>
      </c>
      <c r="N57" s="358">
        <f>'Rate Design'!H27/100</f>
        <v>0.10292</v>
      </c>
      <c r="O57" s="358" t="e">
        <f>O16</f>
        <v>#REF!</v>
      </c>
      <c r="P57" s="358">
        <f>P16</f>
        <v>0.00247</v>
      </c>
      <c r="Q57" s="358" t="e">
        <f>M57+O57</f>
        <v>#REF!</v>
      </c>
      <c r="R57" s="357">
        <f>J57/D57</f>
        <v>0</v>
      </c>
      <c r="S57" s="357">
        <f>J57/F57</f>
        <v>0</v>
      </c>
      <c r="U57" s="210">
        <f>D57+E57-F57</f>
        <v>0</v>
      </c>
      <c r="V57" s="210">
        <f>D57+J57-N57</f>
        <v>0</v>
      </c>
      <c r="W57" s="210">
        <f>F57+G57+J57+K57+L57-M57</f>
        <v>0</v>
      </c>
      <c r="X57" s="445"/>
      <c r="Y57" s="445"/>
    </row>
    <row r="58" spans="1:25" s="435" customFormat="1" ht="12.75">
      <c r="A58" s="376" t="s">
        <v>758</v>
      </c>
      <c r="B58" s="666"/>
      <c r="C58" s="666"/>
      <c r="D58" s="210">
        <f>'Rate Design'!H5/100</f>
        <v>0.10292</v>
      </c>
      <c r="E58" s="210">
        <f>F57-D57</f>
        <v>0.002620000000000025</v>
      </c>
      <c r="F58" s="210">
        <f>'Rate Design'!H15/100</f>
        <v>0.10554000000000002</v>
      </c>
      <c r="G58" s="208"/>
      <c r="H58" s="210">
        <f>F58+G58</f>
        <v>0.10554000000000002</v>
      </c>
      <c r="I58" s="210"/>
      <c r="J58" s="208">
        <f>N57-D57</f>
        <v>0</v>
      </c>
      <c r="K58" s="208">
        <f>K57</f>
        <v>0</v>
      </c>
      <c r="L58" s="208">
        <f>L57</f>
        <v>0</v>
      </c>
      <c r="M58" s="208">
        <f aca="true" t="shared" si="2" ref="M58:M59">F58+J58+K58+L58</f>
        <v>0.10554000000000002</v>
      </c>
      <c r="N58" s="358">
        <f>'Rate Design'!H27/100</f>
        <v>0.10292</v>
      </c>
      <c r="O58" s="358"/>
      <c r="P58" s="358"/>
      <c r="Q58" s="358"/>
      <c r="R58" s="357">
        <f>J58/D58</f>
        <v>0</v>
      </c>
      <c r="S58" s="357">
        <f>J58/F58</f>
        <v>0</v>
      </c>
      <c r="U58" s="210">
        <f>D58+E58-F58</f>
        <v>0</v>
      </c>
      <c r="V58" s="210">
        <f>D58+J58-N58</f>
        <v>0</v>
      </c>
      <c r="W58" s="210">
        <f>F58+G58+J58+K58+L58-M58</f>
        <v>0</v>
      </c>
      <c r="X58" s="445"/>
      <c r="Y58" s="445"/>
    </row>
    <row r="59" spans="1:25" ht="12.75">
      <c r="A59" s="323" t="s">
        <v>341</v>
      </c>
      <c r="D59" s="210">
        <f>'Rate Design'!H6/100</f>
        <v>0.0735</v>
      </c>
      <c r="E59" s="210">
        <f>F59-D59</f>
        <v>0.002620000000000011</v>
      </c>
      <c r="F59" s="210">
        <f>'Rate Design'!H16/100</f>
        <v>0.07612000000000001</v>
      </c>
      <c r="G59" s="208"/>
      <c r="H59" s="210">
        <f>F59+G59</f>
        <v>0.07612000000000001</v>
      </c>
      <c r="I59" s="210"/>
      <c r="J59" s="208">
        <f>N59-D59</f>
        <v>0</v>
      </c>
      <c r="K59" s="208">
        <f>K57</f>
        <v>0</v>
      </c>
      <c r="L59" s="208">
        <f>L57</f>
        <v>0</v>
      </c>
      <c r="M59" s="208">
        <f t="shared" si="2"/>
        <v>0.07612000000000001</v>
      </c>
      <c r="N59" s="358">
        <f>'Rate Design'!H28/100</f>
        <v>0.0735</v>
      </c>
      <c r="O59" s="358" t="e">
        <f>O57</f>
        <v>#REF!</v>
      </c>
      <c r="P59" s="358">
        <f>P57</f>
        <v>0.00247</v>
      </c>
      <c r="Q59" s="358" t="e">
        <f>M59+O59</f>
        <v>#REF!</v>
      </c>
      <c r="R59" s="357">
        <f>J59/D59</f>
        <v>0</v>
      </c>
      <c r="S59" s="357">
        <f>J59/F59</f>
        <v>0</v>
      </c>
      <c r="U59" s="210">
        <f>D59+E59-F59</f>
        <v>0</v>
      </c>
      <c r="V59" s="210">
        <f>D59+J59-N59</f>
        <v>0</v>
      </c>
      <c r="W59" s="210">
        <f>F59+G59+J59+K59+L59-M59</f>
        <v>0</v>
      </c>
      <c r="X59" s="445"/>
      <c r="Y59" s="445"/>
    </row>
    <row r="60" spans="4:25" ht="12.75">
      <c r="D60" s="210"/>
      <c r="E60" s="210"/>
      <c r="F60" s="210"/>
      <c r="G60" s="208"/>
      <c r="H60" s="210"/>
      <c r="I60" s="210"/>
      <c r="J60" s="208"/>
      <c r="L60" s="208"/>
      <c r="M60" s="208"/>
      <c r="U60" s="408"/>
      <c r="V60" s="408"/>
      <c r="X60" s="445"/>
      <c r="Y60" s="445"/>
    </row>
    <row r="61" spans="4:13" ht="12.75">
      <c r="D61" s="210"/>
      <c r="E61" s="210"/>
      <c r="F61" s="210"/>
      <c r="G61" s="208"/>
      <c r="H61" s="210"/>
      <c r="I61" s="210"/>
      <c r="J61" s="208"/>
      <c r="L61" s="208"/>
      <c r="M61" s="208"/>
    </row>
    <row r="62" spans="1:13" ht="12.75">
      <c r="A62" s="435" t="s">
        <v>920</v>
      </c>
      <c r="D62" s="210"/>
      <c r="E62" s="210"/>
      <c r="F62" s="210"/>
      <c r="G62" s="208"/>
      <c r="H62" s="210"/>
      <c r="I62" s="210"/>
      <c r="J62" s="208"/>
      <c r="L62" s="208"/>
      <c r="M62" s="208"/>
    </row>
    <row r="63" spans="1:17" ht="12.75" customHeight="1">
      <c r="A63" s="349" t="s">
        <v>843</v>
      </c>
      <c r="B63" s="347"/>
      <c r="C63" s="347"/>
      <c r="D63" s="347"/>
      <c r="E63" s="347"/>
      <c r="F63" s="347"/>
      <c r="G63" s="347"/>
      <c r="H63" s="347"/>
      <c r="I63" s="347"/>
      <c r="J63" s="347"/>
      <c r="K63" s="347"/>
      <c r="L63" s="347"/>
      <c r="M63" s="347"/>
      <c r="N63" s="347"/>
      <c r="O63" s="347"/>
      <c r="P63" s="347"/>
      <c r="Q63" s="347"/>
    </row>
    <row r="64" spans="1:17" ht="12.75">
      <c r="A64" s="435" t="s">
        <v>842</v>
      </c>
      <c r="B64" s="347"/>
      <c r="C64" s="347"/>
      <c r="D64" s="347"/>
      <c r="E64" s="347"/>
      <c r="F64" s="347"/>
      <c r="G64" s="347"/>
      <c r="H64" s="347"/>
      <c r="I64" s="347"/>
      <c r="J64" s="347"/>
      <c r="K64" s="347"/>
      <c r="L64" s="347"/>
      <c r="M64" s="347"/>
      <c r="N64" s="347"/>
      <c r="O64" s="347"/>
      <c r="P64" s="347"/>
      <c r="Q64" s="347"/>
    </row>
    <row r="65" spans="1:25" s="435" customFormat="1" ht="12.75">
      <c r="A65" s="532"/>
      <c r="B65" s="347"/>
      <c r="C65" s="347"/>
      <c r="D65" s="347"/>
      <c r="E65" s="347"/>
      <c r="F65" s="347"/>
      <c r="G65" s="347"/>
      <c r="H65" s="347"/>
      <c r="I65" s="347"/>
      <c r="J65" s="347"/>
      <c r="K65" s="347"/>
      <c r="L65" s="347"/>
      <c r="M65" s="347"/>
      <c r="N65" s="347"/>
      <c r="O65" s="347"/>
      <c r="P65" s="347"/>
      <c r="Q65" s="347"/>
      <c r="X65" s="361"/>
      <c r="Y65" s="361"/>
    </row>
    <row r="66" spans="1:17" ht="12.75">
      <c r="A66" s="531"/>
      <c r="B66" s="347"/>
      <c r="C66" s="347"/>
      <c r="D66" s="347"/>
      <c r="E66" s="347"/>
      <c r="F66" s="347"/>
      <c r="G66" s="347"/>
      <c r="H66" s="347"/>
      <c r="I66" s="347"/>
      <c r="J66" s="347"/>
      <c r="K66" s="347"/>
      <c r="L66" s="347"/>
      <c r="M66" s="347"/>
      <c r="N66" s="347"/>
      <c r="O66" s="347"/>
      <c r="P66" s="347"/>
      <c r="Q66" s="347"/>
    </row>
  </sheetData>
  <mergeCells count="1">
    <mergeCell ref="A11:C11"/>
  </mergeCells>
  <printOptions/>
  <pageMargins left="0.5" right="0.31" top="0.5" bottom="0.75" header="0.5" footer="0.5"/>
  <pageSetup fitToHeight="1" fitToWidth="1" horizontalDpi="600" verticalDpi="600" orientation="portrait" scale="87" r:id="rId3"/>
  <headerFooter alignWithMargins="0">
    <oddFooter>&amp;LAttachment A&amp;RPage 2 of  6</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R31"/>
  <sheetViews>
    <sheetView zoomScale="90" zoomScaleNormal="90" workbookViewId="0" topLeftCell="A1">
      <selection activeCell="K38" sqref="K38"/>
    </sheetView>
  </sheetViews>
  <sheetFormatPr defaultColWidth="9.140625" defaultRowHeight="12.75"/>
  <cols>
    <col min="1" max="1" width="3.7109375" style="0" bestFit="1" customWidth="1"/>
    <col min="2" max="2" width="24.57421875" style="0" bestFit="1" customWidth="1"/>
    <col min="3" max="3" width="8.7109375" style="0" bestFit="1" customWidth="1"/>
    <col min="4" max="4" width="15.00390625" style="0" bestFit="1" customWidth="1"/>
    <col min="5" max="6" width="12.7109375" style="669" customWidth="1"/>
    <col min="7" max="7" width="10.7109375" style="0" bestFit="1" customWidth="1"/>
    <col min="8" max="8" width="13.421875" style="0" bestFit="1" customWidth="1"/>
    <col min="9" max="9" width="4.57421875" style="0" customWidth="1"/>
    <col min="10" max="10" width="13.57421875" style="0" bestFit="1" customWidth="1"/>
    <col min="11" max="11" width="15.00390625" style="671" bestFit="1" customWidth="1"/>
    <col min="14" max="15" width="9.28125" style="724" customWidth="1"/>
  </cols>
  <sheetData>
    <row r="3" ht="12.75">
      <c r="A3" s="117" t="s">
        <v>524</v>
      </c>
    </row>
    <row r="4" ht="12.75">
      <c r="A4" s="117" t="s">
        <v>765</v>
      </c>
    </row>
    <row r="5" ht="12.75">
      <c r="A5" s="117" t="s">
        <v>766</v>
      </c>
    </row>
    <row r="6" spans="1:7" ht="15.75">
      <c r="A6" s="611"/>
      <c r="B6" s="585"/>
      <c r="C6" s="435"/>
      <c r="D6" s="363"/>
      <c r="E6" s="363"/>
      <c r="F6" s="363"/>
      <c r="G6" s="670"/>
    </row>
    <row r="7" spans="1:7" ht="15.75">
      <c r="A7" s="611"/>
      <c r="B7" s="585"/>
      <c r="C7" s="435"/>
      <c r="D7" s="363"/>
      <c r="E7" s="363"/>
      <c r="F7" s="363"/>
      <c r="G7" s="670"/>
    </row>
    <row r="8" spans="1:18" ht="15.75">
      <c r="A8" s="611"/>
      <c r="B8" s="585"/>
      <c r="C8" s="435"/>
      <c r="D8" s="363"/>
      <c r="E8" s="363"/>
      <c r="F8" s="363"/>
      <c r="G8" s="670"/>
      <c r="R8" s="598" t="s">
        <v>917</v>
      </c>
    </row>
    <row r="9" spans="1:18" ht="12.75">
      <c r="A9" s="585"/>
      <c r="B9" s="585"/>
      <c r="C9" s="364"/>
      <c r="D9" s="363" t="s">
        <v>229</v>
      </c>
      <c r="E9" s="363"/>
      <c r="F9" s="202" t="s">
        <v>283</v>
      </c>
      <c r="G9" s="365"/>
      <c r="J9" s="585" t="s">
        <v>761</v>
      </c>
      <c r="K9" s="585"/>
      <c r="L9" s="598" t="s">
        <v>315</v>
      </c>
      <c r="R9" s="598" t="s">
        <v>315</v>
      </c>
    </row>
    <row r="10" spans="1:18" ht="12.75">
      <c r="A10" s="585"/>
      <c r="B10" s="585"/>
      <c r="C10" s="364"/>
      <c r="D10" s="585" t="s">
        <v>106</v>
      </c>
      <c r="E10" s="585" t="s">
        <v>764</v>
      </c>
      <c r="F10" s="200" t="s">
        <v>285</v>
      </c>
      <c r="G10" s="363" t="s">
        <v>286</v>
      </c>
      <c r="H10" s="585" t="s">
        <v>286</v>
      </c>
      <c r="J10" s="585" t="s">
        <v>106</v>
      </c>
      <c r="K10" s="363" t="s">
        <v>578</v>
      </c>
      <c r="L10" s="598" t="s">
        <v>292</v>
      </c>
      <c r="R10" s="598" t="s">
        <v>292</v>
      </c>
    </row>
    <row r="11" spans="1:18" ht="12.75">
      <c r="A11" s="585"/>
      <c r="B11" s="585" t="s">
        <v>287</v>
      </c>
      <c r="C11" s="585" t="s">
        <v>311</v>
      </c>
      <c r="D11" s="363" t="s">
        <v>312</v>
      </c>
      <c r="E11" s="363" t="s">
        <v>767</v>
      </c>
      <c r="F11" s="201" t="s">
        <v>315</v>
      </c>
      <c r="G11" s="363" t="s">
        <v>313</v>
      </c>
      <c r="H11" s="363" t="s">
        <v>229</v>
      </c>
      <c r="J11" s="585" t="s">
        <v>316</v>
      </c>
      <c r="K11" s="363" t="s">
        <v>759</v>
      </c>
      <c r="L11" s="598" t="s">
        <v>317</v>
      </c>
      <c r="R11" s="598" t="s">
        <v>317</v>
      </c>
    </row>
    <row r="12" spans="1:18" ht="12.75">
      <c r="A12" s="350" t="s">
        <v>289</v>
      </c>
      <c r="B12" s="350" t="s">
        <v>290</v>
      </c>
      <c r="C12" s="350" t="s">
        <v>291</v>
      </c>
      <c r="D12" s="366" t="s">
        <v>318</v>
      </c>
      <c r="E12" s="366" t="s">
        <v>292</v>
      </c>
      <c r="F12" s="203" t="s">
        <v>292</v>
      </c>
      <c r="G12" s="366" t="s">
        <v>292</v>
      </c>
      <c r="H12" s="674" t="s">
        <v>106</v>
      </c>
      <c r="J12" s="350" t="s">
        <v>441</v>
      </c>
      <c r="K12" s="366" t="s">
        <v>760</v>
      </c>
      <c r="L12" s="204" t="s">
        <v>106</v>
      </c>
      <c r="O12" s="117" t="s">
        <v>770</v>
      </c>
      <c r="P12" s="117" t="s">
        <v>578</v>
      </c>
      <c r="R12" s="204" t="s">
        <v>106</v>
      </c>
    </row>
    <row r="13" spans="1:18" ht="12.75">
      <c r="A13" s="585"/>
      <c r="B13" s="585" t="s">
        <v>293</v>
      </c>
      <c r="C13" s="585" t="s">
        <v>294</v>
      </c>
      <c r="D13" s="363" t="s">
        <v>295</v>
      </c>
      <c r="E13" s="363" t="s">
        <v>296</v>
      </c>
      <c r="F13" s="363" t="s">
        <v>297</v>
      </c>
      <c r="G13" s="585" t="s">
        <v>298</v>
      </c>
      <c r="H13" s="363" t="s">
        <v>299</v>
      </c>
      <c r="J13" s="585" t="s">
        <v>319</v>
      </c>
      <c r="K13" s="585" t="s">
        <v>320</v>
      </c>
      <c r="L13" s="598" t="s">
        <v>380</v>
      </c>
      <c r="O13" s="117"/>
      <c r="P13" s="117"/>
      <c r="R13" s="598" t="s">
        <v>380</v>
      </c>
    </row>
    <row r="14" spans="1:18" ht="12.75">
      <c r="A14" s="585"/>
      <c r="B14" s="435"/>
      <c r="C14" s="585"/>
      <c r="D14" s="367" t="str">
        <f>IF(Base1_Billing2&lt;&gt;1,"ERROR","")</f>
        <v/>
      </c>
      <c r="E14" s="367"/>
      <c r="F14" s="367"/>
      <c r="G14" s="368"/>
      <c r="J14" s="435"/>
      <c r="K14" s="435"/>
      <c r="L14" s="435"/>
      <c r="O14" s="117"/>
      <c r="P14" s="117"/>
      <c r="R14" s="435"/>
    </row>
    <row r="15" spans="1:18" ht="12.75">
      <c r="A15" s="585">
        <v>1</v>
      </c>
      <c r="B15" s="435" t="s">
        <v>300</v>
      </c>
      <c r="C15" s="402" t="s">
        <v>701</v>
      </c>
      <c r="D15" s="363">
        <f ca="1">'Pres &amp; Prop Rev'!$D$152/1000</f>
        <v>232554.03877</v>
      </c>
      <c r="E15" s="673">
        <v>1.1885210659979946</v>
      </c>
      <c r="F15" s="672">
        <f ca="1">E15*$E$30</f>
        <v>0</v>
      </c>
      <c r="G15" s="363">
        <f ca="1">F15*D15</f>
        <v>0</v>
      </c>
      <c r="H15" s="230">
        <f ca="1">D15+G15+0.3</f>
        <v>232554.33877</v>
      </c>
      <c r="J15" s="658">
        <f>RS!H16+RS!I16</f>
        <v>227265.7449</v>
      </c>
      <c r="K15" s="351">
        <f>RS!M16</f>
        <v>0</v>
      </c>
      <c r="L15" s="345">
        <f ca="1">(G15+K15)/J15</f>
        <v>0</v>
      </c>
      <c r="O15" s="520">
        <f ca="1">G15/J15</f>
        <v>0</v>
      </c>
      <c r="P15" s="520">
        <f>K15/J15</f>
        <v>0</v>
      </c>
      <c r="R15" s="345">
        <v>0.09840488688352148</v>
      </c>
    </row>
    <row r="16" spans="1:18" ht="12.75">
      <c r="A16" s="585"/>
      <c r="B16" s="435"/>
      <c r="C16" s="585"/>
      <c r="D16" s="363"/>
      <c r="E16" s="673"/>
      <c r="F16" s="672"/>
      <c r="G16" s="363"/>
      <c r="H16" s="230"/>
      <c r="J16" s="658"/>
      <c r="K16" s="351"/>
      <c r="L16" s="345"/>
      <c r="O16" s="520"/>
      <c r="P16" s="520"/>
      <c r="R16" s="345"/>
    </row>
    <row r="17" spans="1:18" ht="12.75">
      <c r="A17" s="585">
        <v>2</v>
      </c>
      <c r="B17" s="435" t="s">
        <v>301</v>
      </c>
      <c r="C17" s="402" t="s">
        <v>466</v>
      </c>
      <c r="D17" s="363">
        <f ca="1">'Pres &amp; Prop Rev'!$E$152/1000</f>
        <v>77795.98984846153</v>
      </c>
      <c r="E17" s="673">
        <v>0.5</v>
      </c>
      <c r="F17" s="672">
        <f ca="1">E17*$E$30</f>
        <v>0</v>
      </c>
      <c r="G17" s="363">
        <f ca="1">F17*D17</f>
        <v>0</v>
      </c>
      <c r="H17" s="230">
        <f aca="true" t="shared" si="0" ref="H17:H25">D17+G17</f>
        <v>77795.98984846153</v>
      </c>
      <c r="J17" s="658">
        <f>RS!H18+RS!I18</f>
        <v>80142.5241384615</v>
      </c>
      <c r="K17" s="351">
        <f>RS!M18</f>
        <v>0</v>
      </c>
      <c r="L17" s="345">
        <f aca="true" t="shared" si="1" ref="L17:L27">(G17+K17)/J17</f>
        <v>0</v>
      </c>
      <c r="O17" s="520">
        <f aca="true" t="shared" si="2" ref="O17:O27">G17/J17</f>
        <v>0</v>
      </c>
      <c r="P17" s="520">
        <f aca="true" t="shared" si="3" ref="P17:P27">K17/J17</f>
        <v>0</v>
      </c>
      <c r="R17" s="345">
        <v>0.06957981716792333</v>
      </c>
    </row>
    <row r="18" spans="1:18" ht="12.75">
      <c r="A18" s="585"/>
      <c r="B18" s="435"/>
      <c r="C18" s="585"/>
      <c r="D18" s="363"/>
      <c r="E18" s="673"/>
      <c r="F18" s="672"/>
      <c r="G18" s="363"/>
      <c r="H18" s="230"/>
      <c r="J18" s="658"/>
      <c r="K18" s="351"/>
      <c r="L18" s="345"/>
      <c r="O18" s="520"/>
      <c r="P18" s="520"/>
      <c r="R18" s="345"/>
    </row>
    <row r="19" spans="1:18" ht="12.75">
      <c r="A19" s="585">
        <v>3</v>
      </c>
      <c r="B19" s="435" t="s">
        <v>302</v>
      </c>
      <c r="C19" s="403" t="s">
        <v>467</v>
      </c>
      <c r="D19" s="363">
        <f ca="1">'Pres &amp; Prop Rev'!$F$152/1000</f>
        <v>133265.83332076925</v>
      </c>
      <c r="E19" s="673">
        <v>1</v>
      </c>
      <c r="F19" s="672">
        <f aca="true" t="shared" si="4" ref="F19:F25">E19*$E$30</f>
        <v>0</v>
      </c>
      <c r="G19" s="363">
        <f ca="1">F19*D19+0.1</f>
        <v>0.1</v>
      </c>
      <c r="H19" s="230">
        <f ca="1">D19+G19-0.2</f>
        <v>133265.73332076924</v>
      </c>
      <c r="J19" s="658">
        <f>RS!H20+RS!I20</f>
        <v>137100.899020769</v>
      </c>
      <c r="K19" s="351">
        <f>RS!M20</f>
        <v>0</v>
      </c>
      <c r="L19" s="345">
        <f ca="1" t="shared" si="1"/>
        <v>7.293898195726004E-07</v>
      </c>
      <c r="O19" s="520">
        <f ca="1" t="shared" si="2"/>
        <v>7.293898195726004E-07</v>
      </c>
      <c r="P19" s="520">
        <f t="shared" si="3"/>
        <v>0</v>
      </c>
      <c r="R19" s="345">
        <v>0.08690304871278744</v>
      </c>
    </row>
    <row r="20" spans="1:18" ht="12.75">
      <c r="A20" s="585"/>
      <c r="B20" s="435"/>
      <c r="C20" s="585"/>
      <c r="D20" s="363"/>
      <c r="E20" s="673"/>
      <c r="F20" s="672"/>
      <c r="G20" s="363"/>
      <c r="H20" s="230"/>
      <c r="J20" s="658"/>
      <c r="K20" s="351"/>
      <c r="L20" s="345"/>
      <c r="O20" s="520"/>
      <c r="P20" s="520"/>
      <c r="R20" s="345"/>
    </row>
    <row r="21" spans="1:18" ht="12.75">
      <c r="A21" s="585">
        <v>4</v>
      </c>
      <c r="B21" s="435" t="s">
        <v>321</v>
      </c>
      <c r="C21" s="585">
        <v>25</v>
      </c>
      <c r="D21" s="363">
        <f ca="1">'Pres &amp; Prop Rev'!$G$152/1000</f>
        <v>69248.16705739999</v>
      </c>
      <c r="E21" s="673">
        <v>1</v>
      </c>
      <c r="F21" s="672">
        <f ca="1" t="shared" si="4"/>
        <v>0</v>
      </c>
      <c r="G21" s="363">
        <f aca="true" t="shared" si="5" ref="G21:G25">F21*D21</f>
        <v>0</v>
      </c>
      <c r="H21" s="230">
        <f ca="1">D21+G21+0.2</f>
        <v>69248.36705739998</v>
      </c>
      <c r="J21" s="658">
        <f>RS!H22+RS!I22</f>
        <v>66870.04432739998</v>
      </c>
      <c r="K21" s="351">
        <f>RS!M22</f>
        <v>0</v>
      </c>
      <c r="L21" s="345">
        <f ca="1" t="shared" si="1"/>
        <v>0</v>
      </c>
      <c r="O21" s="520">
        <f ca="1" t="shared" si="2"/>
        <v>0</v>
      </c>
      <c r="P21" s="520">
        <f t="shared" si="3"/>
        <v>0</v>
      </c>
      <c r="R21" s="345">
        <v>0.0879996743128189</v>
      </c>
    </row>
    <row r="22" spans="1:18" ht="12.75">
      <c r="A22" s="585"/>
      <c r="B22" s="435"/>
      <c r="C22" s="585"/>
      <c r="D22" s="363"/>
      <c r="E22" s="673"/>
      <c r="F22" s="672"/>
      <c r="G22" s="363"/>
      <c r="H22" s="230"/>
      <c r="J22" s="658"/>
      <c r="K22" s="351"/>
      <c r="L22" s="345"/>
      <c r="O22" s="520"/>
      <c r="P22" s="520"/>
      <c r="R22" s="345"/>
    </row>
    <row r="23" spans="1:18" ht="12.75">
      <c r="A23" s="585">
        <v>5</v>
      </c>
      <c r="B23" s="435" t="s">
        <v>303</v>
      </c>
      <c r="C23" s="403" t="s">
        <v>468</v>
      </c>
      <c r="D23" s="363">
        <f ca="1">'Pres &amp; Prop Rev'!$H$152/1000</f>
        <v>12229.34005</v>
      </c>
      <c r="E23" s="673">
        <v>1</v>
      </c>
      <c r="F23" s="672">
        <f ca="1" t="shared" si="4"/>
        <v>0</v>
      </c>
      <c r="G23" s="363">
        <f ca="1">F23*D23+0.1</f>
        <v>0.1</v>
      </c>
      <c r="H23" s="230">
        <f ca="1" t="shared" si="0"/>
        <v>12229.440050000001</v>
      </c>
      <c r="J23" s="658">
        <f>RS!H24+RS!I24</f>
        <v>12559.15245</v>
      </c>
      <c r="K23" s="351">
        <f>RS!M24</f>
        <v>0</v>
      </c>
      <c r="L23" s="345">
        <f ca="1" t="shared" si="1"/>
        <v>7.962320737654554E-06</v>
      </c>
      <c r="O23" s="520">
        <f ca="1" t="shared" si="2"/>
        <v>7.962320737654554E-06</v>
      </c>
      <c r="P23" s="520">
        <f t="shared" si="3"/>
        <v>0</v>
      </c>
      <c r="R23" s="345">
        <v>0.08671756438856501</v>
      </c>
    </row>
    <row r="24" spans="1:18" ht="12.75">
      <c r="A24" s="585"/>
      <c r="B24" s="435"/>
      <c r="C24" s="585"/>
      <c r="D24" s="363"/>
      <c r="E24" s="673"/>
      <c r="F24" s="672"/>
      <c r="G24" s="363"/>
      <c r="H24" s="230"/>
      <c r="J24" s="658"/>
      <c r="K24" s="351"/>
      <c r="L24" s="345"/>
      <c r="O24" s="520"/>
      <c r="P24" s="520"/>
      <c r="R24" s="345"/>
    </row>
    <row r="25" spans="1:18" ht="12.75">
      <c r="A25" s="585">
        <v>6</v>
      </c>
      <c r="B25" s="435" t="s">
        <v>304</v>
      </c>
      <c r="C25" s="585" t="s">
        <v>352</v>
      </c>
      <c r="D25" s="369">
        <f>'Pres &amp; Prop Rev'!$I$152/1000</f>
        <v>6628.562281992</v>
      </c>
      <c r="E25" s="673">
        <v>0.5</v>
      </c>
      <c r="F25" s="672">
        <f ca="1" t="shared" si="4"/>
        <v>0</v>
      </c>
      <c r="G25" s="370">
        <f ca="1" t="shared" si="5"/>
        <v>0</v>
      </c>
      <c r="H25" s="371">
        <f ca="1" t="shared" si="0"/>
        <v>6628.562281992</v>
      </c>
      <c r="J25" s="658">
        <f>RS!H26+RS!I26</f>
        <v>6757.562281992</v>
      </c>
      <c r="K25" s="667">
        <f>RS!M26</f>
        <v>0</v>
      </c>
      <c r="L25" s="345">
        <f ca="1" t="shared" si="1"/>
        <v>0</v>
      </c>
      <c r="O25" s="520">
        <f ca="1" t="shared" si="2"/>
        <v>0</v>
      </c>
      <c r="P25" s="520">
        <f t="shared" si="3"/>
        <v>0</v>
      </c>
      <c r="R25" s="345">
        <v>0</v>
      </c>
    </row>
    <row r="26" spans="1:18" ht="12.75">
      <c r="A26" s="585"/>
      <c r="B26" s="435"/>
      <c r="C26" s="585"/>
      <c r="D26" s="363"/>
      <c r="E26" s="363"/>
      <c r="F26" s="672"/>
      <c r="G26" s="363"/>
      <c r="H26" s="230"/>
      <c r="J26" s="658"/>
      <c r="K26" s="351"/>
      <c r="L26" s="345"/>
      <c r="O26" s="520"/>
      <c r="P26" s="520"/>
      <c r="R26" s="345"/>
    </row>
    <row r="27" spans="1:18" ht="12.75">
      <c r="A27" s="585">
        <v>7</v>
      </c>
      <c r="B27" s="374" t="s">
        <v>66</v>
      </c>
      <c r="C27" s="585"/>
      <c r="D27" s="363">
        <f ca="1">SUM(D15:D25)+0.2</f>
        <v>531722.1313286228</v>
      </c>
      <c r="E27" s="363"/>
      <c r="F27" s="672">
        <f ca="1">D30/$D$27</f>
        <v>0</v>
      </c>
      <c r="G27" s="363">
        <f ca="1">SUM(G15:G25)</f>
        <v>0.2</v>
      </c>
      <c r="H27" s="230">
        <f ca="1">D27+G27+0.3</f>
        <v>531722.6313286228</v>
      </c>
      <c r="J27" s="658">
        <f>RS!H28+RS!I28</f>
        <v>530695.9271186225</v>
      </c>
      <c r="K27" s="351">
        <f>SUM(K15:K25)</f>
        <v>0</v>
      </c>
      <c r="L27" s="345">
        <f ca="1" t="shared" si="1"/>
        <v>3.7686364221011915E-07</v>
      </c>
      <c r="O27" s="520">
        <f ca="1" t="shared" si="2"/>
        <v>3.7686364221011915E-07</v>
      </c>
      <c r="P27" s="520">
        <f t="shared" si="3"/>
        <v>0</v>
      </c>
      <c r="R27" s="345">
        <v>0.08815770376495739</v>
      </c>
    </row>
    <row r="28" spans="1:8" ht="12.75">
      <c r="A28" s="585"/>
      <c r="B28" s="585"/>
      <c r="C28" s="585"/>
      <c r="D28" s="375">
        <f ca="1">ROUND(D27-'Pres &amp; Prop Rev'!C205/1000,0)</f>
        <v>0</v>
      </c>
      <c r="E28" s="375"/>
      <c r="F28" s="375"/>
      <c r="G28" s="375">
        <f ca="1">ROUND(G27-D30,0)</f>
        <v>0</v>
      </c>
      <c r="H28" s="375"/>
    </row>
    <row r="30" spans="2:6" ht="12.75">
      <c r="B30" t="s">
        <v>763</v>
      </c>
      <c r="D30" s="398">
        <v>0</v>
      </c>
      <c r="E30" s="457">
        <f ca="1">D30/D27</f>
        <v>0</v>
      </c>
      <c r="F30" s="457"/>
    </row>
    <row r="31" ht="12.75">
      <c r="H31" s="457"/>
    </row>
  </sheetData>
  <conditionalFormatting sqref="D28:G28">
    <cfRule type="cellIs" priority="2" dxfId="0" operator="notEqual" stopIfTrue="1">
      <formula>0</formula>
    </cfRule>
  </conditionalFormatting>
  <conditionalFormatting sqref="H28">
    <cfRule type="cellIs" priority="1" dxfId="0" operator="notEqual" stopIfTrue="1">
      <formula>0</formula>
    </cfRule>
  </conditionalFormatting>
  <printOptions/>
  <pageMargins left="0.7" right="0.7" top="0.75" bottom="0.75" header="0.3" footer="0.3"/>
  <pageSetup fitToHeight="1" fitToWidth="1" horizontalDpi="600" verticalDpi="600" orientation="landscape" scale="8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88"/>
  <sheetViews>
    <sheetView showGridLines="0" zoomScaleSheetLayoutView="100" workbookViewId="0" topLeftCell="A16">
      <selection activeCell="G47" sqref="G47"/>
    </sheetView>
  </sheetViews>
  <sheetFormatPr defaultColWidth="10.7109375" defaultRowHeight="12.75"/>
  <cols>
    <col min="1" max="1" width="29.57421875" style="20" customWidth="1"/>
    <col min="2" max="5" width="14.7109375" style="20" customWidth="1"/>
    <col min="6" max="7" width="12.7109375" style="20" customWidth="1"/>
    <col min="8" max="16384" width="10.7109375" style="20" customWidth="1"/>
  </cols>
  <sheetData>
    <row r="1" spans="1:7" ht="12.75">
      <c r="A1" s="24" t="s">
        <v>101</v>
      </c>
      <c r="B1" s="232"/>
      <c r="C1" s="24"/>
      <c r="D1" s="232"/>
      <c r="E1" s="232"/>
      <c r="F1" s="232"/>
      <c r="G1" s="232"/>
    </row>
    <row r="2" spans="1:7" ht="12.75">
      <c r="A2" s="24" t="s">
        <v>405</v>
      </c>
      <c r="B2" s="24"/>
      <c r="C2" s="24"/>
      <c r="D2" s="232"/>
      <c r="E2" s="24"/>
      <c r="F2" s="24"/>
      <c r="G2" s="24"/>
    </row>
    <row r="3" spans="1:7" ht="12.75">
      <c r="A3" s="24" t="s">
        <v>362</v>
      </c>
      <c r="B3" s="232"/>
      <c r="C3" s="24"/>
      <c r="D3" s="232"/>
      <c r="E3" s="232"/>
      <c r="F3" s="232"/>
      <c r="G3" s="232"/>
    </row>
    <row r="4" spans="1:7" ht="12.75">
      <c r="A4" s="24" t="s">
        <v>985</v>
      </c>
      <c r="B4" s="24"/>
      <c r="C4" s="24"/>
      <c r="D4" s="232"/>
      <c r="E4" s="24"/>
      <c r="F4" s="24"/>
      <c r="G4" s="24"/>
    </row>
    <row r="5" spans="1:7" ht="12.75">
      <c r="A5" s="23"/>
      <c r="B5" s="24"/>
      <c r="C5" s="24"/>
      <c r="D5" s="24"/>
      <c r="E5" s="24"/>
      <c r="F5" s="24"/>
      <c r="G5" s="24"/>
    </row>
    <row r="6" spans="1:7" ht="12.75">
      <c r="A6" s="23"/>
      <c r="B6" s="24"/>
      <c r="C6" s="24"/>
      <c r="D6" s="24"/>
      <c r="E6" s="24"/>
      <c r="F6" s="24"/>
      <c r="G6" s="24"/>
    </row>
    <row r="7" spans="1:7" ht="12.75">
      <c r="A7" s="22"/>
      <c r="B7" s="25"/>
      <c r="C7" s="22"/>
      <c r="D7" s="22"/>
      <c r="E7" s="22"/>
      <c r="F7" s="22"/>
      <c r="G7" s="22"/>
    </row>
    <row r="8" spans="1:7" ht="12.75">
      <c r="A8" s="26" t="s">
        <v>699</v>
      </c>
      <c r="B8" s="27" t="s">
        <v>734</v>
      </c>
      <c r="C8" s="26" t="s">
        <v>735</v>
      </c>
      <c r="D8" s="27" t="s">
        <v>736</v>
      </c>
      <c r="E8" s="27" t="s">
        <v>737</v>
      </c>
      <c r="F8" s="27" t="s">
        <v>381</v>
      </c>
      <c r="G8" s="22"/>
    </row>
    <row r="9" spans="1:9" ht="12.75">
      <c r="A9" s="22" t="s">
        <v>738</v>
      </c>
      <c r="B9" s="21">
        <f>'Block Data'!O21</f>
        <v>1632639774.4875689</v>
      </c>
      <c r="C9" s="21">
        <f>'Block Data'!O22</f>
        <v>504552667.9882521</v>
      </c>
      <c r="D9" s="21">
        <f>'Block Data'!O23</f>
        <v>299072582.35517937</v>
      </c>
      <c r="E9" s="21">
        <f>B9+C9+D9</f>
        <v>2436265024.8310003</v>
      </c>
      <c r="F9" s="21">
        <f>'REVRUNS 12ME1219'!P36</f>
        <v>2619517</v>
      </c>
      <c r="G9" s="22"/>
      <c r="H9" s="22"/>
      <c r="I9" s="22"/>
    </row>
    <row r="10" spans="1:9" ht="14.25">
      <c r="A10" s="33" t="s">
        <v>739</v>
      </c>
      <c r="B10" s="21"/>
      <c r="C10" s="22"/>
      <c r="D10" s="21"/>
      <c r="E10" s="28">
        <f>'Block Data'!O13</f>
        <v>2436265024.8310003</v>
      </c>
      <c r="F10" s="21"/>
      <c r="G10" s="22"/>
      <c r="H10" s="22"/>
      <c r="I10" s="22"/>
    </row>
    <row r="11" spans="1:9" ht="12.75">
      <c r="A11" s="33" t="s">
        <v>733</v>
      </c>
      <c r="B11" s="21"/>
      <c r="C11" s="22"/>
      <c r="D11" s="21"/>
      <c r="E11" s="29">
        <f>E10-E9</f>
        <v>0</v>
      </c>
      <c r="F11" s="21"/>
      <c r="G11" s="22"/>
      <c r="H11" s="22"/>
      <c r="I11" s="22"/>
    </row>
    <row r="12" spans="1:9" ht="12.75">
      <c r="A12" s="33"/>
      <c r="B12" s="21"/>
      <c r="C12" s="22"/>
      <c r="D12" s="21"/>
      <c r="E12" s="101"/>
      <c r="F12" s="21"/>
      <c r="G12" s="22"/>
      <c r="H12" s="22"/>
      <c r="I12" s="22"/>
    </row>
    <row r="13" spans="1:9" ht="12.75">
      <c r="A13" s="22"/>
      <c r="B13" s="22"/>
      <c r="C13" s="22"/>
      <c r="D13" s="22"/>
      <c r="E13" s="30"/>
      <c r="F13" s="22"/>
      <c r="G13" s="22"/>
      <c r="H13" s="22"/>
      <c r="I13" s="22"/>
    </row>
    <row r="14" spans="1:9" ht="12.75">
      <c r="A14" s="26" t="s">
        <v>63</v>
      </c>
      <c r="B14" s="27" t="s">
        <v>740</v>
      </c>
      <c r="C14" s="26" t="s">
        <v>741</v>
      </c>
      <c r="D14" s="27" t="s">
        <v>737</v>
      </c>
      <c r="E14" s="27" t="s">
        <v>471</v>
      </c>
      <c r="F14" s="27" t="s">
        <v>381</v>
      </c>
      <c r="G14" s="27" t="s">
        <v>472</v>
      </c>
      <c r="H14" s="22"/>
      <c r="I14" s="22"/>
    </row>
    <row r="15" spans="1:9" ht="12.75">
      <c r="A15" s="22" t="s">
        <v>742</v>
      </c>
      <c r="B15" s="21">
        <f>'Block Data'!O38</f>
        <v>435979118.3898335</v>
      </c>
      <c r="C15" s="21">
        <f>'Block Data'!O39</f>
        <v>191116384.1461664</v>
      </c>
      <c r="D15" s="21">
        <f>B15+C15</f>
        <v>627095502.5359999</v>
      </c>
      <c r="E15" s="21">
        <f>'Block Data'!O45</f>
        <v>438307.97692307696</v>
      </c>
      <c r="F15" s="437">
        <f>'REVRUNS 12ME1219'!P37</f>
        <v>391801</v>
      </c>
      <c r="G15" s="21">
        <f>'Block Data'!O49</f>
        <v>0</v>
      </c>
      <c r="H15" s="22"/>
      <c r="I15" s="22"/>
    </row>
    <row r="16" spans="1:9" ht="14.25">
      <c r="A16" s="22" t="s">
        <v>622</v>
      </c>
      <c r="B16" s="440">
        <v>0</v>
      </c>
      <c r="C16" s="440">
        <v>0</v>
      </c>
      <c r="D16" s="31">
        <f>SUM(B16:C16)</f>
        <v>0</v>
      </c>
      <c r="E16" s="440">
        <v>0</v>
      </c>
      <c r="F16" s="443">
        <v>0</v>
      </c>
      <c r="G16" s="394">
        <v>0</v>
      </c>
      <c r="H16" s="22"/>
      <c r="I16" s="22"/>
    </row>
    <row r="17" spans="1:9" ht="12.75">
      <c r="A17" s="22" t="s">
        <v>455</v>
      </c>
      <c r="B17" s="391">
        <f aca="true" t="shared" si="0" ref="B17:G17">SUM(B15:B16)</f>
        <v>435979118.3898335</v>
      </c>
      <c r="C17" s="391">
        <f t="shared" si="0"/>
        <v>191116384.1461664</v>
      </c>
      <c r="D17" s="391">
        <f t="shared" si="0"/>
        <v>627095502.5359999</v>
      </c>
      <c r="E17" s="391">
        <f t="shared" si="0"/>
        <v>438307.97692307696</v>
      </c>
      <c r="F17" s="391">
        <f t="shared" si="0"/>
        <v>391801</v>
      </c>
      <c r="G17" s="391">
        <f t="shared" si="0"/>
        <v>0</v>
      </c>
      <c r="H17" s="22"/>
      <c r="I17" s="22"/>
    </row>
    <row r="18" spans="1:9" ht="14.25">
      <c r="A18" s="33" t="s">
        <v>739</v>
      </c>
      <c r="B18" s="101"/>
      <c r="C18" s="102"/>
      <c r="D18" s="28">
        <f>'Block Data'!O31</f>
        <v>627095502.5359999</v>
      </c>
      <c r="E18" s="22"/>
      <c r="F18" s="21"/>
      <c r="G18" s="22"/>
      <c r="H18" s="22"/>
      <c r="I18" s="22"/>
    </row>
    <row r="19" spans="1:9" ht="12.75">
      <c r="A19" s="33" t="s">
        <v>456</v>
      </c>
      <c r="B19" s="101"/>
      <c r="C19" s="102"/>
      <c r="D19" s="391">
        <f>D16</f>
        <v>0</v>
      </c>
      <c r="E19" s="22"/>
      <c r="F19" s="21"/>
      <c r="G19" s="22"/>
      <c r="H19" s="22"/>
      <c r="I19" s="22"/>
    </row>
    <row r="20" spans="1:9" ht="14.25">
      <c r="A20" s="33" t="s">
        <v>743</v>
      </c>
      <c r="B20" s="101"/>
      <c r="C20" s="102"/>
      <c r="D20" s="28">
        <f>D18+D19</f>
        <v>627095502.5359999</v>
      </c>
      <c r="E20" s="22"/>
      <c r="F20" s="21"/>
      <c r="G20" s="22"/>
      <c r="H20" s="22"/>
      <c r="I20" s="22"/>
    </row>
    <row r="21" spans="1:9" ht="12.75">
      <c r="A21" s="33" t="s">
        <v>733</v>
      </c>
      <c r="B21" s="21"/>
      <c r="C21" s="22"/>
      <c r="D21" s="29">
        <f>D20-D17</f>
        <v>0</v>
      </c>
      <c r="E21" s="22"/>
      <c r="F21" s="21"/>
      <c r="G21" s="22"/>
      <c r="H21" s="22"/>
      <c r="I21" s="22"/>
    </row>
    <row r="22" spans="1:9" ht="12.75">
      <c r="A22" s="33"/>
      <c r="B22" s="21"/>
      <c r="C22" s="22"/>
      <c r="D22" s="101"/>
      <c r="E22" s="101"/>
      <c r="F22" s="21"/>
      <c r="G22" s="22"/>
      <c r="H22" s="22"/>
      <c r="I22" s="22"/>
    </row>
    <row r="23" spans="1:9" ht="12.75">
      <c r="A23" s="22"/>
      <c r="B23" s="22"/>
      <c r="C23" s="22"/>
      <c r="D23" s="30"/>
      <c r="E23" s="22"/>
      <c r="F23" s="22"/>
      <c r="G23" s="22"/>
      <c r="H23" s="22"/>
      <c r="I23" s="22"/>
    </row>
    <row r="24" spans="1:9" ht="12.75">
      <c r="A24" s="26" t="s">
        <v>64</v>
      </c>
      <c r="B24" s="27" t="s">
        <v>744</v>
      </c>
      <c r="C24" s="26" t="s">
        <v>745</v>
      </c>
      <c r="D24" s="27" t="s">
        <v>737</v>
      </c>
      <c r="E24" s="27" t="s">
        <v>473</v>
      </c>
      <c r="F24" s="27" t="s">
        <v>381</v>
      </c>
      <c r="G24" s="27" t="s">
        <v>472</v>
      </c>
      <c r="H24" s="22"/>
      <c r="I24" s="22"/>
    </row>
    <row r="25" spans="1:9" ht="12.75">
      <c r="A25" s="22" t="s">
        <v>742</v>
      </c>
      <c r="B25" s="21">
        <f>'Block Data'!O64</f>
        <v>1229791151.80367</v>
      </c>
      <c r="C25" s="21">
        <f>'Block Data'!O65</f>
        <v>146237824.45333</v>
      </c>
      <c r="D25" s="21">
        <f>B25+C25</f>
        <v>1376028976.257</v>
      </c>
      <c r="E25" s="21">
        <f>'Block Data'!O71</f>
        <v>2648035.6015384616</v>
      </c>
      <c r="F25" s="437">
        <f>'REVRUNS 12ME1219'!P38</f>
        <v>22941</v>
      </c>
      <c r="G25" s="21">
        <f>'Block Data'!O75</f>
        <v>252584.88</v>
      </c>
      <c r="H25" s="22"/>
      <c r="I25" s="22"/>
    </row>
    <row r="26" spans="1:9" ht="12.75">
      <c r="A26" s="22" t="s">
        <v>451</v>
      </c>
      <c r="B26" s="438">
        <v>0</v>
      </c>
      <c r="C26" s="438">
        <v>0</v>
      </c>
      <c r="D26" s="437">
        <f>SUM(B26:C26)</f>
        <v>0</v>
      </c>
      <c r="E26" s="434">
        <v>0</v>
      </c>
      <c r="F26" s="439">
        <v>0</v>
      </c>
      <c r="G26" s="434">
        <v>0</v>
      </c>
      <c r="H26" s="22"/>
      <c r="I26" s="22"/>
    </row>
    <row r="27" spans="1:9" ht="14.25">
      <c r="A27" s="22" t="s">
        <v>566</v>
      </c>
      <c r="B27" s="31">
        <f>-D16</f>
        <v>0</v>
      </c>
      <c r="C27" s="442">
        <v>0</v>
      </c>
      <c r="D27" s="31">
        <f>SUM(B27:C27)</f>
        <v>0</v>
      </c>
      <c r="E27" s="441">
        <v>0</v>
      </c>
      <c r="F27" s="442">
        <f>-F16</f>
        <v>0</v>
      </c>
      <c r="G27" s="442">
        <f>-G16</f>
        <v>0</v>
      </c>
      <c r="H27" s="22"/>
      <c r="I27" s="22"/>
    </row>
    <row r="28" spans="1:9" ht="14.25">
      <c r="A28" s="22" t="s">
        <v>66</v>
      </c>
      <c r="B28" s="21">
        <f>SUM(B25:B27)</f>
        <v>1229791151.80367</v>
      </c>
      <c r="C28" s="21">
        <f>SUM(C25:C27)</f>
        <v>146237824.45333</v>
      </c>
      <c r="D28" s="31">
        <f>SUM(B28:C28)</f>
        <v>1376028976.257</v>
      </c>
      <c r="E28" s="395">
        <f>SUM(E25:E27)</f>
        <v>2648035.6015384616</v>
      </c>
      <c r="F28" s="395">
        <f>SUM(F25:F27)</f>
        <v>22941</v>
      </c>
      <c r="G28" s="395">
        <f>SUM(G25:G27)</f>
        <v>252584.88</v>
      </c>
      <c r="H28" s="22"/>
      <c r="I28" s="22"/>
    </row>
    <row r="29" spans="1:9" ht="14.25">
      <c r="A29" s="33" t="s">
        <v>739</v>
      </c>
      <c r="B29" s="21"/>
      <c r="C29" s="22"/>
      <c r="D29" s="28">
        <f>'Block Data'!O57</f>
        <v>1376028976.257</v>
      </c>
      <c r="E29" s="29"/>
      <c r="F29" s="29"/>
      <c r="G29" s="29"/>
      <c r="H29" s="22"/>
      <c r="I29" s="22"/>
    </row>
    <row r="30" spans="1:9" ht="12.75">
      <c r="A30" s="33" t="s">
        <v>452</v>
      </c>
      <c r="B30" s="21"/>
      <c r="C30" s="22"/>
      <c r="D30" s="391">
        <f>D26</f>
        <v>0</v>
      </c>
      <c r="E30" s="22"/>
      <c r="F30" s="21"/>
      <c r="G30" s="22"/>
      <c r="H30" s="22"/>
      <c r="I30" s="22"/>
    </row>
    <row r="31" spans="1:9" ht="12.75">
      <c r="A31" s="33" t="s">
        <v>457</v>
      </c>
      <c r="B31" s="21"/>
      <c r="C31" s="22"/>
      <c r="D31" s="391">
        <f>D27</f>
        <v>0</v>
      </c>
      <c r="E31" s="22"/>
      <c r="F31" s="21"/>
      <c r="G31" s="22"/>
      <c r="H31" s="22"/>
      <c r="I31" s="22"/>
    </row>
    <row r="32" spans="1:9" ht="14.25">
      <c r="A32" s="33" t="s">
        <v>746</v>
      </c>
      <c r="B32" s="21"/>
      <c r="C32" s="22"/>
      <c r="D32" s="28">
        <f>D29+D30+D31</f>
        <v>1376028976.257</v>
      </c>
      <c r="E32" s="22"/>
      <c r="F32" s="21"/>
      <c r="G32" s="22"/>
      <c r="H32" s="22"/>
      <c r="I32" s="22"/>
    </row>
    <row r="33" spans="1:9" ht="12.75">
      <c r="A33" s="33" t="s">
        <v>733</v>
      </c>
      <c r="B33" s="21"/>
      <c r="C33" s="22"/>
      <c r="D33" s="29">
        <f>D32-D28</f>
        <v>0</v>
      </c>
      <c r="E33" s="22"/>
      <c r="F33" s="21"/>
      <c r="G33" s="22"/>
      <c r="H33" s="22"/>
      <c r="I33" s="22"/>
    </row>
    <row r="34" spans="1:9" ht="12.75">
      <c r="A34" s="33"/>
      <c r="B34" s="21"/>
      <c r="C34" s="22"/>
      <c r="D34" s="101"/>
      <c r="E34" s="101"/>
      <c r="F34" s="21"/>
      <c r="G34" s="22"/>
      <c r="H34" s="22"/>
      <c r="I34" s="22"/>
    </row>
    <row r="35" spans="1:9" ht="12.75">
      <c r="A35" s="22"/>
      <c r="B35" s="21"/>
      <c r="C35" s="21"/>
      <c r="D35" s="21"/>
      <c r="E35" s="22"/>
      <c r="F35" s="22"/>
      <c r="G35" s="22"/>
      <c r="H35" s="22"/>
      <c r="I35" s="22"/>
    </row>
    <row r="36" spans="1:9" ht="12.75">
      <c r="A36" s="26" t="s">
        <v>470</v>
      </c>
      <c r="B36" s="27" t="s">
        <v>747</v>
      </c>
      <c r="C36" s="26" t="s">
        <v>748</v>
      </c>
      <c r="D36" s="229" t="s">
        <v>749</v>
      </c>
      <c r="E36" s="27" t="s">
        <v>737</v>
      </c>
      <c r="F36" s="27" t="s">
        <v>65</v>
      </c>
      <c r="G36" s="27" t="s">
        <v>381</v>
      </c>
      <c r="H36" s="22"/>
      <c r="I36" s="22"/>
    </row>
    <row r="37" spans="1:9" ht="12.75">
      <c r="A37" s="22" t="s">
        <v>66</v>
      </c>
      <c r="B37" s="21">
        <f>'WA Sch 25'!Q27</f>
        <v>138000000</v>
      </c>
      <c r="C37" s="21">
        <f>'WA Sch 25'!R27</f>
        <v>564644246.7149999</v>
      </c>
      <c r="D37" s="21">
        <f>'WA Sch 25'!S27</f>
        <v>383257334.60000014</v>
      </c>
      <c r="E37" s="21">
        <f>SUM(B37:D37)</f>
        <v>1085901581.315</v>
      </c>
      <c r="F37" s="21">
        <f>'WA Sch 25'!P91</f>
        <v>1278599.155</v>
      </c>
      <c r="G37" s="438">
        <f>23*12</f>
        <v>276</v>
      </c>
      <c r="H37" s="22"/>
      <c r="I37" s="22"/>
    </row>
    <row r="38" spans="1:9" ht="12.75">
      <c r="A38" s="33"/>
      <c r="B38" s="21"/>
      <c r="C38" s="22"/>
      <c r="D38" s="101"/>
      <c r="E38" s="101"/>
      <c r="F38" s="101"/>
      <c r="G38" s="22"/>
      <c r="H38" s="22"/>
      <c r="I38" s="22"/>
    </row>
    <row r="39" spans="1:9" ht="12.75">
      <c r="A39" s="22"/>
      <c r="B39" s="22"/>
      <c r="C39" s="22"/>
      <c r="D39" s="22"/>
      <c r="E39" s="22"/>
      <c r="F39" s="25"/>
      <c r="G39" s="22"/>
      <c r="H39" s="22"/>
      <c r="I39" s="22"/>
    </row>
    <row r="40" spans="1:9" ht="12.75">
      <c r="A40" s="26" t="s">
        <v>67</v>
      </c>
      <c r="B40" s="27" t="s">
        <v>750</v>
      </c>
      <c r="C40" s="27" t="s">
        <v>751</v>
      </c>
      <c r="D40" s="27" t="s">
        <v>752</v>
      </c>
      <c r="E40" s="27" t="s">
        <v>737</v>
      </c>
      <c r="F40" s="27" t="s">
        <v>381</v>
      </c>
      <c r="G40" s="27" t="s">
        <v>472</v>
      </c>
      <c r="H40" s="22"/>
      <c r="I40" s="22"/>
    </row>
    <row r="41" spans="1:9" ht="12.75">
      <c r="A41" s="22" t="s">
        <v>753</v>
      </c>
      <c r="B41" s="437">
        <f>'Block Data'!O92</f>
        <v>35517018.18251</v>
      </c>
      <c r="C41" s="437">
        <f>'Block Data'!O93</f>
        <v>11273719.527659997</v>
      </c>
      <c r="D41" s="659">
        <f>'Block Data'!O94</f>
        <v>92769241.33183</v>
      </c>
      <c r="E41" s="660">
        <f>B41+C41+D41</f>
        <v>139559979.042</v>
      </c>
      <c r="F41" s="437">
        <f>'REVRUNS 12ME1219'!P40</f>
        <v>29492</v>
      </c>
      <c r="G41" s="21">
        <f>'Block Data'!O99</f>
        <v>0</v>
      </c>
      <c r="H41" s="22"/>
      <c r="I41" s="22"/>
    </row>
    <row r="42" spans="1:9" ht="14.25">
      <c r="A42" s="22" t="s">
        <v>756</v>
      </c>
      <c r="B42" s="31">
        <v>0</v>
      </c>
      <c r="C42" s="31">
        <v>0</v>
      </c>
      <c r="D42" s="659">
        <f>-B42-C42</f>
        <v>0</v>
      </c>
      <c r="E42" s="660">
        <f>SUM(B42:D42)</f>
        <v>0</v>
      </c>
      <c r="F42" s="437"/>
      <c r="G42" s="437"/>
      <c r="H42" s="22"/>
      <c r="I42" s="22"/>
    </row>
    <row r="43" spans="1:9" ht="12.75">
      <c r="A43" s="33" t="s">
        <v>222</v>
      </c>
      <c r="B43" s="661">
        <f>B41+B42</f>
        <v>35517018.18251</v>
      </c>
      <c r="C43" s="661">
        <f>C41+C42</f>
        <v>11273719.527659997</v>
      </c>
      <c r="D43" s="661">
        <f>D41+D42</f>
        <v>92769241.33183</v>
      </c>
      <c r="E43" s="437">
        <f>E41+E42</f>
        <v>139559979.042</v>
      </c>
      <c r="F43" s="21"/>
      <c r="G43" s="21"/>
      <c r="H43" s="22"/>
      <c r="I43" s="22"/>
    </row>
    <row r="44" spans="1:9" ht="12.75">
      <c r="A44" s="33" t="s">
        <v>739</v>
      </c>
      <c r="B44" s="437"/>
      <c r="C44" s="437"/>
      <c r="D44" s="22"/>
      <c r="E44" s="662">
        <f>'Block Data'!O84</f>
        <v>139559979.042</v>
      </c>
      <c r="F44" s="22"/>
      <c r="G44" s="32"/>
      <c r="H44" s="22"/>
      <c r="I44" s="22"/>
    </row>
    <row r="45" spans="1:7" ht="12.75">
      <c r="A45" s="33" t="s">
        <v>754</v>
      </c>
      <c r="B45" s="437"/>
      <c r="C45" s="437"/>
      <c r="D45" s="22"/>
      <c r="E45" s="437">
        <f>E44-E43</f>
        <v>0</v>
      </c>
      <c r="F45" s="22"/>
      <c r="G45" s="22"/>
    </row>
    <row r="46" spans="1:7" ht="12.75">
      <c r="A46" s="33"/>
      <c r="B46" s="21"/>
      <c r="C46" s="22"/>
      <c r="D46" s="101"/>
      <c r="E46" s="101"/>
      <c r="F46" s="22"/>
      <c r="G46" s="22"/>
    </row>
    <row r="47" spans="1:7" ht="12.75">
      <c r="A47" s="22"/>
      <c r="B47" s="22"/>
      <c r="C47" s="22"/>
      <c r="D47" s="22"/>
      <c r="E47"/>
      <c r="F47" s="22"/>
      <c r="G47" s="22"/>
    </row>
    <row r="48" spans="1:7" ht="12.75">
      <c r="A48" s="22"/>
      <c r="B48" s="22"/>
      <c r="C48" s="22"/>
      <c r="D48" s="22"/>
      <c r="E48" s="22"/>
      <c r="F48" s="22"/>
      <c r="G48" s="22"/>
    </row>
    <row r="49" spans="1:7" ht="12.75">
      <c r="A49" s="22" t="s">
        <v>912</v>
      </c>
      <c r="B49" s="22"/>
      <c r="C49" s="22"/>
      <c r="D49" s="22"/>
      <c r="E49" s="22"/>
      <c r="F49" s="22"/>
      <c r="G49" s="22"/>
    </row>
    <row r="50" spans="1:7" ht="12.75">
      <c r="A50" s="22" t="s">
        <v>913</v>
      </c>
      <c r="B50" s="22"/>
      <c r="C50" s="22"/>
      <c r="D50" s="22"/>
      <c r="E50" s="22"/>
      <c r="F50" s="22"/>
      <c r="G50" s="22"/>
    </row>
    <row r="51" spans="1:7" ht="12.75">
      <c r="A51" s="22" t="s">
        <v>914</v>
      </c>
      <c r="B51" s="22"/>
      <c r="C51" s="22"/>
      <c r="D51" s="22"/>
      <c r="E51" s="22"/>
      <c r="F51" s="22"/>
      <c r="G51" s="22"/>
    </row>
    <row r="52" spans="1:7" ht="12.75">
      <c r="A52" s="22"/>
      <c r="B52" s="22"/>
      <c r="C52" s="22"/>
      <c r="D52" s="22"/>
      <c r="E52" s="22"/>
      <c r="F52" s="22"/>
      <c r="G52" s="22"/>
    </row>
    <row r="53" spans="1:7" ht="12.75">
      <c r="A53" s="22"/>
      <c r="B53" s="22"/>
      <c r="C53" s="22"/>
      <c r="D53" s="22"/>
      <c r="E53" s="22"/>
      <c r="F53" s="22"/>
      <c r="G53" s="22"/>
    </row>
    <row r="54" spans="1:7" ht="12.75">
      <c r="A54" s="22"/>
      <c r="B54" s="22"/>
      <c r="C54" s="22"/>
      <c r="D54" s="22"/>
      <c r="E54" s="22"/>
      <c r="F54" s="22"/>
      <c r="G54" s="22"/>
    </row>
    <row r="55" spans="1:7" ht="12.75">
      <c r="A55" s="22"/>
      <c r="B55" s="22"/>
      <c r="C55" s="22"/>
      <c r="D55" s="22"/>
      <c r="E55" s="22"/>
      <c r="F55" s="22"/>
      <c r="G55" s="22"/>
    </row>
    <row r="56" spans="1:7" ht="12.75">
      <c r="A56" s="22"/>
      <c r="B56" s="22"/>
      <c r="C56" s="22"/>
      <c r="D56" s="22"/>
      <c r="E56" s="22"/>
      <c r="F56" s="22"/>
      <c r="G56" s="22"/>
    </row>
    <row r="57" spans="1:7" ht="12.75">
      <c r="A57" s="22"/>
      <c r="B57" s="22"/>
      <c r="C57" s="22"/>
      <c r="D57" s="22"/>
      <c r="E57" s="22"/>
      <c r="F57" s="22"/>
      <c r="G57" s="22"/>
    </row>
    <row r="58" spans="1:7" ht="12.75">
      <c r="A58" s="22"/>
      <c r="B58" s="22"/>
      <c r="C58" s="22"/>
      <c r="D58" s="22"/>
      <c r="E58" s="22"/>
      <c r="F58" s="22"/>
      <c r="G58" s="22"/>
    </row>
    <row r="59" spans="1:7" ht="12.75">
      <c r="A59" s="22"/>
      <c r="B59" s="22"/>
      <c r="C59" s="22"/>
      <c r="D59" s="22"/>
      <c r="E59" s="22"/>
      <c r="F59" s="22"/>
      <c r="G59" s="22"/>
    </row>
    <row r="60" spans="1:7" ht="12.75">
      <c r="A60" s="22"/>
      <c r="B60" s="22"/>
      <c r="C60" s="22"/>
      <c r="D60" s="22"/>
      <c r="E60" s="22"/>
      <c r="F60" s="22"/>
      <c r="G60" s="22"/>
    </row>
    <row r="61" spans="1:7" ht="12.75">
      <c r="A61" s="22"/>
      <c r="B61" s="22"/>
      <c r="C61" s="22"/>
      <c r="D61" s="22"/>
      <c r="E61" s="22"/>
      <c r="F61" s="22"/>
      <c r="G61" s="22"/>
    </row>
    <row r="62" spans="1:7" ht="12.75" thickBot="1">
      <c r="A62" s="22" t="s">
        <v>68</v>
      </c>
      <c r="B62" s="240">
        <f>E10+D18+D29+E44+E37</f>
        <v>5664851063.981001</v>
      </c>
      <c r="C62" s="22"/>
      <c r="D62" s="22"/>
      <c r="E62" s="22"/>
      <c r="F62" s="22"/>
      <c r="G62" s="22"/>
    </row>
    <row r="63" spans="1:7" ht="12.75" thickTop="1">
      <c r="A63" s="22"/>
      <c r="B63" s="29"/>
      <c r="C63" s="22"/>
      <c r="D63" s="22"/>
      <c r="E63" s="22"/>
      <c r="F63" s="22"/>
      <c r="G63" s="22"/>
    </row>
    <row r="64" spans="1:7" ht="12.75">
      <c r="A64" s="22" t="s">
        <v>69</v>
      </c>
      <c r="B64" s="29">
        <f>'REVRUNS 12ME1219'!P288</f>
        <v>5684114360.32797</v>
      </c>
      <c r="C64" s="22"/>
      <c r="D64" s="22"/>
      <c r="E64" s="22"/>
      <c r="F64" s="22"/>
      <c r="G64" s="22"/>
    </row>
    <row r="65" spans="1:7" ht="12.75">
      <c r="A65" s="33" t="s">
        <v>70</v>
      </c>
      <c r="B65" s="22"/>
      <c r="C65" s="22"/>
      <c r="D65" s="22"/>
      <c r="E65" s="22"/>
      <c r="F65" s="22"/>
      <c r="G65" s="22"/>
    </row>
    <row r="66" spans="1:7" ht="12.75">
      <c r="A66" s="33" t="s">
        <v>487</v>
      </c>
      <c r="B66" s="29">
        <f>'REVRUNS 12ME1219'!P285-'Bill Determ'!E37</f>
        <v>1301372.6869997978</v>
      </c>
      <c r="C66" s="245" t="s">
        <v>374</v>
      </c>
      <c r="D66" s="22"/>
      <c r="E66" s="22"/>
      <c r="F66" s="22"/>
      <c r="G66" s="22"/>
    </row>
    <row r="67" spans="1:7" ht="12.75">
      <c r="A67" s="33"/>
      <c r="B67" s="29"/>
      <c r="C67" s="245"/>
      <c r="D67" s="22"/>
      <c r="E67" s="22"/>
      <c r="F67" s="22"/>
      <c r="G67" s="22"/>
    </row>
    <row r="68" spans="1:7" ht="12.75">
      <c r="A68" s="33" t="s">
        <v>488</v>
      </c>
      <c r="B68" s="29">
        <f>D26</f>
        <v>0</v>
      </c>
      <c r="C68" s="245" t="s">
        <v>373</v>
      </c>
      <c r="D68" s="22"/>
      <c r="E68" s="22"/>
      <c r="F68" s="22"/>
      <c r="G68" s="22"/>
    </row>
    <row r="69" spans="1:7" ht="12.75">
      <c r="A69" s="33" t="s">
        <v>369</v>
      </c>
      <c r="B69" s="29">
        <f>'REVRUNS 12ME1219'!P287</f>
        <v>17961923.65997</v>
      </c>
      <c r="C69" s="245" t="s">
        <v>373</v>
      </c>
      <c r="D69" s="22"/>
      <c r="E69" s="22"/>
      <c r="F69" s="22"/>
      <c r="G69" s="22"/>
    </row>
    <row r="70" spans="1:7" ht="12.75" thickBot="1">
      <c r="A70" s="22"/>
      <c r="B70" s="241">
        <f>B64-SUM(B66:B69)</f>
        <v>5664851063.981</v>
      </c>
      <c r="C70" s="22"/>
      <c r="D70" s="22"/>
      <c r="E70" s="22"/>
      <c r="F70" s="22"/>
      <c r="G70" s="22"/>
    </row>
    <row r="71" spans="1:7" ht="12.75" thickTop="1">
      <c r="A71" s="22" t="s">
        <v>71</v>
      </c>
      <c r="B71" s="29">
        <f>B62-B70</f>
        <v>0</v>
      </c>
      <c r="C71" s="22"/>
      <c r="D71" s="22"/>
      <c r="E71" s="22"/>
      <c r="F71" s="22"/>
      <c r="G71" s="22"/>
    </row>
    <row r="73" spans="1:2" ht="12.75">
      <c r="A73" s="20" t="s">
        <v>442</v>
      </c>
      <c r="B73" s="242">
        <f>'Pres &amp; Prop Rev'!C20-'Pres &amp; Prop Rev'!C15</f>
        <v>5682812987.640971</v>
      </c>
    </row>
    <row r="74" spans="1:2" ht="12.75">
      <c r="A74" s="20" t="s">
        <v>371</v>
      </c>
      <c r="B74" s="243">
        <f>B62+B69+B68</f>
        <v>5682812987.640971</v>
      </c>
    </row>
    <row r="75" spans="1:2" ht="12.75">
      <c r="A75" s="22" t="s">
        <v>71</v>
      </c>
      <c r="B75" s="244">
        <f>B73-B74</f>
        <v>0</v>
      </c>
    </row>
    <row r="78" spans="1:2" ht="12.75">
      <c r="A78" s="20" t="s">
        <v>372</v>
      </c>
      <c r="B78" s="242">
        <f>'REVRUNS 12ME1219'!P42</f>
        <v>3069310</v>
      </c>
    </row>
    <row r="79" spans="1:2" ht="12.75">
      <c r="A79" s="33" t="s">
        <v>70</v>
      </c>
      <c r="B79" s="242"/>
    </row>
    <row r="80" spans="1:3" ht="12.75">
      <c r="A80" s="33" t="s">
        <v>409</v>
      </c>
      <c r="B80" s="242">
        <f>'REVRUNS 12ME1219'!P39-G37</f>
        <v>0</v>
      </c>
      <c r="C80" s="245" t="s">
        <v>732</v>
      </c>
    </row>
    <row r="81" spans="1:3" ht="12.75">
      <c r="A81" s="33" t="s">
        <v>489</v>
      </c>
      <c r="B81" s="242">
        <f>-F26</f>
        <v>0</v>
      </c>
      <c r="C81" s="245" t="s">
        <v>373</v>
      </c>
    </row>
    <row r="82" spans="1:3" ht="12.75">
      <c r="A82" s="33" t="s">
        <v>369</v>
      </c>
      <c r="B82" s="242">
        <f>'REVRUNS 12ME1219'!P41</f>
        <v>5283</v>
      </c>
      <c r="C82" s="245" t="s">
        <v>373</v>
      </c>
    </row>
    <row r="83" ht="12.75" thickBot="1">
      <c r="B83" s="241">
        <f>B78-SUM(B79:B82)</f>
        <v>3064027</v>
      </c>
    </row>
    <row r="84" ht="12.75" thickTop="1">
      <c r="B84" s="246"/>
    </row>
    <row r="85" spans="1:2" ht="12.75" thickBot="1">
      <c r="A85" s="20" t="s">
        <v>370</v>
      </c>
      <c r="B85" s="247">
        <f>SUM('Pres &amp; Prop Rev'!D25:I25)</f>
        <v>3064027</v>
      </c>
    </row>
    <row r="86" spans="1:2" ht="12.75" thickTop="1">
      <c r="A86" s="22" t="s">
        <v>71</v>
      </c>
      <c r="B86" s="29">
        <f>B83-B85</f>
        <v>0</v>
      </c>
    </row>
    <row r="87" ht="12.75">
      <c r="B87" s="242"/>
    </row>
    <row r="88" ht="12.75">
      <c r="B88" s="242"/>
    </row>
  </sheetData>
  <conditionalFormatting sqref="B75 B71 B86">
    <cfRule type="expression" priority="1" dxfId="0" stopIfTrue="1">
      <formula>ABS(B71)&gt;0.5</formula>
    </cfRule>
  </conditionalFormatting>
  <printOptions/>
  <pageMargins left="0.5" right="0.5" top="1" bottom="1" header="0.25" footer="0.5"/>
  <pageSetup fitToHeight="1" fitToWidth="1" horizontalDpi="600" verticalDpi="600" orientation="portrait"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N35"/>
  <sheetViews>
    <sheetView workbookViewId="0" topLeftCell="A1">
      <selection activeCell="H32" sqref="H32"/>
    </sheetView>
  </sheetViews>
  <sheetFormatPr defaultColWidth="9.140625" defaultRowHeight="12.75"/>
  <cols>
    <col min="2" max="2" width="24.57421875" style="0" bestFit="1" customWidth="1"/>
    <col min="4" max="4" width="15.421875" style="0" bestFit="1" customWidth="1"/>
    <col min="5" max="5" width="12.421875" style="0" bestFit="1" customWidth="1"/>
    <col min="6" max="6" width="13.421875" style="0" bestFit="1" customWidth="1"/>
    <col min="7" max="7" width="9.7109375" style="0" bestFit="1" customWidth="1"/>
    <col min="9" max="9" width="6.7109375" style="0" bestFit="1" customWidth="1"/>
    <col min="12" max="12" width="12.7109375" style="0" bestFit="1" customWidth="1"/>
  </cols>
  <sheetData>
    <row r="4" ht="12.75">
      <c r="A4" s="435"/>
    </row>
    <row r="7" spans="5:12" ht="12.75">
      <c r="E7" s="541"/>
      <c r="L7" s="435"/>
    </row>
    <row r="8" spans="1:12" ht="12.75">
      <c r="A8" s="585"/>
      <c r="B8" s="585"/>
      <c r="C8" s="364"/>
      <c r="D8" s="541"/>
      <c r="E8" s="541"/>
      <c r="F8" s="541"/>
      <c r="G8" s="598"/>
      <c r="L8" s="585"/>
    </row>
    <row r="9" spans="1:12" ht="12.75">
      <c r="A9" s="585"/>
      <c r="B9" s="585"/>
      <c r="C9" s="585"/>
      <c r="D9" s="541"/>
      <c r="E9" s="585"/>
      <c r="F9" s="585"/>
      <c r="G9" s="598"/>
      <c r="L9" s="585"/>
    </row>
    <row r="10" spans="1:12" ht="12.75">
      <c r="A10" s="350"/>
      <c r="B10" s="350"/>
      <c r="C10" s="350"/>
      <c r="D10" s="664"/>
      <c r="E10" s="664"/>
      <c r="F10" s="664"/>
      <c r="G10" s="665"/>
      <c r="L10" s="664"/>
    </row>
    <row r="11" spans="1:12" ht="12.75">
      <c r="A11" s="585"/>
      <c r="B11" s="585"/>
      <c r="C11" s="585"/>
      <c r="D11" s="585"/>
      <c r="E11" s="585"/>
      <c r="F11" s="585"/>
      <c r="G11" s="585"/>
      <c r="L11" s="585"/>
    </row>
    <row r="12" spans="1:12" ht="12.75">
      <c r="A12" s="585"/>
      <c r="B12" s="435"/>
      <c r="C12" s="585"/>
      <c r="G12" s="117"/>
      <c r="L12" s="724"/>
    </row>
    <row r="13" spans="1:14" ht="12.75">
      <c r="A13" s="585"/>
      <c r="B13" s="435"/>
      <c r="C13" s="402"/>
      <c r="D13" s="230"/>
      <c r="E13" s="230"/>
      <c r="F13" s="663"/>
      <c r="G13" s="208"/>
      <c r="I13" s="317"/>
      <c r="J13" s="457"/>
      <c r="L13" s="230"/>
      <c r="N13" s="457"/>
    </row>
    <row r="14" spans="1:14" ht="12.75">
      <c r="A14" s="585"/>
      <c r="B14" s="435"/>
      <c r="C14" s="585"/>
      <c r="D14" s="230"/>
      <c r="E14" s="230"/>
      <c r="G14" s="208"/>
      <c r="L14" s="230"/>
      <c r="N14" s="457"/>
    </row>
    <row r="15" spans="1:14" ht="12.75">
      <c r="A15" s="585"/>
      <c r="B15" s="435"/>
      <c r="C15" s="402"/>
      <c r="D15" s="230"/>
      <c r="E15" s="230"/>
      <c r="F15" s="663"/>
      <c r="G15" s="208"/>
      <c r="L15" s="230"/>
      <c r="N15" s="457"/>
    </row>
    <row r="16" spans="1:14" ht="12.75">
      <c r="A16" s="585"/>
      <c r="B16" s="435"/>
      <c r="C16" s="585"/>
      <c r="D16" s="230"/>
      <c r="E16" s="230"/>
      <c r="G16" s="208"/>
      <c r="L16" s="230"/>
      <c r="N16" s="457"/>
    </row>
    <row r="17" spans="1:14" ht="12.75">
      <c r="A17" s="585"/>
      <c r="B17" s="435"/>
      <c r="C17" s="403"/>
      <c r="D17" s="230"/>
      <c r="E17" s="230"/>
      <c r="F17" s="663"/>
      <c r="G17" s="208"/>
      <c r="L17" s="230"/>
      <c r="N17" s="457"/>
    </row>
    <row r="18" spans="1:14" ht="12.75">
      <c r="A18" s="585"/>
      <c r="B18" s="435"/>
      <c r="C18" s="585"/>
      <c r="D18" s="230"/>
      <c r="E18" s="230"/>
      <c r="G18" s="208"/>
      <c r="L18" s="230"/>
      <c r="N18" s="457"/>
    </row>
    <row r="19" spans="1:14" ht="12.75">
      <c r="A19" s="585"/>
      <c r="B19" s="435"/>
      <c r="C19" s="585"/>
      <c r="D19" s="230"/>
      <c r="E19" s="230"/>
      <c r="F19" s="663"/>
      <c r="G19" s="208"/>
      <c r="L19" s="230"/>
      <c r="N19" s="457"/>
    </row>
    <row r="20" spans="1:14" ht="12.75">
      <c r="A20" s="585"/>
      <c r="B20" s="435"/>
      <c r="C20" s="585"/>
      <c r="D20" s="230"/>
      <c r="E20" s="230"/>
      <c r="G20" s="208"/>
      <c r="L20" s="230"/>
      <c r="N20" s="457"/>
    </row>
    <row r="21" spans="1:14" ht="12.75">
      <c r="A21" s="585"/>
      <c r="B21" s="435"/>
      <c r="C21" s="403"/>
      <c r="D21" s="230"/>
      <c r="E21" s="230"/>
      <c r="F21" s="663"/>
      <c r="G21" s="208"/>
      <c r="L21" s="230"/>
      <c r="N21" s="457"/>
    </row>
    <row r="22" spans="1:14" ht="12.75">
      <c r="A22" s="585"/>
      <c r="B22" s="435"/>
      <c r="C22" s="585"/>
      <c r="D22" s="230"/>
      <c r="E22" s="230"/>
      <c r="G22" s="208"/>
      <c r="L22" s="230"/>
      <c r="N22" s="457"/>
    </row>
    <row r="23" spans="1:14" ht="12.75">
      <c r="A23" s="585"/>
      <c r="B23" s="435"/>
      <c r="C23" s="585"/>
      <c r="D23" s="230"/>
      <c r="E23" s="230"/>
      <c r="F23" s="663"/>
      <c r="G23" s="208"/>
      <c r="L23" s="230"/>
      <c r="N23" s="457"/>
    </row>
    <row r="24" spans="1:14" ht="12.75">
      <c r="A24" s="585"/>
      <c r="B24" s="435"/>
      <c r="C24" s="585"/>
      <c r="D24" s="230"/>
      <c r="E24" s="230"/>
      <c r="L24" s="230"/>
      <c r="N24" s="457"/>
    </row>
    <row r="25" spans="1:14" ht="12.75">
      <c r="A25" s="585"/>
      <c r="B25" s="374"/>
      <c r="C25" s="585"/>
      <c r="D25" s="230"/>
      <c r="E25" s="230"/>
      <c r="F25" s="663"/>
      <c r="L25" s="230"/>
      <c r="N25" s="457"/>
    </row>
    <row r="28" ht="12.75">
      <c r="A28" s="19"/>
    </row>
    <row r="32" spans="3:4" ht="12.75">
      <c r="C32" s="457"/>
      <c r="D32" s="230"/>
    </row>
    <row r="35" ht="12.75">
      <c r="B35" s="435"/>
    </row>
  </sheetData>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3:R29"/>
  <sheetViews>
    <sheetView workbookViewId="0" topLeftCell="A1">
      <selection activeCell="T22" sqref="T22"/>
    </sheetView>
  </sheetViews>
  <sheetFormatPr defaultColWidth="9.140625" defaultRowHeight="12.75"/>
  <cols>
    <col min="1" max="1" width="4.7109375" style="0" customWidth="1"/>
    <col min="2" max="2" width="11.7109375" style="0" customWidth="1"/>
    <col min="3" max="4" width="9.7109375" style="0" bestFit="1" customWidth="1"/>
    <col min="5" max="5" width="9.28125" style="0" bestFit="1" customWidth="1"/>
    <col min="7" max="7" width="11.7109375" style="0" customWidth="1"/>
    <col min="8" max="9" width="9.7109375" style="0" bestFit="1" customWidth="1"/>
    <col min="10" max="10" width="9.28125" style="0" bestFit="1" customWidth="1"/>
    <col min="12" max="13" width="9.28125" style="0" bestFit="1" customWidth="1"/>
    <col min="17" max="17" width="9.28125" style="694" customWidth="1"/>
  </cols>
  <sheetData>
    <row r="3" spans="1:13" ht="15.75">
      <c r="A3" s="522" t="s">
        <v>552</v>
      </c>
      <c r="B3" s="512"/>
      <c r="C3" s="512"/>
      <c r="D3" s="512"/>
      <c r="E3" s="512"/>
      <c r="F3" s="512"/>
      <c r="G3" s="512"/>
      <c r="H3" s="512"/>
      <c r="I3" s="512"/>
      <c r="J3" s="512"/>
      <c r="K3" s="512"/>
      <c r="L3" s="512"/>
      <c r="M3" s="512"/>
    </row>
    <row r="7" spans="1:13" ht="12.75">
      <c r="A7" s="513" t="s">
        <v>555</v>
      </c>
      <c r="B7" s="513"/>
      <c r="C7" s="512"/>
      <c r="D7" s="512"/>
      <c r="E7" s="512"/>
      <c r="F7" s="512"/>
      <c r="G7" s="513" t="s">
        <v>556</v>
      </c>
      <c r="H7" s="513"/>
      <c r="I7" s="512"/>
      <c r="J7" s="512"/>
      <c r="K7" s="512"/>
      <c r="L7" s="512"/>
      <c r="M7" s="512"/>
    </row>
    <row r="8" spans="1:13" ht="12.75">
      <c r="A8" s="512"/>
      <c r="B8" s="512" t="s">
        <v>266</v>
      </c>
      <c r="C8" s="512" t="s">
        <v>504</v>
      </c>
      <c r="D8" s="512" t="s">
        <v>505</v>
      </c>
      <c r="E8" s="512" t="s">
        <v>550</v>
      </c>
      <c r="F8" s="512"/>
      <c r="G8" s="512" t="s">
        <v>266</v>
      </c>
      <c r="H8" s="512" t="s">
        <v>504</v>
      </c>
      <c r="I8" s="512" t="s">
        <v>505</v>
      </c>
      <c r="J8" s="512" t="s">
        <v>550</v>
      </c>
      <c r="K8" s="512"/>
      <c r="L8" s="512" t="s">
        <v>551</v>
      </c>
      <c r="M8" s="512" t="s">
        <v>422</v>
      </c>
    </row>
    <row r="9" spans="1:13" ht="12.75">
      <c r="A9" s="512"/>
      <c r="B9" s="509">
        <f>RD!D14</f>
        <v>9</v>
      </c>
      <c r="C9" s="519">
        <f>RD!H16</f>
        <v>0.07888</v>
      </c>
      <c r="D9" s="519">
        <f>RD!H17</f>
        <v>0.09212</v>
      </c>
      <c r="E9" s="517"/>
      <c r="F9" s="516"/>
      <c r="G9" s="509">
        <f>RD!Q14</f>
        <v>9</v>
      </c>
      <c r="H9" s="519">
        <f>'Rate Design'!D37/100</f>
        <v>0.07887999999999999</v>
      </c>
      <c r="I9" s="519">
        <f>'Rate Design'!D38/100</f>
        <v>0.09212</v>
      </c>
      <c r="J9" s="512"/>
      <c r="K9" s="512"/>
      <c r="L9" s="512"/>
      <c r="M9" s="512"/>
    </row>
    <row r="10" spans="1:13" ht="12.75">
      <c r="A10" s="512">
        <v>100</v>
      </c>
      <c r="B10" s="508">
        <f>$B$9</f>
        <v>9</v>
      </c>
      <c r="C10" s="516">
        <f aca="true" t="shared" si="0" ref="C10:C17">A10*$C$9</f>
        <v>7.888000000000001</v>
      </c>
      <c r="D10" s="516"/>
      <c r="E10" s="508">
        <f>SUM(B10:D10)</f>
        <v>16.888</v>
      </c>
      <c r="F10" s="516"/>
      <c r="G10" s="508">
        <f>$G$9</f>
        <v>9</v>
      </c>
      <c r="H10" s="516">
        <f aca="true" t="shared" si="1" ref="H10:H17">A10*$H$9</f>
        <v>7.887999999999999</v>
      </c>
      <c r="I10" s="516"/>
      <c r="J10" s="515">
        <f>SUM(G10:I10)</f>
        <v>16.887999999999998</v>
      </c>
      <c r="K10" s="512"/>
      <c r="L10" s="514">
        <f>J10-E10</f>
        <v>0</v>
      </c>
      <c r="M10" s="520">
        <f>L10/E10</f>
        <v>0</v>
      </c>
    </row>
    <row r="11" spans="1:17" s="505" customFormat="1" ht="12.75">
      <c r="A11" s="512">
        <v>200</v>
      </c>
      <c r="B11" s="508">
        <f>$B$9</f>
        <v>9</v>
      </c>
      <c r="C11" s="516">
        <f t="shared" si="0"/>
        <v>15.776000000000002</v>
      </c>
      <c r="D11" s="516"/>
      <c r="E11" s="508">
        <f>SUM(B11:D11)</f>
        <v>24.776000000000003</v>
      </c>
      <c r="F11" s="516"/>
      <c r="G11" s="508">
        <f>$G$9</f>
        <v>9</v>
      </c>
      <c r="H11" s="516">
        <f t="shared" si="1"/>
        <v>15.775999999999998</v>
      </c>
      <c r="I11" s="516"/>
      <c r="J11" s="515">
        <f>SUM(G11:I11)</f>
        <v>24.775999999999996</v>
      </c>
      <c r="K11" s="512"/>
      <c r="L11" s="514">
        <f aca="true" t="shared" si="2" ref="L11:L24">J11-E11</f>
        <v>0</v>
      </c>
      <c r="M11" s="520">
        <f>L11/E11</f>
        <v>0</v>
      </c>
      <c r="Q11" s="694"/>
    </row>
    <row r="12" spans="1:17" s="505" customFormat="1" ht="12.75">
      <c r="A12" s="512">
        <v>300</v>
      </c>
      <c r="B12" s="508">
        <f>$B$9</f>
        <v>9</v>
      </c>
      <c r="C12" s="516">
        <f t="shared" si="0"/>
        <v>23.664</v>
      </c>
      <c r="D12" s="516"/>
      <c r="E12" s="508">
        <f>SUM(B12:D12)</f>
        <v>32.664</v>
      </c>
      <c r="F12" s="516"/>
      <c r="G12" s="508">
        <f>$G$9</f>
        <v>9</v>
      </c>
      <c r="H12" s="516">
        <f t="shared" si="1"/>
        <v>23.663999999999998</v>
      </c>
      <c r="I12" s="516"/>
      <c r="J12" s="515">
        <f>SUM(G12:I12)</f>
        <v>32.664</v>
      </c>
      <c r="K12" s="512"/>
      <c r="L12" s="514">
        <f t="shared" si="2"/>
        <v>0</v>
      </c>
      <c r="M12" s="520">
        <f>L12/E12</f>
        <v>0</v>
      </c>
      <c r="Q12" s="694"/>
    </row>
    <row r="13" spans="1:17" s="505" customFormat="1" ht="12.75">
      <c r="A13" s="512">
        <v>400</v>
      </c>
      <c r="B13" s="508">
        <f>$B$9</f>
        <v>9</v>
      </c>
      <c r="C13" s="516">
        <f t="shared" si="0"/>
        <v>31.552000000000003</v>
      </c>
      <c r="D13" s="516"/>
      <c r="E13" s="508">
        <f>SUM(B13:D13)</f>
        <v>40.55200000000001</v>
      </c>
      <c r="F13" s="516"/>
      <c r="G13" s="508">
        <f>$G$9</f>
        <v>9</v>
      </c>
      <c r="H13" s="516">
        <f t="shared" si="1"/>
        <v>31.551999999999996</v>
      </c>
      <c r="I13" s="516"/>
      <c r="J13" s="515">
        <f>SUM(G13:I13)</f>
        <v>40.55199999999999</v>
      </c>
      <c r="K13" s="512"/>
      <c r="L13" s="514">
        <f t="shared" si="2"/>
        <v>0</v>
      </c>
      <c r="M13" s="520">
        <f>L13/E13</f>
        <v>0</v>
      </c>
      <c r="Q13" s="694"/>
    </row>
    <row r="14" spans="1:17" s="505" customFormat="1" ht="12.75">
      <c r="A14" s="512">
        <v>500</v>
      </c>
      <c r="B14" s="508">
        <f>$B$9</f>
        <v>9</v>
      </c>
      <c r="C14" s="516">
        <f t="shared" si="0"/>
        <v>39.440000000000005</v>
      </c>
      <c r="D14" s="516"/>
      <c r="E14" s="508">
        <f>SUM(B14:D14)</f>
        <v>48.440000000000005</v>
      </c>
      <c r="F14" s="516"/>
      <c r="G14" s="508">
        <f>$G$9</f>
        <v>9</v>
      </c>
      <c r="H14" s="516">
        <f t="shared" si="1"/>
        <v>39.44</v>
      </c>
      <c r="I14" s="516"/>
      <c r="J14" s="515">
        <f>SUM(G14:I14)</f>
        <v>48.44</v>
      </c>
      <c r="K14" s="512"/>
      <c r="L14" s="514">
        <f t="shared" si="2"/>
        <v>0</v>
      </c>
      <c r="M14" s="520">
        <f>L14/E14</f>
        <v>0</v>
      </c>
      <c r="Q14" s="694"/>
    </row>
    <row r="15" spans="1:13" ht="12.75">
      <c r="A15" s="512">
        <v>600</v>
      </c>
      <c r="B15" s="508">
        <f aca="true" t="shared" si="3" ref="B15:B24">$B$9</f>
        <v>9</v>
      </c>
      <c r="C15" s="516">
        <f t="shared" si="0"/>
        <v>47.328</v>
      </c>
      <c r="D15" s="516"/>
      <c r="E15" s="508">
        <f aca="true" t="shared" si="4" ref="E15:E24">SUM(B15:D15)</f>
        <v>56.328</v>
      </c>
      <c r="F15" s="516"/>
      <c r="G15" s="508">
        <f aca="true" t="shared" si="5" ref="G15:G24">$G$9</f>
        <v>9</v>
      </c>
      <c r="H15" s="516">
        <f t="shared" si="1"/>
        <v>47.327999999999996</v>
      </c>
      <c r="I15" s="516"/>
      <c r="J15" s="515">
        <f aca="true" t="shared" si="6" ref="J15:J24">SUM(G15:I15)</f>
        <v>56.327999999999996</v>
      </c>
      <c r="K15" s="512"/>
      <c r="L15" s="514">
        <f t="shared" si="2"/>
        <v>0</v>
      </c>
      <c r="M15" s="520">
        <f aca="true" t="shared" si="7" ref="M15:M24">L15/E15</f>
        <v>0</v>
      </c>
    </row>
    <row r="16" spans="1:17" s="505" customFormat="1" ht="12.75">
      <c r="A16" s="512">
        <v>700</v>
      </c>
      <c r="B16" s="508">
        <f t="shared" si="3"/>
        <v>9</v>
      </c>
      <c r="C16" s="516">
        <f t="shared" si="0"/>
        <v>55.216</v>
      </c>
      <c r="D16" s="516"/>
      <c r="E16" s="508">
        <f>SUM(B16:D16)</f>
        <v>64.21600000000001</v>
      </c>
      <c r="F16" s="516"/>
      <c r="G16" s="508">
        <f t="shared" si="5"/>
        <v>9</v>
      </c>
      <c r="H16" s="516">
        <f t="shared" si="1"/>
        <v>55.215999999999994</v>
      </c>
      <c r="I16" s="516"/>
      <c r="J16" s="515">
        <f>SUM(G16:I16)</f>
        <v>64.216</v>
      </c>
      <c r="K16" s="512"/>
      <c r="L16" s="514">
        <f t="shared" si="2"/>
        <v>0</v>
      </c>
      <c r="M16" s="520">
        <f>L16/E16</f>
        <v>0</v>
      </c>
      <c r="Q16" s="694"/>
    </row>
    <row r="17" spans="1:13" ht="13.5" thickBot="1">
      <c r="A17" s="512">
        <v>800</v>
      </c>
      <c r="B17" s="508">
        <f t="shared" si="3"/>
        <v>9</v>
      </c>
      <c r="C17" s="516">
        <f t="shared" si="0"/>
        <v>63.104000000000006</v>
      </c>
      <c r="D17" s="516"/>
      <c r="E17" s="508">
        <f t="shared" si="4"/>
        <v>72.10400000000001</v>
      </c>
      <c r="F17" s="516"/>
      <c r="G17" s="508">
        <f t="shared" si="5"/>
        <v>9</v>
      </c>
      <c r="H17" s="516">
        <f t="shared" si="1"/>
        <v>63.10399999999999</v>
      </c>
      <c r="I17" s="516"/>
      <c r="J17" s="515">
        <f t="shared" si="6"/>
        <v>72.10399999999998</v>
      </c>
      <c r="K17" s="512"/>
      <c r="L17" s="514">
        <f t="shared" si="2"/>
        <v>0</v>
      </c>
      <c r="M17" s="520">
        <f t="shared" si="7"/>
        <v>0</v>
      </c>
    </row>
    <row r="18" spans="1:18" ht="13.5" thickBot="1">
      <c r="A18" s="636">
        <f>ROUND('Pres &amp; Prop Rev'!D46/'Pres &amp; Prop Rev'!D48,0)</f>
        <v>914</v>
      </c>
      <c r="B18" s="510">
        <f t="shared" si="3"/>
        <v>9</v>
      </c>
      <c r="C18" s="518">
        <f>ROUND($C$17,2)</f>
        <v>63.1</v>
      </c>
      <c r="D18" s="518">
        <f>ROUND((A18-$A$17)*$D$9,2)</f>
        <v>10.5</v>
      </c>
      <c r="E18" s="510">
        <f t="shared" si="4"/>
        <v>82.6</v>
      </c>
      <c r="F18" s="518"/>
      <c r="G18" s="510">
        <f t="shared" si="5"/>
        <v>9</v>
      </c>
      <c r="H18" s="518">
        <f>ROUND($H$17,2)</f>
        <v>63.1</v>
      </c>
      <c r="I18" s="518">
        <f>ROUND((A18-$A$17)*$I$9,2)</f>
        <v>10.5</v>
      </c>
      <c r="J18" s="511">
        <f>SUM(G18:I18)</f>
        <v>82.6</v>
      </c>
      <c r="K18" s="521"/>
      <c r="L18" s="507">
        <f t="shared" si="2"/>
        <v>0</v>
      </c>
      <c r="M18" s="506">
        <f>L18/E18</f>
        <v>0</v>
      </c>
      <c r="N18" s="159"/>
      <c r="P18" s="589"/>
      <c r="Q18" s="700"/>
      <c r="R18" s="457"/>
    </row>
    <row r="19" spans="1:13" ht="12.75">
      <c r="A19" s="512">
        <v>1000</v>
      </c>
      <c r="B19" s="508">
        <f t="shared" si="3"/>
        <v>9</v>
      </c>
      <c r="C19" s="516">
        <f>ROUND($C$17,2)</f>
        <v>63.1</v>
      </c>
      <c r="D19" s="516">
        <f>ROUND((A19-$A$17)*$D$9,2)</f>
        <v>18.42</v>
      </c>
      <c r="E19" s="508">
        <f t="shared" si="4"/>
        <v>90.52</v>
      </c>
      <c r="F19" s="516"/>
      <c r="G19" s="508">
        <f t="shared" si="5"/>
        <v>9</v>
      </c>
      <c r="H19" s="516">
        <f>ROUND($H$17,2)</f>
        <v>63.1</v>
      </c>
      <c r="I19" s="516">
        <f>ROUND((A19-$A$17)*$I$9,2)</f>
        <v>18.42</v>
      </c>
      <c r="J19" s="515">
        <f t="shared" si="6"/>
        <v>90.52</v>
      </c>
      <c r="K19" s="512"/>
      <c r="L19" s="514">
        <f t="shared" si="2"/>
        <v>0</v>
      </c>
      <c r="M19" s="520">
        <f t="shared" si="7"/>
        <v>0</v>
      </c>
    </row>
    <row r="20" spans="1:17" s="505" customFormat="1" ht="12.75">
      <c r="A20" s="512">
        <v>1100</v>
      </c>
      <c r="B20" s="508">
        <f t="shared" si="3"/>
        <v>9</v>
      </c>
      <c r="C20" s="516">
        <f>$C$17</f>
        <v>63.104000000000006</v>
      </c>
      <c r="D20" s="516">
        <f>(A20-$A$17)*$D$9</f>
        <v>27.636</v>
      </c>
      <c r="E20" s="508">
        <f>SUM(B20:D20)</f>
        <v>99.74000000000001</v>
      </c>
      <c r="F20" s="516"/>
      <c r="G20" s="508">
        <f t="shared" si="5"/>
        <v>9</v>
      </c>
      <c r="H20" s="516">
        <f>$H$17</f>
        <v>63.10399999999999</v>
      </c>
      <c r="I20" s="516">
        <f>(A20-$A$17)*$I$9</f>
        <v>27.636</v>
      </c>
      <c r="J20" s="515">
        <f>SUM(G20:I20)</f>
        <v>99.73999999999998</v>
      </c>
      <c r="K20" s="512"/>
      <c r="L20" s="514">
        <f t="shared" si="2"/>
        <v>0</v>
      </c>
      <c r="M20" s="520">
        <f>L20/E20</f>
        <v>0</v>
      </c>
      <c r="Q20" s="694"/>
    </row>
    <row r="21" spans="1:13" ht="12.75">
      <c r="A21" s="512">
        <v>1200</v>
      </c>
      <c r="B21" s="508">
        <f t="shared" si="3"/>
        <v>9</v>
      </c>
      <c r="C21" s="516">
        <f>$C$17</f>
        <v>63.104000000000006</v>
      </c>
      <c r="D21" s="516">
        <f>(A21-$A$17)*$D$9</f>
        <v>36.848</v>
      </c>
      <c r="E21" s="508">
        <f t="shared" si="4"/>
        <v>108.95200000000001</v>
      </c>
      <c r="F21" s="516"/>
      <c r="G21" s="508">
        <f t="shared" si="5"/>
        <v>9</v>
      </c>
      <c r="H21" s="516">
        <f>$H$17</f>
        <v>63.10399999999999</v>
      </c>
      <c r="I21" s="516">
        <f>(A21-$A$17)*$I$9</f>
        <v>36.848</v>
      </c>
      <c r="J21" s="515">
        <f t="shared" si="6"/>
        <v>108.95199999999998</v>
      </c>
      <c r="K21" s="512"/>
      <c r="L21" s="514">
        <f t="shared" si="2"/>
        <v>0</v>
      </c>
      <c r="M21" s="520">
        <f t="shared" si="7"/>
        <v>0</v>
      </c>
    </row>
    <row r="22" spans="1:17" s="505" customFormat="1" ht="12.75">
      <c r="A22" s="512">
        <v>1300</v>
      </c>
      <c r="B22" s="508">
        <f t="shared" si="3"/>
        <v>9</v>
      </c>
      <c r="C22" s="516">
        <f>$C$17</f>
        <v>63.104000000000006</v>
      </c>
      <c r="D22" s="516">
        <f>(A22-$A$17)*$D$9</f>
        <v>46.059999999999995</v>
      </c>
      <c r="E22" s="508">
        <f>SUM(B22:D22)</f>
        <v>118.16400000000002</v>
      </c>
      <c r="F22" s="516"/>
      <c r="G22" s="508">
        <f t="shared" si="5"/>
        <v>9</v>
      </c>
      <c r="H22" s="516">
        <f>$H$17</f>
        <v>63.10399999999999</v>
      </c>
      <c r="I22" s="516">
        <f>(A22-$A$17)*$I$9</f>
        <v>46.059999999999995</v>
      </c>
      <c r="J22" s="515">
        <f>SUM(G22:I22)</f>
        <v>118.16399999999999</v>
      </c>
      <c r="K22" s="512"/>
      <c r="L22" s="514">
        <f t="shared" si="2"/>
        <v>0</v>
      </c>
      <c r="M22" s="520">
        <f>L22/E22</f>
        <v>0</v>
      </c>
      <c r="Q22" s="694"/>
    </row>
    <row r="23" spans="1:17" s="505" customFormat="1" ht="12.75">
      <c r="A23" s="512">
        <v>1400</v>
      </c>
      <c r="B23" s="508">
        <f t="shared" si="3"/>
        <v>9</v>
      </c>
      <c r="C23" s="516">
        <f>$C$17</f>
        <v>63.104000000000006</v>
      </c>
      <c r="D23" s="516">
        <f>(A23-$A$17)*$D$9</f>
        <v>55.272</v>
      </c>
      <c r="E23" s="508">
        <f>SUM(B23:D23)</f>
        <v>127.376</v>
      </c>
      <c r="F23" s="516"/>
      <c r="G23" s="508">
        <f t="shared" si="5"/>
        <v>9</v>
      </c>
      <c r="H23" s="516">
        <f>$H$17</f>
        <v>63.10399999999999</v>
      </c>
      <c r="I23" s="516">
        <f>(A23-$A$17)*$I$9</f>
        <v>55.272</v>
      </c>
      <c r="J23" s="515">
        <f>SUM(G23:I23)</f>
        <v>127.37599999999998</v>
      </c>
      <c r="K23" s="512"/>
      <c r="L23" s="514">
        <f t="shared" si="2"/>
        <v>0</v>
      </c>
      <c r="M23" s="520">
        <f>L23/E23</f>
        <v>0</v>
      </c>
      <c r="Q23" s="694"/>
    </row>
    <row r="24" spans="1:13" ht="12.75">
      <c r="A24" s="512">
        <v>1500</v>
      </c>
      <c r="B24" s="508">
        <f t="shared" si="3"/>
        <v>9</v>
      </c>
      <c r="C24" s="516">
        <f>$C$17</f>
        <v>63.104000000000006</v>
      </c>
      <c r="D24" s="516">
        <f>(A24-$A$17)*$D$9</f>
        <v>64.484</v>
      </c>
      <c r="E24" s="508">
        <f t="shared" si="4"/>
        <v>136.58800000000002</v>
      </c>
      <c r="F24" s="516"/>
      <c r="G24" s="508">
        <f t="shared" si="5"/>
        <v>9</v>
      </c>
      <c r="H24" s="516">
        <f>$H$17</f>
        <v>63.10399999999999</v>
      </c>
      <c r="I24" s="516">
        <f>(A24-$A$17)*$I$9</f>
        <v>64.484</v>
      </c>
      <c r="J24" s="515">
        <f t="shared" si="6"/>
        <v>136.58799999999997</v>
      </c>
      <c r="K24" s="512"/>
      <c r="L24" s="514">
        <f t="shared" si="2"/>
        <v>0</v>
      </c>
      <c r="M24" s="520">
        <f t="shared" si="7"/>
        <v>0</v>
      </c>
    </row>
    <row r="25" ht="12.75">
      <c r="E25" s="508"/>
    </row>
    <row r="28" spans="7:13" ht="12.75">
      <c r="G28" s="317"/>
      <c r="H28" s="647"/>
      <c r="I28" s="647"/>
      <c r="L28" s="317"/>
      <c r="M28" s="457"/>
    </row>
    <row r="29" spans="7:13" ht="12.75">
      <c r="G29" s="317"/>
      <c r="H29" s="589"/>
      <c r="I29" s="589"/>
      <c r="L29" s="317"/>
      <c r="M29" s="457"/>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6:Y47"/>
  <sheetViews>
    <sheetView workbookViewId="0" topLeftCell="A1">
      <selection activeCell="F29" sqref="F29"/>
    </sheetView>
  </sheetViews>
  <sheetFormatPr defaultColWidth="9.28125" defaultRowHeight="12.75"/>
  <cols>
    <col min="1" max="1" width="4.421875" style="728" customWidth="1"/>
    <col min="2" max="2" width="24.57421875" style="728" bestFit="1" customWidth="1"/>
    <col min="3" max="3" width="8.7109375" style="728" bestFit="1" customWidth="1"/>
    <col min="4" max="4" width="13.421875" style="728" bestFit="1" customWidth="1"/>
    <col min="5" max="6" width="13.57421875" style="728" bestFit="1" customWidth="1"/>
    <col min="7" max="7" width="13.28125" style="728" customWidth="1"/>
    <col min="8" max="8" width="13.421875" style="728" customWidth="1"/>
    <col min="9" max="9" width="13.57421875" style="728" customWidth="1"/>
    <col min="10" max="10" width="4.7109375" style="728" customWidth="1"/>
    <col min="11" max="11" width="14.00390625" style="728" bestFit="1" customWidth="1"/>
    <col min="12" max="12" width="10.28125" style="728" bestFit="1" customWidth="1"/>
    <col min="13" max="13" width="4.57421875" style="728" customWidth="1"/>
    <col min="14" max="14" width="11.28125" style="728" bestFit="1" customWidth="1"/>
    <col min="15" max="15" width="9.7109375" style="728" bestFit="1" customWidth="1"/>
    <col min="16" max="16" width="11.28125" style="728" bestFit="1" customWidth="1"/>
    <col min="17" max="17" width="9.28125" style="728" customWidth="1"/>
    <col min="18" max="18" width="14.00390625" style="728" bestFit="1" customWidth="1"/>
    <col min="19" max="16384" width="9.28125" style="728" customWidth="1"/>
  </cols>
  <sheetData>
    <row r="6" spans="4:12" ht="12.75">
      <c r="D6" s="541"/>
      <c r="K6" s="541" t="s">
        <v>66</v>
      </c>
      <c r="L6" s="741"/>
    </row>
    <row r="7" spans="4:25" ht="12.75">
      <c r="D7" s="541" t="s">
        <v>921</v>
      </c>
      <c r="E7" s="541" t="s">
        <v>284</v>
      </c>
      <c r="F7" s="541" t="s">
        <v>324</v>
      </c>
      <c r="G7" s="745">
        <v>0.065</v>
      </c>
      <c r="H7" s="541" t="s">
        <v>286</v>
      </c>
      <c r="I7" s="541" t="s">
        <v>286</v>
      </c>
      <c r="J7" s="541"/>
      <c r="K7" s="541" t="s">
        <v>922</v>
      </c>
      <c r="L7" s="741"/>
      <c r="R7" s="541" t="s">
        <v>324</v>
      </c>
      <c r="S7" s="729"/>
      <c r="T7" s="729"/>
      <c r="U7" s="729"/>
      <c r="V7" s="729"/>
      <c r="W7" s="729"/>
      <c r="X7" s="729"/>
      <c r="Y7" s="19"/>
    </row>
    <row r="8" spans="2:18" ht="12.75">
      <c r="B8" s="585" t="s">
        <v>287</v>
      </c>
      <c r="C8" s="585" t="s">
        <v>311</v>
      </c>
      <c r="D8" s="541" t="s">
        <v>426</v>
      </c>
      <c r="E8" s="541" t="s">
        <v>923</v>
      </c>
      <c r="F8" s="541" t="s">
        <v>923</v>
      </c>
      <c r="G8" s="541" t="s">
        <v>923</v>
      </c>
      <c r="H8" s="541" t="s">
        <v>923</v>
      </c>
      <c r="I8" s="541" t="s">
        <v>923</v>
      </c>
      <c r="J8" s="541"/>
      <c r="K8" s="541" t="s">
        <v>275</v>
      </c>
      <c r="L8" s="741"/>
      <c r="R8" s="541" t="s">
        <v>326</v>
      </c>
    </row>
    <row r="9" spans="2:18" ht="12.75">
      <c r="B9" s="350" t="s">
        <v>290</v>
      </c>
      <c r="C9" s="350" t="s">
        <v>291</v>
      </c>
      <c r="D9" s="730" t="s">
        <v>458</v>
      </c>
      <c r="E9" s="730" t="s">
        <v>275</v>
      </c>
      <c r="F9" s="730" t="s">
        <v>106</v>
      </c>
      <c r="G9" s="730" t="s">
        <v>292</v>
      </c>
      <c r="H9" s="730" t="s">
        <v>106</v>
      </c>
      <c r="I9" s="730" t="s">
        <v>275</v>
      </c>
      <c r="J9" s="730"/>
      <c r="K9" s="731" t="s">
        <v>379</v>
      </c>
      <c r="L9" s="741"/>
      <c r="R9" s="732" t="s">
        <v>106</v>
      </c>
    </row>
    <row r="10" spans="2:12" ht="12.75">
      <c r="B10" s="585" t="s">
        <v>293</v>
      </c>
      <c r="C10" s="585" t="s">
        <v>294</v>
      </c>
      <c r="D10" s="585" t="s">
        <v>295</v>
      </c>
      <c r="E10" s="585" t="s">
        <v>296</v>
      </c>
      <c r="F10" s="585" t="s">
        <v>297</v>
      </c>
      <c r="G10" s="585" t="s">
        <v>298</v>
      </c>
      <c r="H10" s="585" t="s">
        <v>299</v>
      </c>
      <c r="I10" s="585" t="s">
        <v>319</v>
      </c>
      <c r="J10" s="585"/>
      <c r="K10" s="732" t="s">
        <v>924</v>
      </c>
      <c r="L10" s="364"/>
    </row>
    <row r="11" spans="2:12" ht="12.75">
      <c r="B11" s="435"/>
      <c r="C11" s="585"/>
      <c r="L11" s="584"/>
    </row>
    <row r="12" spans="2:22" ht="12.75">
      <c r="B12" s="435" t="s">
        <v>300</v>
      </c>
      <c r="C12" s="402" t="s">
        <v>701</v>
      </c>
      <c r="D12" s="663">
        <f>'Pres &amp; Prop Rev'!D46</f>
        <v>2395485524.8310003</v>
      </c>
      <c r="E12" s="733">
        <v>0.00121</v>
      </c>
      <c r="F12" s="401">
        <f>D12*E12</f>
        <v>2898537.4850455103</v>
      </c>
      <c r="G12" s="401">
        <f ca="1">F12*$G$37</f>
        <v>-202897.62395318574</v>
      </c>
      <c r="H12" s="58">
        <f ca="1">F12+G12</f>
        <v>2695639.8610923244</v>
      </c>
      <c r="I12" s="553">
        <f ca="1">ROUND(H12/D12,5)</f>
        <v>0.00113</v>
      </c>
      <c r="J12" s="553"/>
      <c r="K12" s="734">
        <f ca="1">ROUND(I12-E12,5)</f>
        <v>-8E-05</v>
      </c>
      <c r="L12" s="742"/>
      <c r="R12" s="735">
        <f>'Rate Spread GRC'!J15*1000</f>
        <v>227265744.89999998</v>
      </c>
      <c r="S12" s="424">
        <f ca="1">(G12)/R12</f>
        <v>-0.0008927769736810247</v>
      </c>
      <c r="U12" s="53">
        <f ca="1">E12*(1+$G$37)</f>
        <v>0.0011252999999999999</v>
      </c>
      <c r="V12" s="457" t="e">
        <f>#REF!/R12</f>
        <v>#REF!</v>
      </c>
    </row>
    <row r="13" spans="2:22" ht="12.75">
      <c r="B13" s="435"/>
      <c r="C13" s="585"/>
      <c r="F13" s="401"/>
      <c r="G13" s="401"/>
      <c r="H13" s="58"/>
      <c r="I13" s="553"/>
      <c r="J13" s="553"/>
      <c r="K13" s="734"/>
      <c r="L13" s="742"/>
      <c r="R13" s="735"/>
      <c r="S13" s="424"/>
      <c r="U13" s="53"/>
      <c r="V13" s="457"/>
    </row>
    <row r="14" spans="2:22" ht="12.75">
      <c r="B14" s="435" t="s">
        <v>301</v>
      </c>
      <c r="C14" s="402" t="s">
        <v>466</v>
      </c>
      <c r="D14" s="663">
        <f>'Pres &amp; Prop Rev'!E46</f>
        <v>621898153.5359999</v>
      </c>
      <c r="E14" s="733">
        <v>0.0017587339728228494</v>
      </c>
      <c r="F14" s="401">
        <f>D14*E14</f>
        <v>1093753.4102595635</v>
      </c>
      <c r="G14" s="401">
        <f ca="1">F14*$G$37</f>
        <v>-76562.73871816945</v>
      </c>
      <c r="H14" s="58">
        <f aca="true" t="shared" si="0" ref="H14:H20">F14+G14</f>
        <v>1017190.671541394</v>
      </c>
      <c r="I14" s="553">
        <f aca="true" t="shared" si="1" ref="I14:I20">ROUND(H14/D14,5)</f>
        <v>0.00164</v>
      </c>
      <c r="J14" s="553"/>
      <c r="K14" s="734">
        <f aca="true" t="shared" si="2" ref="K14:K20">ROUND(I14-E14,5)</f>
        <v>-0.00012</v>
      </c>
      <c r="L14" s="742"/>
      <c r="R14" s="735">
        <f>'Rate Spread GRC'!J17*1000</f>
        <v>80142524.13846149</v>
      </c>
      <c r="S14" s="424">
        <f aca="true" t="shared" si="3" ref="S14:S24">(G14)/R14</f>
        <v>-0.0009553322601356145</v>
      </c>
      <c r="U14" s="53">
        <f ca="1">E14*(1+$G$37)</f>
        <v>0.0016356225947252497</v>
      </c>
      <c r="V14" s="457" t="e">
        <f>#REF!/R14</f>
        <v>#REF!</v>
      </c>
    </row>
    <row r="15" spans="2:22" ht="12.75">
      <c r="B15" s="435"/>
      <c r="C15" s="585"/>
      <c r="F15" s="401"/>
      <c r="G15" s="401">
        <f ca="1">F15*$G$37</f>
        <v>0</v>
      </c>
      <c r="H15" s="58"/>
      <c r="I15" s="553"/>
      <c r="J15" s="553"/>
      <c r="K15" s="734"/>
      <c r="L15" s="742"/>
      <c r="R15" s="735"/>
      <c r="S15" s="424"/>
      <c r="U15" s="53"/>
      <c r="V15" s="457"/>
    </row>
    <row r="16" spans="2:22" ht="12.75">
      <c r="B16" s="435" t="s">
        <v>302</v>
      </c>
      <c r="C16" s="403" t="s">
        <v>467</v>
      </c>
      <c r="D16" s="663">
        <f>'Pres &amp; Prop Rev'!F46</f>
        <v>1369570126.257</v>
      </c>
      <c r="E16" s="733">
        <v>0.0012673461719255375</v>
      </c>
      <c r="F16" s="401">
        <f aca="true" t="shared" si="4" ref="F16:F20">D16*E16</f>
        <v>1735719.456695384</v>
      </c>
      <c r="G16" s="401">
        <f ca="1">F16*$G$37</f>
        <v>-121500.3619686769</v>
      </c>
      <c r="H16" s="58">
        <f ca="1" t="shared" si="0"/>
        <v>1614219.0947267073</v>
      </c>
      <c r="I16" s="553">
        <f ca="1" t="shared" si="1"/>
        <v>0.00118</v>
      </c>
      <c r="J16" s="553"/>
      <c r="K16" s="734">
        <f ca="1" t="shared" si="2"/>
        <v>-9E-05</v>
      </c>
      <c r="L16" s="742"/>
      <c r="R16" s="735">
        <f>'Rate Spread GRC'!J19*1000</f>
        <v>137100899.020769</v>
      </c>
      <c r="S16" s="424">
        <f ca="1" t="shared" si="3"/>
        <v>-0.0008862112709433887</v>
      </c>
      <c r="U16" s="53">
        <f ca="1">E16*(1+$G$37)</f>
        <v>0.0011786319398907497</v>
      </c>
      <c r="V16" s="457" t="e">
        <f>#REF!/R16</f>
        <v>#REF!</v>
      </c>
    </row>
    <row r="17" spans="2:22" ht="12.75">
      <c r="B17" s="435"/>
      <c r="C17" s="585"/>
      <c r="F17" s="401"/>
      <c r="G17" s="401"/>
      <c r="H17" s="58"/>
      <c r="I17" s="553"/>
      <c r="J17" s="553"/>
      <c r="K17" s="734"/>
      <c r="L17" s="742"/>
      <c r="R17" s="735"/>
      <c r="S17" s="424"/>
      <c r="U17" s="53"/>
      <c r="V17" s="457"/>
    </row>
    <row r="18" spans="2:22" ht="12.75">
      <c r="B18" s="435" t="s">
        <v>321</v>
      </c>
      <c r="C18" s="585">
        <v>25</v>
      </c>
      <c r="D18" s="663">
        <f>'Pres &amp; Prop Rev'!G31+'Pres &amp; Prop Rev'!G32</f>
        <v>702644246.7149999</v>
      </c>
      <c r="E18" s="733">
        <v>0.0007957711493086021</v>
      </c>
      <c r="F18" s="401">
        <f t="shared" si="4"/>
        <v>559144.0197634724</v>
      </c>
      <c r="G18" s="401">
        <f ca="1">F18*$G$37</f>
        <v>-39140.08138344307</v>
      </c>
      <c r="H18" s="58">
        <f ca="1" t="shared" si="0"/>
        <v>520003.9383800293</v>
      </c>
      <c r="I18" s="553">
        <f ca="1" t="shared" si="1"/>
        <v>0.00074</v>
      </c>
      <c r="J18" s="553"/>
      <c r="K18" s="734">
        <f ca="1" t="shared" si="2"/>
        <v>-6E-05</v>
      </c>
      <c r="L18" s="742"/>
      <c r="R18" s="735">
        <f>'Rate Spread GRC'!J21*1000</f>
        <v>66870044.327399984</v>
      </c>
      <c r="S18" s="424">
        <f ca="1" t="shared" si="3"/>
        <v>-0.0005853156189311127</v>
      </c>
      <c r="U18" s="53">
        <f ca="1">E18*(1+$G$37)</f>
        <v>0.0007400671688569998</v>
      </c>
      <c r="V18" s="457" t="e">
        <f>#REF!/R18</f>
        <v>#REF!</v>
      </c>
    </row>
    <row r="19" spans="2:22" ht="12.75">
      <c r="B19" s="435"/>
      <c r="C19" s="585"/>
      <c r="F19" s="401"/>
      <c r="G19" s="401"/>
      <c r="H19" s="58"/>
      <c r="I19" s="553"/>
      <c r="J19" s="553"/>
      <c r="K19" s="734"/>
      <c r="L19" s="742"/>
      <c r="R19" s="735"/>
      <c r="S19" s="424"/>
      <c r="U19" s="53"/>
      <c r="V19" s="457"/>
    </row>
    <row r="20" spans="2:22" ht="12.75">
      <c r="B20" s="435" t="s">
        <v>303</v>
      </c>
      <c r="C20" s="403" t="s">
        <v>468</v>
      </c>
      <c r="D20" s="663">
        <f>'Pres &amp; Prop Rev'!H46</f>
        <v>139623053.042</v>
      </c>
      <c r="E20" s="733">
        <v>0.001100341719439516</v>
      </c>
      <c r="F20" s="401">
        <f t="shared" si="4"/>
        <v>153633.070257629</v>
      </c>
      <c r="G20" s="401">
        <f ca="1">F20*$G$37</f>
        <v>-10754.314918034032</v>
      </c>
      <c r="H20" s="58">
        <f ca="1" t="shared" si="0"/>
        <v>142878.75533959497</v>
      </c>
      <c r="I20" s="553">
        <f ca="1" t="shared" si="1"/>
        <v>0.00102</v>
      </c>
      <c r="J20" s="553"/>
      <c r="K20" s="734">
        <f ca="1" t="shared" si="2"/>
        <v>-8E-05</v>
      </c>
      <c r="L20" s="742"/>
      <c r="R20" s="735">
        <f>'Rate Spread GRC'!J23*1000</f>
        <v>12559152.45</v>
      </c>
      <c r="S20" s="424">
        <f ca="1" t="shared" si="3"/>
        <v>-0.0008562930469113011</v>
      </c>
      <c r="U20" s="53">
        <f ca="1">E20*(1+$G$37)</f>
        <v>0.0010233177990787497</v>
      </c>
      <c r="V20" s="457" t="e">
        <f>#REF!/R20</f>
        <v>#REF!</v>
      </c>
    </row>
    <row r="21" spans="2:22" ht="12.75">
      <c r="B21" s="435"/>
      <c r="C21" s="585"/>
      <c r="G21" s="401"/>
      <c r="H21" s="58"/>
      <c r="I21" s="117"/>
      <c r="J21" s="117"/>
      <c r="K21" s="734"/>
      <c r="L21" s="742"/>
      <c r="R21" s="735"/>
      <c r="S21" s="424"/>
      <c r="U21" s="53"/>
      <c r="V21" s="457"/>
    </row>
    <row r="22" spans="2:22" ht="12.75">
      <c r="B22" s="435" t="s">
        <v>304</v>
      </c>
      <c r="C22" s="585" t="s">
        <v>352</v>
      </c>
      <c r="D22" s="663">
        <f>'Pres &amp; Prop Rev'!I46</f>
        <v>17961923.65997</v>
      </c>
      <c r="E22" s="424">
        <v>0.014934145158134408</v>
      </c>
      <c r="F22" s="401">
        <f>K47*'[1] Elec'!E22</f>
        <v>94125.6338202864</v>
      </c>
      <c r="G22" s="401">
        <f ca="1">F22*$G$37</f>
        <v>-6588.794367420049</v>
      </c>
      <c r="H22" s="58">
        <f ca="1">F22+G22</f>
        <v>87536.83945286635</v>
      </c>
      <c r="I22" s="644">
        <f ca="1">ROUND(H22/K47,4)</f>
        <v>0.0132</v>
      </c>
      <c r="J22" s="644"/>
      <c r="K22" s="424">
        <f ca="1">ROUND(I22-E22,4)</f>
        <v>-0.0017</v>
      </c>
      <c r="L22" s="743"/>
      <c r="R22" s="735">
        <f>'Rate Spread GRC'!J25*1000</f>
        <v>6757562.281992</v>
      </c>
      <c r="S22" s="424">
        <f ca="1" t="shared" si="3"/>
        <v>-0.0009750253260674053</v>
      </c>
      <c r="U22" s="424">
        <f ca="1">E22*(1+$G$37)</f>
        <v>0.013888754997064998</v>
      </c>
      <c r="V22" s="457" t="e">
        <f>#REF!/R22</f>
        <v>#REF!</v>
      </c>
    </row>
    <row r="23" spans="2:22" ht="12.75">
      <c r="B23" s="435"/>
      <c r="C23" s="585"/>
      <c r="R23" s="401"/>
      <c r="S23" s="424"/>
      <c r="V23" s="457"/>
    </row>
    <row r="24" spans="2:22" ht="12.75">
      <c r="B24" s="374" t="s">
        <v>66</v>
      </c>
      <c r="C24" s="585"/>
      <c r="D24" s="663">
        <f>SUM(D12:D22)</f>
        <v>5247183028.040971</v>
      </c>
      <c r="F24" s="58">
        <f>SUM(F12:F22)</f>
        <v>6534913.075841846</v>
      </c>
      <c r="G24" s="58">
        <f ca="1">SUM(G12:G22)</f>
        <v>-457443.9153089292</v>
      </c>
      <c r="H24" s="58">
        <f ca="1">SUM(H12:H22)</f>
        <v>6077469.160532916</v>
      </c>
      <c r="I24" s="58"/>
      <c r="J24" s="58"/>
      <c r="K24" s="58"/>
      <c r="R24" s="58">
        <f>SUM(R12:R22)</f>
        <v>530695927.1186224</v>
      </c>
      <c r="S24" s="424">
        <f ca="1" t="shared" si="3"/>
        <v>-0.0008619699001509018</v>
      </c>
      <c r="V24" s="457">
        <f>K24/R24</f>
        <v>0</v>
      </c>
    </row>
    <row r="25" ht="12.75">
      <c r="K25" s="58"/>
    </row>
    <row r="26" spans="5:18" ht="12.75">
      <c r="E26" s="736" t="s">
        <v>925</v>
      </c>
      <c r="F26" s="401">
        <f>F24*G38</f>
        <v>6244965.517579819</v>
      </c>
      <c r="G26" s="58">
        <f ca="1">F26*G37</f>
        <v>-437147.5862305874</v>
      </c>
      <c r="H26" s="401">
        <f ca="1">H24*G38</f>
        <v>5807817.931349231</v>
      </c>
      <c r="I26" s="401"/>
      <c r="J26" s="401"/>
      <c r="K26" s="401"/>
      <c r="L26" s="58"/>
      <c r="R26" s="647"/>
    </row>
    <row r="27" spans="7:18" ht="12.75">
      <c r="G27" s="457">
        <f ca="1">G26/F26</f>
        <v>-0.07</v>
      </c>
      <c r="R27" s="424"/>
    </row>
    <row r="29" ht="12.75">
      <c r="B29" s="543" t="s">
        <v>943</v>
      </c>
    </row>
    <row r="30" spans="2:3" ht="12.75">
      <c r="B30" s="435" t="s">
        <v>936</v>
      </c>
      <c r="C30" s="424">
        <f ca="1">RS!G16</f>
        <v>0</v>
      </c>
    </row>
    <row r="31" spans="2:15" ht="12.75">
      <c r="B31" s="435" t="s">
        <v>933</v>
      </c>
      <c r="C31" s="424">
        <f ca="1">C30*2</f>
        <v>0</v>
      </c>
      <c r="O31" s="647"/>
    </row>
    <row r="32" spans="2:3" ht="12.75">
      <c r="B32" s="435" t="s">
        <v>934</v>
      </c>
      <c r="C32" s="746">
        <v>-0.07</v>
      </c>
    </row>
    <row r="33" spans="2:3" ht="12.75">
      <c r="B33" s="435" t="s">
        <v>935</v>
      </c>
      <c r="C33" s="205">
        <f ca="1">SUM(C31:C32)</f>
        <v>-0.07</v>
      </c>
    </row>
    <row r="37" spans="7:14" ht="12.75">
      <c r="G37" s="457">
        <f ca="1">(C30*2)-0.07</f>
        <v>-0.07</v>
      </c>
      <c r="H37" s="728" t="s">
        <v>926</v>
      </c>
      <c r="K37" s="58">
        <f ca="1">F26*G37</f>
        <v>-437147.5862305874</v>
      </c>
      <c r="L37" s="457">
        <f ca="1">K37/F24</f>
        <v>-0.06689417</v>
      </c>
      <c r="M37" s="457"/>
      <c r="N37" s="737"/>
    </row>
    <row r="38" spans="7:14" ht="12.75">
      <c r="G38" s="744">
        <v>0.955631</v>
      </c>
      <c r="H38" s="728" t="s">
        <v>927</v>
      </c>
      <c r="K38" s="58"/>
      <c r="L38" s="457"/>
      <c r="M38" s="457"/>
      <c r="N38" s="457"/>
    </row>
    <row r="39" spans="7:14" ht="12.75">
      <c r="G39" s="424"/>
      <c r="K39" s="401"/>
      <c r="L39" s="457"/>
      <c r="M39" s="457"/>
      <c r="N39" s="457"/>
    </row>
    <row r="41" spans="9:14" ht="12.75">
      <c r="I41" s="19" t="s">
        <v>928</v>
      </c>
      <c r="J41" s="19"/>
      <c r="K41" s="738">
        <f>ROUND((800*'Bill Impact'!C9),2)+ROUND((118*'Bill Impact'!D9),2)+9</f>
        <v>82.97</v>
      </c>
      <c r="L41" s="19"/>
      <c r="M41" s="19"/>
      <c r="N41" s="19" t="s">
        <v>929</v>
      </c>
    </row>
    <row r="42" spans="9:14" ht="12.75">
      <c r="I42" s="19" t="s">
        <v>930</v>
      </c>
      <c r="J42" s="19"/>
      <c r="K42" s="738">
        <f ca="1">ROUND((800*('Bill Impact'!C9+K12)),2)+ROUND((118*('Bill Impact'!D9+K12)),2)+9</f>
        <v>82.9</v>
      </c>
      <c r="L42" s="19"/>
      <c r="M42" s="19"/>
      <c r="N42" s="19"/>
    </row>
    <row r="43" spans="9:14" ht="12.75">
      <c r="I43" s="19" t="s">
        <v>931</v>
      </c>
      <c r="J43" s="19"/>
      <c r="K43" s="739">
        <f ca="1">K42-K41</f>
        <v>-0.06999999999999318</v>
      </c>
      <c r="L43" s="740">
        <f ca="1">K43/K41</f>
        <v>-0.0008436784379895526</v>
      </c>
      <c r="M43" s="740"/>
      <c r="N43" s="19"/>
    </row>
    <row r="46" ht="12.75"/>
    <row r="47" spans="7:11" ht="12.75">
      <c r="G47" s="435" t="s">
        <v>932</v>
      </c>
      <c r="K47" s="530">
        <f>RS!F26*1000</f>
        <v>6628565.761991999</v>
      </c>
    </row>
  </sheetData>
  <printOptions/>
  <pageMargins left="0.7" right="0.7" top="0.75" bottom="0.75" header="0.3" footer="0.3"/>
  <pageSetup fitToHeight="1" fitToWidth="1" horizontalDpi="600" verticalDpi="600" orientation="landscape" scale="94" r:id="rId3"/>
  <headerFooter>
    <oddHeader>&amp;LAvista Electric
LIRAP Rate Calculation
UE-190334</oddHeader>
    <oddFooter>&amp;LAttachment A&amp;RPage 3 of 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Miller, Joe</cp:lastModifiedBy>
  <cp:lastPrinted>2020-09-24T17:52:55Z</cp:lastPrinted>
  <dcterms:created xsi:type="dcterms:W3CDTF">2002-06-14T21:00:48Z</dcterms:created>
  <dcterms:modified xsi:type="dcterms:W3CDTF">2020-10-27T15:39:30Z</dcterms:modified>
  <cp:category/>
  <cp:version/>
  <cp:contentType/>
  <cp:contentStatus/>
</cp:coreProperties>
</file>