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350" windowWidth="27255" windowHeight="12180"/>
  </bookViews>
  <sheets>
    <sheet name="JAP-23 Page 1" sheetId="1" r:id="rId1"/>
    <sheet name="JAP-23 Page 2" sheetId="2" r:id="rId2"/>
    <sheet name="JAP-23 Page 3" sheetId="3" r:id="rId3"/>
    <sheet name="JAP-23 Page 4" sheetId="4" r:id="rId4"/>
    <sheet name="JAP-23 Page 5" sheetId="5" r:id="rId5"/>
    <sheet name="JAP-23 Page 6" sheetId="6" r:id="rId6"/>
    <sheet name="JAP-23 Page 7" sheetId="7" r:id="rId7"/>
    <sheet name="JAP-23 Page 8" sheetId="8" r:id="rId8"/>
    <sheet name="JAP-23 Page 9" sheetId="9" r:id="rId9"/>
    <sheet name="JAP-23 Page 10" sheetId="10" r:id="rId10"/>
    <sheet name="JAP -23 Page 11" sheetId="11" r:id="rId11"/>
    <sheet name="JAP-23 Page 12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D" hidden="1">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3">[4]BS!#REF!</definedName>
    <definedName name="__Feb04" localSheetId="8">[4]BS!#REF!</definedName>
    <definedName name="__Feb04">[4]BS!#REF!</definedName>
    <definedName name="__Jan04" localSheetId="3">[4]BS!#REF!</definedName>
    <definedName name="__Jan04" localSheetId="8">[4]BS!#REF!</definedName>
    <definedName name="__Jan04">[4]BS!#REF!</definedName>
    <definedName name="__Jul04">[3]BS!$X$7:$X$3582</definedName>
    <definedName name="__Jun04">[3]BS!$W$7:$W$3582</definedName>
    <definedName name="__Mar04" localSheetId="3">[4]BS!#REF!</definedName>
    <definedName name="__Mar04" localSheetId="8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3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8" hidden="1">{#N/A,#N/A,FALSE,"schA"}</definedName>
    <definedName name="__www1" hidden="1">{#N/A,#N/A,FALSE,"schA"}</definedName>
    <definedName name="_1_94_12_94" localSheetId="3">[5]DT_A_DOL93!#REF!</definedName>
    <definedName name="_1_94_12_94" localSheetId="8">[5]DT_A_DOL93!#REF!</definedName>
    <definedName name="_1_94_12_94">[5]DT_A_DOL93!#REF!</definedName>
    <definedName name="_1_95_12_95" localSheetId="3">[5]DT_A_DOL93!#REF!</definedName>
    <definedName name="_1_95_12_95" localSheetId="8">[5]DT_A_DOL93!#REF!</definedName>
    <definedName name="_1_95_12_95">[5]DT_A_DOL93!#REF!</definedName>
    <definedName name="_1_96_12_96" localSheetId="3">[5]DT_A_DOL93!#REF!</definedName>
    <definedName name="_1_96_12_96" localSheetId="8">[5]DT_A_DOL93!#REF!</definedName>
    <definedName name="_1_96_12_96">[5]DT_A_DOL93!#REF!</definedName>
    <definedName name="_1_97_12_97" localSheetId="3">[5]DT_A_DOL93!#REF!</definedName>
    <definedName name="_1_97_12_97" localSheetId="8">[5]DT_A_DOL93!#REF!</definedName>
    <definedName name="_1_97_12_97">[5]DT_A_DOL93!#REF!</definedName>
    <definedName name="_1_98_12_98" localSheetId="3">[5]DT_A_DOL93!#REF!</definedName>
    <definedName name="_1_98_12_98" localSheetId="8">[5]DT_A_DOL93!#REF!</definedName>
    <definedName name="_1_98_12_98">[5]DT_A_DOL93!#REF!</definedName>
    <definedName name="_Apr04">[3]BS!$U$7:$U$3582</definedName>
    <definedName name="_Apr05" localSheetId="3">[6]BS!#REF!</definedName>
    <definedName name="_Apr05" localSheetId="8">[6]BS!#REF!</definedName>
    <definedName name="_Apr05">[6]BS!#REF!</definedName>
    <definedName name="_Aug04">[3]BS!$Y$7:$Y$3582</definedName>
    <definedName name="_Aug05" localSheetId="3">[6]BS!#REF!</definedName>
    <definedName name="_Aug05" localSheetId="8">[6]BS!#REF!</definedName>
    <definedName name="_Aug05">[6]BS!#REF!</definedName>
    <definedName name="_Dec03">[2]BS!$T$7:$T$3582</definedName>
    <definedName name="_Dec04">[3]BS!$AC$7:$AC$3580</definedName>
    <definedName name="_End" localSheetId="3">[6]BS!#REF!</definedName>
    <definedName name="_End" localSheetId="8">[6]BS!#REF!</definedName>
    <definedName name="_End">[6]BS!#REF!</definedName>
    <definedName name="_Feb04">[3]BS!$S$7:$S$3582</definedName>
    <definedName name="_Feb05" localSheetId="3">[6]BS!#REF!</definedName>
    <definedName name="_Feb05" localSheetId="8">[6]BS!#REF!</definedName>
    <definedName name="_Feb05">[6]BS!#REF!</definedName>
    <definedName name="_Fill" localSheetId="3">[7]model!#REF!</definedName>
    <definedName name="_Fill" localSheetId="8">[7]model!#REF!</definedName>
    <definedName name="_Fill">[7]model!#REF!</definedName>
    <definedName name="_Jan04">[3]BS!$R$7:$R$3582</definedName>
    <definedName name="_Jan05" localSheetId="3">[6]BS!#REF!</definedName>
    <definedName name="_Jan05" localSheetId="8">[6]BS!#REF!</definedName>
    <definedName name="_Jan05">[6]BS!#REF!</definedName>
    <definedName name="_Jul04">[3]BS!$X$7:$X$3582</definedName>
    <definedName name="_Jul05" localSheetId="3">[6]BS!#REF!</definedName>
    <definedName name="_Jul05" localSheetId="8">[6]BS!#REF!</definedName>
    <definedName name="_Jul05">[6]BS!#REF!</definedName>
    <definedName name="_Jun04">[3]BS!$W$7:$W$3582</definedName>
    <definedName name="_Jun05" localSheetId="3">[6]BS!#REF!</definedName>
    <definedName name="_Jun05" localSheetId="8">[6]BS!#REF!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 localSheetId="3">[6]BS!#REF!</definedName>
    <definedName name="_Mar05" localSheetId="8">[6]BS!#REF!</definedName>
    <definedName name="_Mar05">[6]BS!#REF!</definedName>
    <definedName name="_May04">[3]BS!$V$7:$V$3582</definedName>
    <definedName name="_May05" localSheetId="3">[6]BS!#REF!</definedName>
    <definedName name="_May05" localSheetId="8">[6]BS!#REF!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 localSheetId="3">[6]BS!#REF!</definedName>
    <definedName name="_Sep05" localSheetId="8">[6]BS!#REF!</definedName>
    <definedName name="_Sep05">[6]BS!#REF!</definedName>
    <definedName name="_Sort" hidden="1">#REF!</definedName>
    <definedName name="a" localSheetId="3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3">#REF!</definedName>
    <definedName name="apeek" localSheetId="8">#REF!</definedName>
    <definedName name="apeek">#REF!</definedName>
    <definedName name="Apr03AMA" localSheetId="3">[4]BS!#REF!</definedName>
    <definedName name="Apr03AMA" localSheetId="8">[4]BS!#REF!</definedName>
    <definedName name="Apr03AMA">[4]BS!#REF!</definedName>
    <definedName name="Apr04AMA">[3]BS!$AG$7:$AG$3582</definedName>
    <definedName name="Apr05AMA" localSheetId="3">[6]BS!#REF!</definedName>
    <definedName name="Apr05AMA" localSheetId="8">[6]BS!#REF!</definedName>
    <definedName name="Apr05AMA">[6]BS!#REF!</definedName>
    <definedName name="AS2DocOpenMode" hidden="1">"AS2DocumentEdit"</definedName>
    <definedName name="Aug03AMA" localSheetId="3">[4]BS!#REF!</definedName>
    <definedName name="Aug03AMA" localSheetId="8">[4]BS!#REF!</definedName>
    <definedName name="Aug03AMA">[4]BS!#REF!</definedName>
    <definedName name="Aug04AMA">[3]BS!$AK$7:$AK$3582</definedName>
    <definedName name="Aug05AMA" localSheetId="3">[6]BS!#REF!</definedName>
    <definedName name="Aug05AMA" localSheetId="8">[6]BS!#REF!</definedName>
    <definedName name="Aug05AMA">[6]BS!#REF!</definedName>
    <definedName name="Aurora_Prices">"Monthly Price Summary'!$C$4:$H$63"</definedName>
    <definedName name="b" localSheetId="10" hidden="1">{#N/A,#N/A,FALSE,"Coversheet";#N/A,#N/A,FALSE,"QA"}</definedName>
    <definedName name="b" localSheetId="0" hidden="1">{#N/A,#N/A,FALSE,"Coversheet";#N/A,#N/A,FALSE,"QA"}</definedName>
    <definedName name="b" localSheetId="11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DDEBT" localSheetId="3">[7]model!#REF!</definedName>
    <definedName name="BADDEBT" localSheetId="8">[7]model!#REF!</definedName>
    <definedName name="BADDEBT">[7]model!#REF!</definedName>
    <definedName name="BD" localSheetId="3">[9]model!#REF!</definedName>
    <definedName name="BD" localSheetId="8">[9]model!#REF!</definedName>
    <definedName name="BD">[9]model!#REF!</definedName>
    <definedName name="BEP" localSheetId="3">[7]model!#REF!</definedName>
    <definedName name="BEP" localSheetId="8">[7]model!#REF!</definedName>
    <definedName name="BEP">[7]model!#REF!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BottomRight" localSheetId="3">#REF!</definedName>
    <definedName name="BottomRight" localSheetId="8">#REF!</definedName>
    <definedName name="BottomRight">#REF!</definedName>
    <definedName name="Capacity" localSheetId="3">#REF!</definedName>
    <definedName name="Capacity" localSheetId="8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3">#REF!</definedName>
    <definedName name="CL_RT" localSheetId="8">#REF!</definedName>
    <definedName name="CL_RT">#REF!</definedName>
    <definedName name="CL_RT2">'[10]Transp Data'!$A$6:$C$81</definedName>
    <definedName name="COLHOUSE" localSheetId="3">[7]model!#REF!</definedName>
    <definedName name="COLHOUSE" localSheetId="8">[7]model!#REF!</definedName>
    <definedName name="COLHOUSE">[7]model!#REF!</definedName>
    <definedName name="COLXFER" localSheetId="3">[7]model!#REF!</definedName>
    <definedName name="COLXFER" localSheetId="8">[7]model!#REF!</definedName>
    <definedName name="COLXFER">[7]model!#REF!</definedName>
    <definedName name="CombWC_LineItem" localSheetId="3">[6]BS!#REF!</definedName>
    <definedName name="CombWC_LineItem" localSheetId="8">[6]BS!#REF!</definedName>
    <definedName name="CombWC_LineItem">[6]BS!#REF!</definedName>
    <definedName name="COMMON_ADMIN_ALLOCATED" localSheetId="3">#REF!</definedName>
    <definedName name="COMMON_ADMIN_ALLOCATED" localSheetId="8">#REF!</definedName>
    <definedName name="COMMON_ADMIN_ALLOCATED">#REF!</definedName>
    <definedName name="COMPINSR" localSheetId="3">#REF!</definedName>
    <definedName name="COMPINSR" localSheetId="8">#REF!</definedName>
    <definedName name="COMPINSR">#REF!</definedName>
    <definedName name="CONSERV" localSheetId="3">#REF!</definedName>
    <definedName name="CONSERV" localSheetId="8">#REF!</definedName>
    <definedName name="CONSERV">#REF!</definedName>
    <definedName name="Consv_Rdr_Rt" localSheetId="3">[11]Sch_120!#REF!</definedName>
    <definedName name="Consv_Rdr_Rt" localSheetId="8">[11]Sch_120!#REF!</definedName>
    <definedName name="Consv_Rdr_Rt">[11]Sch_120!#REF!</definedName>
    <definedName name="ContractDate" localSheetId="3">'[12]Dispatch Cases'!#REF!</definedName>
    <definedName name="ContractDate" localSheetId="8">'[12]Dispatch Cases'!#REF!</definedName>
    <definedName name="ContractDate">'[12]Dispatch Cases'!#REF!</definedName>
    <definedName name="Conv_Factor" localSheetId="3">[11]Sch_120!#REF!</definedName>
    <definedName name="Conv_Factor" localSheetId="8">[11]Sch_120!#REF!</definedName>
    <definedName name="Conv_Factor">[11]Sch_120!#REF!</definedName>
    <definedName name="ConversionFactor">[8]Assumptions!$I$65</definedName>
    <definedName name="CONVFACT" localSheetId="3">#REF!</definedName>
    <definedName name="CONVFACT" localSheetId="8">#REF!</definedName>
    <definedName name="CONVFACT">#REF!</definedName>
    <definedName name="CurrQtr">'[13]Inc Stmt'!$AJ$222</definedName>
    <definedName name="cust" localSheetId="3">#REF!</definedName>
    <definedName name="cust" localSheetId="8">#REF!</definedName>
    <definedName name="cust">#REF!</definedName>
    <definedName name="CUSTDEP" localSheetId="3">#REF!</definedName>
    <definedName name="CUSTDEP" localSheetId="8">#REF!</definedName>
    <definedName name="CUSTDEP">#REF!</definedName>
    <definedName name="Data" localSheetId="3">#REF!</definedName>
    <definedName name="Data" localSheetId="8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3">[4]BS!#REF!</definedName>
    <definedName name="Dec02AMA" localSheetId="8">[4]BS!#REF!</definedName>
    <definedName name="Dec02AMA">[4]BS!#REF!</definedName>
    <definedName name="Dec03AMA">[2]BS!$AJ$7:$AJ$3582</definedName>
    <definedName name="Dec04AMA">[3]BS!$AO$7:$AO$3582</definedName>
    <definedName name="Degree_Days" localSheetId="3">#REF!</definedName>
    <definedName name="Degree_Days" localSheetId="8">#REF!</definedName>
    <definedName name="Degree_Days">#REF!</definedName>
    <definedName name="DELETE01" localSheetId="10" hidden="1">{#N/A,#N/A,FALSE,"Coversheet";#N/A,#N/A,FALSE,"QA"}</definedName>
    <definedName name="DELETE01" localSheetId="0" hidden="1">{#N/A,#N/A,FALSE,"Coversheet";#N/A,#N/A,FALSE,"QA"}</definedName>
    <definedName name="DELETE01" localSheetId="11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0" hidden="1">{#N/A,#N/A,FALSE,"Schedule F";#N/A,#N/A,FALSE,"Schedule G"}</definedName>
    <definedName name="DELETE02" localSheetId="11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0" hidden="1">{#N/A,#N/A,FALSE,"Coversheet";#N/A,#N/A,FALSE,"QA"}</definedName>
    <definedName name="Delete06" localSheetId="11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0" hidden="1">{#N/A,#N/A,FALSE,"Coversheet";#N/A,#N/A,FALSE,"QA"}</definedName>
    <definedName name="Delete09" localSheetId="11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0" hidden="1">{#N/A,#N/A,FALSE,"Coversheet";#N/A,#N/A,FALSE,"QA"}</definedName>
    <definedName name="Delete1" localSheetId="11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0" hidden="1">{#N/A,#N/A,FALSE,"Schedule F";#N/A,#N/A,FALSE,"Schedule G"}</definedName>
    <definedName name="Delete10" localSheetId="11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0" hidden="1">{#N/A,#N/A,FALSE,"Coversheet";#N/A,#N/A,FALSE,"QA"}</definedName>
    <definedName name="Delete21" localSheetId="11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PRECIATION" localSheetId="3">#REF!</definedName>
    <definedName name="DEPRECIATION" localSheetId="8">#REF!</definedName>
    <definedName name="DEPRECIATION">#REF!</definedName>
    <definedName name="DF_HeatRate">[8]Assumptions!$L$23</definedName>
    <definedName name="DFIT" localSheetId="10" hidden="1">{#N/A,#N/A,FALSE,"Coversheet";#N/A,#N/A,FALSE,"QA"}</definedName>
    <definedName name="DFIT" localSheetId="0" hidden="1">{#N/A,#N/A,FALSE,"Coversheet";#N/A,#N/A,FALSE,"QA"}</definedName>
    <definedName name="DFIT" localSheetId="1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sc" localSheetId="3">'[12]Debt Amortization'!#REF!</definedName>
    <definedName name="Disc" localSheetId="8">'[12]Debt Amortization'!#REF!</definedName>
    <definedName name="Disc">'[12]Debt Amortization'!#REF!</definedName>
    <definedName name="DOCKET" localSheetId="3">#REF!</definedName>
    <definedName name="DOCKET" localSheetId="8">#REF!</definedName>
    <definedName name="DOCKET">#REF!</definedName>
    <definedName name="ee" hidden="1">{#N/A,#N/A,FALSE,"Month ";#N/A,#N/A,FALSE,"YTD";#N/A,#N/A,FALSE,"12 mo ended"}</definedName>
    <definedName name="Electp1" localSheetId="3">#REF!</definedName>
    <definedName name="Electp1" localSheetId="8">#REF!</definedName>
    <definedName name="Electp1">#REF!</definedName>
    <definedName name="Electp2" localSheetId="3">#REF!</definedName>
    <definedName name="Electp2" localSheetId="8">#REF!</definedName>
    <definedName name="Electp2">#REF!</definedName>
    <definedName name="Electric_Prices">'[14]Monthly Price Summary'!$B$4:$E$27</definedName>
    <definedName name="ElecWC_LineItems" localSheetId="3">[6]BS!#REF!</definedName>
    <definedName name="ElecWC_LineItems" localSheetId="8">[6]BS!#REF!</definedName>
    <definedName name="ElecWC_LineItems">[6]BS!#REF!</definedName>
    <definedName name="ElRBLine">[3]BS!$AQ$7:$AQ$3303</definedName>
    <definedName name="EMPLBENE" localSheetId="3">#REF!</definedName>
    <definedName name="EMPLBENE" localSheetId="8">#REF!</definedName>
    <definedName name="EMPLBENE">#REF!</definedName>
    <definedName name="EndDate">[8]Assumptions!$C$11</definedName>
    <definedName name="Estimate" localSheetId="3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ACTORS" localSheetId="3">#REF!</definedName>
    <definedName name="FACTORS" localSheetId="8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3">[4]BS!#REF!</definedName>
    <definedName name="Feb03AMA" localSheetId="8">[4]BS!#REF!</definedName>
    <definedName name="Feb03AMA">[4]BS!#REF!</definedName>
    <definedName name="Feb04AMA">[3]BS!$AE$7:$AE$3582</definedName>
    <definedName name="Feb05AMA" localSheetId="3">[6]BS!#REF!</definedName>
    <definedName name="Feb05AMA" localSheetId="8">[6]BS!#REF!</definedName>
    <definedName name="Feb05AMA">[6]BS!#REF!</definedName>
    <definedName name="Fed_Cap_Tax">[15]Inputs!$E$112</definedName>
    <definedName name="FEDERAL_INCOME_TAX" localSheetId="3">#REF!</definedName>
    <definedName name="FEDERAL_INCOME_TAX" localSheetId="8">#REF!</definedName>
    <definedName name="FEDERAL_INCOME_TAX">#REF!</definedName>
    <definedName name="FedTaxRate">[8]Assumptions!$C$33</definedName>
    <definedName name="FF" localSheetId="3">#REF!</definedName>
    <definedName name="FF" localSheetId="8">#REF!</definedName>
    <definedName name="FF">#REF!</definedName>
    <definedName name="FIELDCHRG" localSheetId="3">#REF!</definedName>
    <definedName name="FIELDCHRG" localSheetId="8">#REF!</definedName>
    <definedName name="FIELDCHRG">#REF!</definedName>
    <definedName name="Final" localSheetId="3">#REF!</definedName>
    <definedName name="Final" localSheetId="8">#REF!</definedName>
    <definedName name="Final">#REF!</definedName>
    <definedName name="FIT" localSheetId="3">'[16]2.29'!#REF!</definedName>
    <definedName name="FIT" localSheetId="8">'[16]2.29'!#REF!</definedName>
    <definedName name="FIT">'[16]2.29'!#REF!</definedName>
    <definedName name="Fuel" localSheetId="3">#REF!</definedName>
    <definedName name="Fuel" localSheetId="8">#REF!</definedName>
    <definedName name="Fuel">#REF!</definedName>
    <definedName name="GasRBLine">[3]BS!$AS$7:$AS$3631</definedName>
    <definedName name="GasWC_LineItem">[3]BS!$AR$7:$AR$3631</definedName>
    <definedName name="GeoDate" localSheetId="3">'[12]Dispatch Cases'!#REF!</definedName>
    <definedName name="GeoDate" localSheetId="8">'[12]Dispatch Cases'!#REF!</definedName>
    <definedName name="GeoDate">'[12]Dispatch Cases'!#REF!</definedName>
    <definedName name="graph" localSheetId="3">#REF!</definedName>
    <definedName name="graph" localSheetId="8">#REF!</definedName>
    <definedName name="graph">#REF!</definedName>
    <definedName name="HydroCap" localSheetId="3">#REF!</definedName>
    <definedName name="HydroCap" localSheetId="8">#REF!</definedName>
    <definedName name="HydroCap">#REF!</definedName>
    <definedName name="HydroGen" localSheetId="3">[12]Dispatch!#REF!</definedName>
    <definedName name="HydroGen" localSheetId="8">[12]Dispatch!#REF!</definedName>
    <definedName name="HydroGen">[12]Dispatch!#REF!</definedName>
    <definedName name="inact" localSheetId="3">#REF!</definedName>
    <definedName name="inact" localSheetId="8">#REF!</definedName>
    <definedName name="inact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3">#REF!</definedName>
    <definedName name="INCSTMNT" localSheetId="8">#REF!</definedName>
    <definedName name="INCSTMNT">#REF!</definedName>
    <definedName name="INCSTMT" localSheetId="3">#REF!</definedName>
    <definedName name="INCSTMT" localSheetId="8">#REF!</definedName>
    <definedName name="INCSTMT">#REF!</definedName>
    <definedName name="Inputs" localSheetId="3">'[17]Daily Calc'!#REF!</definedName>
    <definedName name="Inputs" localSheetId="8">'[17]Daily Calc'!#REF!</definedName>
    <definedName name="Inputs">'[17]Daily Calc'!#REF!</definedName>
    <definedName name="INTRESEXCH" localSheetId="3">#REF!</definedName>
    <definedName name="INTRESEXCH" localSheetId="8">#REF!</definedName>
    <definedName name="INTRESEXCH">#REF!</definedName>
    <definedName name="INVPLAN" localSheetId="3">#REF!</definedName>
    <definedName name="INVPLAN" localSheetId="8">#REF!</definedName>
    <definedName name="INVPLAN">#REF!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3">[4]BS!#REF!</definedName>
    <definedName name="Jan03AMA" localSheetId="8">[4]BS!#REF!</definedName>
    <definedName name="Jan03AMA">[4]BS!#REF!</definedName>
    <definedName name="Jan04AMA">[3]BS!$AD$7:$AD$3582</definedName>
    <definedName name="Jan05AMA" localSheetId="3">[6]BS!#REF!</definedName>
    <definedName name="Jan05AMA" localSheetId="8">[6]BS!#REF!</definedName>
    <definedName name="Jan05AMA">[6]BS!#REF!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3">[4]BS!#REF!</definedName>
    <definedName name="Jul03AMA" localSheetId="8">[4]BS!#REF!</definedName>
    <definedName name="Jul03AMA">[4]BS!#REF!</definedName>
    <definedName name="Jul04AMA">[3]BS!$AJ$7:$AJ$3582</definedName>
    <definedName name="Jul05AMA" localSheetId="3">[6]BS!#REF!</definedName>
    <definedName name="Jul05AMA" localSheetId="8">[6]BS!#REF!</definedName>
    <definedName name="Jul05AMA">[6]BS!#REF!</definedName>
    <definedName name="Jun03AMA" localSheetId="3">[4]BS!#REF!</definedName>
    <definedName name="Jun03AMA" localSheetId="8">[4]BS!#REF!</definedName>
    <definedName name="Jun03AMA">[4]BS!#REF!</definedName>
    <definedName name="Jun04AMA">[3]BS!$AI$7:$AI$3582</definedName>
    <definedName name="Jun05AMA" localSheetId="3">[6]BS!#REF!</definedName>
    <definedName name="Jun05AMA" localSheetId="8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3">#REF!</definedName>
    <definedName name="LATEPAY" localSheetId="8">#REF!</definedName>
    <definedName name="LATEPAY">#REF!</definedName>
    <definedName name="Line_10" localSheetId="3">#REF!</definedName>
    <definedName name="Line_10" localSheetId="8">#REF!</definedName>
    <definedName name="Line_10">#REF!</definedName>
    <definedName name="Line_11" localSheetId="3">#REF!</definedName>
    <definedName name="Line_11" localSheetId="8">#REF!</definedName>
    <definedName name="Line_11">#REF!</definedName>
    <definedName name="Line_12" localSheetId="3">#REF!</definedName>
    <definedName name="Line_12" localSheetId="8">#REF!</definedName>
    <definedName name="Line_12">#REF!</definedName>
    <definedName name="line_14" localSheetId="3">#REF!</definedName>
    <definedName name="line_14" localSheetId="8">#REF!</definedName>
    <definedName name="line_14">#REF!</definedName>
    <definedName name="Line_15" localSheetId="3">#REF!</definedName>
    <definedName name="Line_15" localSheetId="8">#REF!</definedName>
    <definedName name="Line_15">#REF!</definedName>
    <definedName name="Line_19" localSheetId="3">#REF!</definedName>
    <definedName name="Line_19" localSheetId="8">#REF!</definedName>
    <definedName name="Line_19">#REF!</definedName>
    <definedName name="Line_22" localSheetId="3">#REF!</definedName>
    <definedName name="Line_22" localSheetId="8">#REF!</definedName>
    <definedName name="Line_22">#REF!</definedName>
    <definedName name="Line_23" localSheetId="3">#REF!</definedName>
    <definedName name="Line_23" localSheetId="8">#REF!</definedName>
    <definedName name="Line_23">#REF!</definedName>
    <definedName name="Line_25" localSheetId="3">#REF!</definedName>
    <definedName name="Line_25" localSheetId="8">#REF!</definedName>
    <definedName name="Line_25">#REF!</definedName>
    <definedName name="LoadArray">'[18]Load Source Data'!$C$78:$X$89</definedName>
    <definedName name="LoadGrowthAdder" localSheetId="3">#REF!</definedName>
    <definedName name="LoadGrowthAdder" localSheetId="8">#REF!</definedName>
    <definedName name="LoadGrowthAdder">#REF!</definedName>
    <definedName name="Mar03AMA" localSheetId="3">[4]BS!#REF!</definedName>
    <definedName name="Mar03AMA" localSheetId="8">[4]BS!#REF!</definedName>
    <definedName name="Mar03AMA">[4]BS!#REF!</definedName>
    <definedName name="Mar04AMA">[3]BS!$AF$7:$AF$3582</definedName>
    <definedName name="Mar05AMA" localSheetId="3">[6]BS!#REF!</definedName>
    <definedName name="Mar05AMA" localSheetId="8">[6]BS!#REF!</definedName>
    <definedName name="Mar05AMA">[6]BS!#REF!</definedName>
    <definedName name="May03AMA" localSheetId="3">[4]BS!#REF!</definedName>
    <definedName name="May03AMA" localSheetId="8">[4]BS!#REF!</definedName>
    <definedName name="May03AMA">[4]BS!#REF!</definedName>
    <definedName name="May04AMA">[3]BS!$AH$7:$AH$3582</definedName>
    <definedName name="May05AMA" localSheetId="3">[6]BS!#REF!</definedName>
    <definedName name="May05AMA" localSheetId="8">[6]BS!#REF!</definedName>
    <definedName name="May05AMA">[6]BS!#REF!</definedName>
    <definedName name="MERGER_COST">[19]Sheet1!$AF$3:$AJ$28</definedName>
    <definedName name="MERGERCOSTS" localSheetId="3">[20]model!#REF!</definedName>
    <definedName name="MERGERCOSTS" localSheetId="8">[20]model!#REF!</definedName>
    <definedName name="MERGERCOSTS">[20]model!#REF!</definedName>
    <definedName name="Miller" localSheetId="3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3">#REF!</definedName>
    <definedName name="MISCELLANEOUS" localSheetId="8">#REF!</definedName>
    <definedName name="MISCELLANEOUS">#REF!</definedName>
    <definedName name="MonTotalDispatch" localSheetId="3">[12]Dispatch!#REF!</definedName>
    <definedName name="MonTotalDispatch" localSheetId="8">[12]Dispatch!#REF!</definedName>
    <definedName name="MonTotalDispatch">[12]Dispatch!#REF!</definedName>
    <definedName name="MT" localSheetId="3">#REF!</definedName>
    <definedName name="MT" localSheetId="8">#REF!</definedName>
    <definedName name="MT">#REF!</definedName>
    <definedName name="MTD_Format">[21]Mthly!$B$11:$D$11,[21]Mthly!$B$32:$D$32</definedName>
    <definedName name="MustRunGen" localSheetId="3">[12]Dispatch!#REF!</definedName>
    <definedName name="MustRunGen" localSheetId="8">[12]Dispatch!#REF!</definedName>
    <definedName name="MustRunGen">[12]Dispatch!#REF!</definedName>
    <definedName name="new" localSheetId="3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3">[5]DT_A_AMW93!#REF!</definedName>
    <definedName name="NWSales_MWH" localSheetId="8">[5]DT_A_AMW93!#REF!</definedName>
    <definedName name="NWSales_MWH">[5]DT_A_AMW93!#REF!</definedName>
    <definedName name="OBCLEASE" localSheetId="3">#REF!</definedName>
    <definedName name="OBCLEASE" localSheetId="8">#REF!</definedName>
    <definedName name="OBCLEASE">#REF!</definedName>
    <definedName name="Oct03AMA">[2]BS!$AH$7:$AH$3582</definedName>
    <definedName name="Oct04AMA">[3]BS!$AM$7:$AM$3582</definedName>
    <definedName name="OPEXPPF" localSheetId="3">#REF!</definedName>
    <definedName name="OPEXPPF" localSheetId="8">#REF!</definedName>
    <definedName name="OPEXPPF">#REF!</definedName>
    <definedName name="OPEXPRS" localSheetId="3">#REF!</definedName>
    <definedName name="OPEXPRS" localSheetId="8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3">#REF!</definedName>
    <definedName name="Page1" localSheetId="8">#REF!</definedName>
    <definedName name="Page1">#REF!</definedName>
    <definedName name="Page2" localSheetId="3">#REF!</definedName>
    <definedName name="Page2" localSheetId="8">#REF!</definedName>
    <definedName name="Page2">#REF!</definedName>
    <definedName name="PEBBLE" localSheetId="3">#REF!</definedName>
    <definedName name="PEBBLE" localSheetId="8">#REF!</definedName>
    <definedName name="PEBBLE">#REF!</definedName>
    <definedName name="Percent_debt">[15]Inputs!$E$129</definedName>
    <definedName name="PERCENTAGES_CALCULATED" localSheetId="3">#REF!</definedName>
    <definedName name="PERCENTAGES_CALCULATED" localSheetId="8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3">#REF!</definedName>
    <definedName name="PriceCaseTable" localSheetId="8">#REF!</definedName>
    <definedName name="PriceCaseTable">#REF!</definedName>
    <definedName name="Prices_Aurora">'[14]Monthly Price Summary'!$C$4:$H$63</definedName>
    <definedName name="PRO_FORMA" localSheetId="3">#REF!</definedName>
    <definedName name="PRO_FORMA" localSheetId="8">#REF!</definedName>
    <definedName name="PRO_FORMA">#REF!</definedName>
    <definedName name="PRODADJ" localSheetId="3">#REF!</definedName>
    <definedName name="PRODADJ" localSheetId="8">#REF!</definedName>
    <definedName name="PRODADJ">#REF!</definedName>
    <definedName name="Prodprop" localSheetId="3">#REF!</definedName>
    <definedName name="Prodprop" localSheetId="8">#REF!</definedName>
    <definedName name="Prodprop">#REF!</definedName>
    <definedName name="Production_Factor" localSheetId="3">#REF!</definedName>
    <definedName name="Production_Factor" localSheetId="8">#REF!</definedName>
    <definedName name="Production_Factor">#REF!</definedName>
    <definedName name="PROPSALES" localSheetId="3">#REF!</definedName>
    <definedName name="PROPSALES" localSheetId="8">#REF!</definedName>
    <definedName name="PROPSALES">#REF!</definedName>
    <definedName name="Prov_Cap_Tax">[15]Inputs!$E$111</definedName>
    <definedName name="PSPL" localSheetId="3">#REF!</definedName>
    <definedName name="PSPL" localSheetId="8">#REF!</definedName>
    <definedName name="PSPL">#REF!</definedName>
    <definedName name="PWRCSTPF" localSheetId="3">#REF!</definedName>
    <definedName name="PWRCSTPF" localSheetId="8">#REF!</definedName>
    <definedName name="PWRCSTPF">#REF!</definedName>
    <definedName name="PWRCSTRS" localSheetId="3">#REF!</definedName>
    <definedName name="PWRCSTRS" localSheetId="8">#REF!</definedName>
    <definedName name="PWRCSTRS">#REF!</definedName>
    <definedName name="PWRCSTWP" localSheetId="3">#REF!</definedName>
    <definedName name="PWRCSTWP" localSheetId="8">#REF!</definedName>
    <definedName name="PWRCSTWP">#REF!</definedName>
    <definedName name="PWRCSTWR" localSheetId="3">#REF!</definedName>
    <definedName name="PWRCSTWR" localSheetId="8">#REF!</definedName>
    <definedName name="PWRCSTWR">#REF!</definedName>
    <definedName name="PXPACC1_ALL_MERGE" localSheetId="3">#REF!</definedName>
    <definedName name="PXPACC1_ALL_MERGE" localSheetId="8">#REF!</definedName>
    <definedName name="PXPACC1_ALL_MERGE">#REF!</definedName>
    <definedName name="QA" localSheetId="3">[23]IPOA2002!#REF!</definedName>
    <definedName name="QA" localSheetId="8">[23]IPOA2002!#REF!</definedName>
    <definedName name="QA">[23]IPOA2002!#REF!</definedName>
    <definedName name="qqq" localSheetId="3" hidden="1">{#N/A,#N/A,FALSE,"schA"}</definedName>
    <definedName name="qqq" localSheetId="8" hidden="1">{#N/A,#N/A,FALSE,"schA"}</definedName>
    <definedName name="qqq" hidden="1">{#N/A,#N/A,FALSE,"schA"}</definedName>
    <definedName name="RATE" localSheetId="3">#REF!</definedName>
    <definedName name="RATE" localSheetId="8">#REF!</definedName>
    <definedName name="RATE">#REF!</definedName>
    <definedName name="RATE2">'[10]Transp Data'!$A$8:$I$112</definedName>
    <definedName name="RATEBASE" localSheetId="3">#REF!</definedName>
    <definedName name="RATEBASE" localSheetId="8">#REF!</definedName>
    <definedName name="RATEBASE">#REF!</definedName>
    <definedName name="RATEBASE_U95" localSheetId="3">#REF!</definedName>
    <definedName name="RATEBASE_U95" localSheetId="8">#REF!</definedName>
    <definedName name="RATEBASE_U95">#REF!</definedName>
    <definedName name="RATECASE" localSheetId="3">#REF!</definedName>
    <definedName name="RATECASE" localSheetId="8">#REF!</definedName>
    <definedName name="RATECASE">#REF!</definedName>
    <definedName name="regasset" localSheetId="3">#REF!</definedName>
    <definedName name="regasset" localSheetId="8">#REF!</definedName>
    <definedName name="regasset">#REF!</definedName>
    <definedName name="resource_lookup">'[24]#REF'!$B$3:$C$112</definedName>
    <definedName name="RESTATING" localSheetId="3">#REF!</definedName>
    <definedName name="RESTATING" localSheetId="8">#REF!</definedName>
    <definedName name="RESTATING">#REF!</definedName>
    <definedName name="Results" localSheetId="3">#REF!</definedName>
    <definedName name="Results" localSheetId="8">#REF!</definedName>
    <definedName name="Results">#REF!</definedName>
    <definedName name="RETIREPLAN" localSheetId="3">#REF!</definedName>
    <definedName name="RETIREPLAN" localSheetId="8">#REF!</definedName>
    <definedName name="RETIREPLAN">#REF!</definedName>
    <definedName name="REV" localSheetId="3">#REF!</definedName>
    <definedName name="REV" localSheetId="8">#REF!</definedName>
    <definedName name="REV">#REF!</definedName>
    <definedName name="REVADJ" localSheetId="3">#REF!</definedName>
    <definedName name="REVADJ" localSheetId="8">#REF!</definedName>
    <definedName name="REVADJ">#REF!</definedName>
    <definedName name="REVREQ" localSheetId="3">#REF!</definedName>
    <definedName name="REVREQ" localSheetId="8">#REF!</definedName>
    <definedName name="REVREQ">#REF!</definedName>
    <definedName name="ROE" localSheetId="3">#REF!</definedName>
    <definedName name="ROE" localSheetId="8">#REF!</definedName>
    <definedName name="ROE">#REF!</definedName>
    <definedName name="ROR" localSheetId="3">#REF!</definedName>
    <definedName name="ROR" localSheetId="8">#REF!</definedName>
    <definedName name="ROR">#REF!</definedName>
    <definedName name="SALESRESALEP" localSheetId="3">#REF!</definedName>
    <definedName name="SALESRESALEP" localSheetId="8">#REF!</definedName>
    <definedName name="SALESRESALEP">#REF!</definedName>
    <definedName name="SALESRESALER" localSheetId="3">#REF!</definedName>
    <definedName name="SALESRESALER" localSheetId="8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3">[5]DT_A_AMW93!#REF!</definedName>
    <definedName name="SecSSW_MWH" localSheetId="8">[5]DT_A_AMW93!#REF!</definedName>
    <definedName name="SecSSW_MWH">[5]DT_A_AMW93!#REF!</definedName>
    <definedName name="Sep03AMA">[2]BS!$AG$7:$AG$3582</definedName>
    <definedName name="Sep04AMA">[3]BS!$AL$7:$AL$3582</definedName>
    <definedName name="six" localSheetId="3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3">#REF!</definedName>
    <definedName name="SKAGIT" localSheetId="8">#REF!</definedName>
    <definedName name="SKAGIT">#REF!</definedName>
    <definedName name="SLFINSURANCE" localSheetId="3">#REF!</definedName>
    <definedName name="SLFINSURANCE" localSheetId="8">#REF!</definedName>
    <definedName name="SLFINSURANCE">#REF!</definedName>
    <definedName name="SolarDate" localSheetId="3">'[12]Dispatch Cases'!#REF!</definedName>
    <definedName name="SolarDate" localSheetId="8">'[12]Dispatch Cases'!#REF!</definedName>
    <definedName name="SolarDate">'[12]Dispatch Cases'!#REF!</definedName>
    <definedName name="STAFFREDUC" localSheetId="3">#REF!</definedName>
    <definedName name="STAFFREDUC" localSheetId="8">#REF!</definedName>
    <definedName name="STAFFREDUC">#REF!</definedName>
    <definedName name="StartDate">[8]Assumptions!$C$9</definedName>
    <definedName name="STORM" localSheetId="3">#REF!</definedName>
    <definedName name="STORM" localSheetId="8">#REF!</definedName>
    <definedName name="STORM">#REF!</definedName>
    <definedName name="SUMMARY" localSheetId="3">#REF!</definedName>
    <definedName name="SUMMARY" localSheetId="8">#REF!</definedName>
    <definedName name="SUMMARY">#REF!</definedName>
    <definedName name="SWSales_MWH" localSheetId="3">[5]DT_A_AMW93!#REF!</definedName>
    <definedName name="SWSales_MWH" localSheetId="8">[5]DT_A_AMW93!#REF!</definedName>
    <definedName name="SWSales_MWH">[5]DT_A_AMW93!#REF!</definedName>
    <definedName name="t" localSheetId="3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3">#REF!</definedName>
    <definedName name="TAXCORPLIC" localSheetId="8">#REF!</definedName>
    <definedName name="TAXCORPLIC">#REF!</definedName>
    <definedName name="TAXENERGYP" localSheetId="3">#REF!</definedName>
    <definedName name="TAXENERGYP" localSheetId="8">#REF!</definedName>
    <definedName name="TAXENERGYP">#REF!</definedName>
    <definedName name="TAXENERGYR" localSheetId="3">#REF!</definedName>
    <definedName name="TAXENERGYR" localSheetId="8">#REF!</definedName>
    <definedName name="TAXENERGYR">#REF!</definedName>
    <definedName name="TAXEXCISE" localSheetId="3">#REF!</definedName>
    <definedName name="TAXEXCISE" localSheetId="8">#REF!</definedName>
    <definedName name="TAXEXCISE">#REF!</definedName>
    <definedName name="TAXFICA" localSheetId="3">#REF!</definedName>
    <definedName name="TAXFICA" localSheetId="8">#REF!</definedName>
    <definedName name="TAXFICA">#REF!</definedName>
    <definedName name="TAXFUT" localSheetId="3">#REF!</definedName>
    <definedName name="TAXFUT" localSheetId="8">#REF!</definedName>
    <definedName name="TAXFUT">#REF!</definedName>
    <definedName name="TAXINCOME" localSheetId="3">#REF!</definedName>
    <definedName name="TAXINCOME" localSheetId="8">#REF!</definedName>
    <definedName name="TAXINCOME">#REF!</definedName>
    <definedName name="TAXMEDICARE" localSheetId="3">#REF!</definedName>
    <definedName name="TAXMEDICARE" localSheetId="8">#REF!</definedName>
    <definedName name="TAXMEDICARE">#REF!</definedName>
    <definedName name="TAXPFINT" localSheetId="3">#REF!</definedName>
    <definedName name="TAXPFINT" localSheetId="8">#REF!</definedName>
    <definedName name="TAXPFINT">#REF!</definedName>
    <definedName name="TAXPROPERTY" localSheetId="3">#REF!</definedName>
    <definedName name="TAXPROPERTY" localSheetId="8">#REF!</definedName>
    <definedName name="TAXPROPERTY">#REF!</definedName>
    <definedName name="TAXSUT" localSheetId="3">#REF!</definedName>
    <definedName name="TAXSUT" localSheetId="8">#REF!</definedName>
    <definedName name="TAXSUT">#REF!</definedName>
    <definedName name="TEMP" localSheetId="3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3">#REF!</definedName>
    <definedName name="TEMPADJ" localSheetId="8">#REF!</definedName>
    <definedName name="TEMPADJ">#REF!</definedName>
    <definedName name="TenaskaShare" localSheetId="3">[12]Dispatch!#REF!</definedName>
    <definedName name="TenaskaShare" localSheetId="8">[12]Dispatch!#REF!</definedName>
    <definedName name="TenaskaShare">[12]Dispatch!#REF!</definedName>
    <definedName name="Test" localSheetId="3">[6]BS!#REF!</definedName>
    <definedName name="Test" localSheetId="8">[6]BS!#REF!</definedName>
    <definedName name="Test">[6]BS!#REF!</definedName>
    <definedName name="TESTYEAR" localSheetId="3">#REF!</definedName>
    <definedName name="TESTYEAR" localSheetId="8">#REF!</definedName>
    <definedName name="TESTYEAR">#REF!</definedName>
    <definedName name="Therm_upload" localSheetId="3">#REF!</definedName>
    <definedName name="Therm_upload" localSheetId="8">#REF!</definedName>
    <definedName name="Therm_upload">#REF!</definedName>
    <definedName name="ThermalBookLife">[8]Assumptions!$C$25</definedName>
    <definedName name="therms" localSheetId="3">#REF!</definedName>
    <definedName name="therms" localSheetId="8">#REF!</definedName>
    <definedName name="therms">#REF!</definedName>
    <definedName name="THM_ALL_YEARS" localSheetId="3">#REF!</definedName>
    <definedName name="THM_ALL_YEARS" localSheetId="8">#REF!</definedName>
    <definedName name="THM_ALL_YEARS">#REF!</definedName>
    <definedName name="Title">[8]Assumptions!$A$1</definedName>
    <definedName name="TopLeft" localSheetId="3">#REF!</definedName>
    <definedName name="TopLeft" localSheetId="8">#REF!</definedName>
    <definedName name="TopLeft">#REF!</definedName>
    <definedName name="TRADING_NET" localSheetId="3">[5]DT_A_DOL93!#REF!</definedName>
    <definedName name="TRADING_NET" localSheetId="8">[5]DT_A_DOL93!#REF!</definedName>
    <definedName name="TRADING_NET">[5]DT_A_DOL93!#REF!</definedName>
    <definedName name="tran_revenue" localSheetId="3">#REF!</definedName>
    <definedName name="tran_revenue" localSheetId="8">#REF!</definedName>
    <definedName name="tran_revenue">#REF!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BakerAvail" localSheetId="3">#REF!</definedName>
    <definedName name="UBakerAvail" localSheetId="8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3">#REF!</definedName>
    <definedName name="UNITCOMPARE" localSheetId="8">#REF!</definedName>
    <definedName name="UNITCOMPARE">#REF!</definedName>
    <definedName name="UNITCOSTS" localSheetId="3">#REF!</definedName>
    <definedName name="UNITCOSTS" localSheetId="8">#REF!</definedName>
    <definedName name="UNITCOSTS">#REF!</definedName>
    <definedName name="UTG" localSheetId="3">#REF!</definedName>
    <definedName name="UTG" localSheetId="8">#REF!</definedName>
    <definedName name="UTG">#REF!</definedName>
    <definedName name="UTN" localSheetId="3">#REF!</definedName>
    <definedName name="UTN" localSheetId="8">#REF!</definedName>
    <definedName name="UTN">#REF!</definedName>
    <definedName name="v" localSheetId="3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OMEsc">[8]Assumptions!$C$21</definedName>
    <definedName name="w" localSheetId="3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3">[7]model!#REF!</definedName>
    <definedName name="WAGES" localSheetId="8">[7]model!#REF!</definedName>
    <definedName name="WAGES">[7]model!#REF!</definedName>
    <definedName name="we" hidden="1">{#N/A,#N/A,FALSE,"Pg 6b CustCount_Gas";#N/A,#N/A,FALSE,"QA";#N/A,#N/A,FALSE,"Report";#N/A,#N/A,FALSE,"forecast"}</definedName>
    <definedName name="WindDate" localSheetId="3">'[25]Dispatch Cases'!#REF!</definedName>
    <definedName name="WindDate" localSheetId="8">'[25]Dispatch Cases'!#REF!</definedName>
    <definedName name="WindDate">'[25]Dispatch Cases'!#REF!</definedName>
    <definedName name="WRKCAP" localSheetId="3">[7]model!#REF!</definedName>
    <definedName name="WRKCAP" localSheetId="8">[7]model!#REF!</definedName>
    <definedName name="WRKCAP">[7]model!#REF!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8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localSheetId="3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E7" i="12"/>
  <c r="F7" s="1"/>
  <c r="G7" s="1"/>
  <c r="H7" s="1"/>
  <c r="I7" s="1"/>
  <c r="J7" s="1"/>
  <c r="K7" s="1"/>
  <c r="L7" s="1"/>
  <c r="M7" s="1"/>
  <c r="N7" s="1"/>
  <c r="O7" s="1"/>
  <c r="N12"/>
  <c r="A11"/>
  <c r="A12"/>
  <c r="A13" s="1"/>
  <c r="A14" s="1"/>
  <c r="C12"/>
  <c r="D12"/>
  <c r="E12"/>
  <c r="F12"/>
  <c r="G12"/>
  <c r="H12"/>
  <c r="I12"/>
  <c r="J12"/>
  <c r="K12"/>
  <c r="L12"/>
  <c r="M12"/>
  <c r="O12"/>
  <c r="E7" i="11"/>
  <c r="F7" s="1"/>
  <c r="G7" s="1"/>
  <c r="H7" s="1"/>
  <c r="I7" s="1"/>
  <c r="J7" s="1"/>
  <c r="K7" s="1"/>
  <c r="L7" s="1"/>
  <c r="M7" s="1"/>
  <c r="N7" s="1"/>
  <c r="O7" s="1"/>
  <c r="A11"/>
  <c r="A12"/>
  <c r="C12"/>
  <c r="D12"/>
  <c r="E12"/>
  <c r="F12"/>
  <c r="G12"/>
  <c r="H12"/>
  <c r="I12"/>
  <c r="J12"/>
  <c r="K12"/>
  <c r="L12"/>
  <c r="M12"/>
  <c r="N12"/>
  <c r="O12"/>
  <c r="A13"/>
  <c r="A14" s="1"/>
  <c r="A10" i="10"/>
  <c r="G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F13"/>
  <c r="G13" s="1"/>
  <c r="F18"/>
  <c r="G18" s="1"/>
  <c r="K21"/>
  <c r="Q21" s="1"/>
  <c r="G22"/>
  <c r="G23"/>
  <c r="E24"/>
  <c r="F28"/>
  <c r="G28" s="1"/>
  <c r="F31"/>
  <c r="K31" s="1"/>
  <c r="Q31" s="1"/>
  <c r="F32"/>
  <c r="G32"/>
  <c r="F33"/>
  <c r="G33"/>
  <c r="E34"/>
  <c r="E35"/>
  <c r="A36"/>
  <c r="A37"/>
  <c r="A38" s="1"/>
  <c r="A39"/>
  <c r="A40" s="1"/>
  <c r="A41" s="1"/>
  <c r="G39"/>
  <c r="G40"/>
  <c r="A42"/>
  <c r="A43" s="1"/>
  <c r="A44" s="1"/>
  <c r="A45" s="1"/>
  <c r="A46" s="1"/>
  <c r="A47" s="1"/>
  <c r="G43"/>
  <c r="G44"/>
  <c r="G45"/>
  <c r="E46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50"/>
  <c r="F53"/>
  <c r="F54"/>
  <c r="F55"/>
  <c r="E56"/>
  <c r="F60"/>
  <c r="G60"/>
  <c r="G61"/>
  <c r="G64"/>
  <c r="G65"/>
  <c r="E66"/>
  <c r="G67"/>
  <c r="F70"/>
  <c r="F73"/>
  <c r="F74"/>
  <c r="E75"/>
  <c r="F79"/>
  <c r="G79"/>
  <c r="E80"/>
  <c r="G80"/>
  <c r="G83"/>
  <c r="G84"/>
  <c r="G85"/>
  <c r="G86"/>
  <c r="G87"/>
  <c r="G88"/>
  <c r="E89"/>
  <c r="G90"/>
  <c r="F93"/>
  <c r="F96"/>
  <c r="F97"/>
  <c r="F98"/>
  <c r="F99"/>
  <c r="F100"/>
  <c r="F101"/>
  <c r="E102"/>
  <c r="A10" i="9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 i="8"/>
  <c r="D14"/>
  <c r="A11"/>
  <c r="A12" s="1"/>
  <c r="A13" s="1"/>
  <c r="A14" s="1"/>
  <c r="C14"/>
  <c r="E14"/>
  <c r="D18"/>
  <c r="D24"/>
  <c r="E24"/>
  <c r="B36" i="9"/>
  <c r="E7" i="7"/>
  <c r="F7" s="1"/>
  <c r="G7" s="1"/>
  <c r="H7" s="1"/>
  <c r="I7" s="1"/>
  <c r="J7" s="1"/>
  <c r="K7" s="1"/>
  <c r="L7" s="1"/>
  <c r="M7" s="1"/>
  <c r="N7" s="1"/>
  <c r="O7" s="1"/>
  <c r="E12"/>
  <c r="G12"/>
  <c r="I12"/>
  <c r="K12"/>
  <c r="M12"/>
  <c r="O12"/>
  <c r="A11"/>
  <c r="A12"/>
  <c r="C12"/>
  <c r="D12"/>
  <c r="F12"/>
  <c r="H12"/>
  <c r="J12"/>
  <c r="L12"/>
  <c r="N12"/>
  <c r="F15"/>
  <c r="F16" s="1"/>
  <c r="D16"/>
  <c r="D18"/>
  <c r="F30"/>
  <c r="F32" s="1"/>
  <c r="E7" i="6"/>
  <c r="F7"/>
  <c r="G7" s="1"/>
  <c r="H7" s="1"/>
  <c r="I7" s="1"/>
  <c r="J7" s="1"/>
  <c r="K7" s="1"/>
  <c r="L7" s="1"/>
  <c r="M7" s="1"/>
  <c r="N7" s="1"/>
  <c r="O7" s="1"/>
  <c r="D12"/>
  <c r="F12"/>
  <c r="H12"/>
  <c r="J12"/>
  <c r="L12"/>
  <c r="N12"/>
  <c r="A11"/>
  <c r="A12" s="1"/>
  <c r="C12"/>
  <c r="E12"/>
  <c r="G12"/>
  <c r="I12"/>
  <c r="K12"/>
  <c r="M12"/>
  <c r="O12"/>
  <c r="A13"/>
  <c r="A14" s="1"/>
  <c r="A15"/>
  <c r="E15"/>
  <c r="E16" s="1"/>
  <c r="E18" s="1"/>
  <c r="F15"/>
  <c r="G15"/>
  <c r="G16" s="1"/>
  <c r="E30"/>
  <c r="F30"/>
  <c r="G30"/>
  <c r="D38"/>
  <c r="F38"/>
  <c r="A10" i="5"/>
  <c r="A11"/>
  <c r="A12" s="1"/>
  <c r="A13"/>
  <c r="F13"/>
  <c r="A14"/>
  <c r="A15" s="1"/>
  <c r="A16" s="1"/>
  <c r="A17" s="1"/>
  <c r="A18"/>
  <c r="F18"/>
  <c r="A19"/>
  <c r="A20" s="1"/>
  <c r="A21" s="1"/>
  <c r="A22" s="1"/>
  <c r="A23" s="1"/>
  <c r="A24" s="1"/>
  <c r="A25" s="1"/>
  <c r="K21"/>
  <c r="Q21"/>
  <c r="G22"/>
  <c r="G23"/>
  <c r="E24"/>
  <c r="A26"/>
  <c r="A27" s="1"/>
  <c r="A28" s="1"/>
  <c r="A29" s="1"/>
  <c r="A30" s="1"/>
  <c r="A31"/>
  <c r="A32" s="1"/>
  <c r="A33" s="1"/>
  <c r="A34" s="1"/>
  <c r="A35" s="1"/>
  <c r="A36" s="1"/>
  <c r="F31"/>
  <c r="K31" s="1"/>
  <c r="Q31" s="1"/>
  <c r="F32"/>
  <c r="G32"/>
  <c r="F33"/>
  <c r="G33"/>
  <c r="E34"/>
  <c r="A37"/>
  <c r="A38" s="1"/>
  <c r="A39" s="1"/>
  <c r="A40" s="1"/>
  <c r="A41" s="1"/>
  <c r="G39"/>
  <c r="G40"/>
  <c r="A42"/>
  <c r="A43" s="1"/>
  <c r="A44" s="1"/>
  <c r="A45" s="1"/>
  <c r="A46" s="1"/>
  <c r="A47" s="1"/>
  <c r="G43"/>
  <c r="G44"/>
  <c r="G45"/>
  <c r="E46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50"/>
  <c r="F53"/>
  <c r="F54"/>
  <c r="F55"/>
  <c r="E56"/>
  <c r="F60"/>
  <c r="G60"/>
  <c r="G61"/>
  <c r="G64"/>
  <c r="G65"/>
  <c r="E66"/>
  <c r="G67"/>
  <c r="F70"/>
  <c r="F73"/>
  <c r="F74"/>
  <c r="E75"/>
  <c r="F79"/>
  <c r="G79"/>
  <c r="G83"/>
  <c r="G84"/>
  <c r="G85"/>
  <c r="G86"/>
  <c r="G87"/>
  <c r="G88"/>
  <c r="E89"/>
  <c r="E80" s="1"/>
  <c r="F93"/>
  <c r="F96"/>
  <c r="F97"/>
  <c r="F98"/>
  <c r="F99"/>
  <c r="F100"/>
  <c r="F101"/>
  <c r="E102"/>
  <c r="A10" i="4"/>
  <c r="A11" s="1"/>
  <c r="A12"/>
  <c r="A13" s="1"/>
  <c r="A14"/>
  <c r="A15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 i="3"/>
  <c r="D14"/>
  <c r="A11"/>
  <c r="A12" s="1"/>
  <c r="A13" s="1"/>
  <c r="A14" s="1"/>
  <c r="C14"/>
  <c r="E14"/>
  <c r="D18"/>
  <c r="D24"/>
  <c r="E24"/>
  <c r="B36" i="4"/>
  <c r="E7" i="2"/>
  <c r="F7" s="1"/>
  <c r="G7" s="1"/>
  <c r="H7" s="1"/>
  <c r="I7" s="1"/>
  <c r="J7" s="1"/>
  <c r="K7" s="1"/>
  <c r="L7" s="1"/>
  <c r="M7" s="1"/>
  <c r="N7" s="1"/>
  <c r="O7" s="1"/>
  <c r="I12"/>
  <c r="K12"/>
  <c r="M12"/>
  <c r="O12"/>
  <c r="A11"/>
  <c r="J12"/>
  <c r="N12"/>
  <c r="A12"/>
  <c r="C12"/>
  <c r="D12"/>
  <c r="E12"/>
  <c r="F12"/>
  <c r="G12"/>
  <c r="H12"/>
  <c r="L12"/>
  <c r="L15"/>
  <c r="L16" s="1"/>
  <c r="L18" s="1"/>
  <c r="D16"/>
  <c r="E16"/>
  <c r="F16"/>
  <c r="G16"/>
  <c r="D18"/>
  <c r="E18"/>
  <c r="F18"/>
  <c r="G18"/>
  <c r="H26"/>
  <c r="J26"/>
  <c r="L26"/>
  <c r="N26"/>
  <c r="I30"/>
  <c r="J30"/>
  <c r="K30"/>
  <c r="L30"/>
  <c r="M30"/>
  <c r="N30"/>
  <c r="O30"/>
  <c r="G32"/>
  <c r="H32"/>
  <c r="I32"/>
  <c r="J32"/>
  <c r="K32"/>
  <c r="L32"/>
  <c r="M32"/>
  <c r="N32"/>
  <c r="O32"/>
  <c r="E7" i="1"/>
  <c r="F7"/>
  <c r="G7" s="1"/>
  <c r="H7" s="1"/>
  <c r="I7" s="1"/>
  <c r="J7" s="1"/>
  <c r="K7" s="1"/>
  <c r="L7" s="1"/>
  <c r="M7" s="1"/>
  <c r="N7" s="1"/>
  <c r="O7" s="1"/>
  <c r="H12"/>
  <c r="J12"/>
  <c r="L12"/>
  <c r="N12"/>
  <c r="A11"/>
  <c r="A12" s="1"/>
  <c r="C12"/>
  <c r="D12"/>
  <c r="E12"/>
  <c r="F12"/>
  <c r="G12"/>
  <c r="G18" s="1"/>
  <c r="I12"/>
  <c r="K12"/>
  <c r="M12"/>
  <c r="O12"/>
  <c r="A13"/>
  <c r="A14" s="1"/>
  <c r="H32"/>
  <c r="J32"/>
  <c r="L32"/>
  <c r="N32"/>
  <c r="A15"/>
  <c r="F15"/>
  <c r="J15"/>
  <c r="J16" s="1"/>
  <c r="J18" s="1"/>
  <c r="L15"/>
  <c r="A16"/>
  <c r="A17" s="1"/>
  <c r="D16"/>
  <c r="E16"/>
  <c r="F16"/>
  <c r="G16"/>
  <c r="A18"/>
  <c r="A19" s="1"/>
  <c r="D18"/>
  <c r="F18"/>
  <c r="A20"/>
  <c r="A21" s="1"/>
  <c r="A22" s="1"/>
  <c r="A23" s="1"/>
  <c r="A24" s="1"/>
  <c r="A25" s="1"/>
  <c r="A26" s="1"/>
  <c r="A27" s="1"/>
  <c r="A28" s="1"/>
  <c r="C22"/>
  <c r="H26"/>
  <c r="I26"/>
  <c r="J26"/>
  <c r="K26"/>
  <c r="L26"/>
  <c r="M26"/>
  <c r="N26"/>
  <c r="O26"/>
  <c r="I30"/>
  <c r="J30"/>
  <c r="K30"/>
  <c r="L30"/>
  <c r="M30"/>
  <c r="N30"/>
  <c r="O30"/>
  <c r="G32"/>
  <c r="I32"/>
  <c r="K32"/>
  <c r="M32"/>
  <c r="O32"/>
  <c r="H38"/>
  <c r="I38"/>
  <c r="J38"/>
  <c r="K38"/>
  <c r="L38"/>
  <c r="M38"/>
  <c r="N38"/>
  <c r="O38"/>
  <c r="P12" i="12" l="1"/>
  <c r="P12" i="11"/>
  <c r="P12" i="2"/>
  <c r="G80" i="5"/>
  <c r="A29" i="1"/>
  <c r="A30" s="1"/>
  <c r="A31" s="1"/>
  <c r="A32" s="1"/>
  <c r="C28"/>
  <c r="A15" i="3"/>
  <c r="A16" s="1"/>
  <c r="A17" s="1"/>
  <c r="A18" s="1"/>
  <c r="A19" s="1"/>
  <c r="A20" s="1"/>
  <c r="C18"/>
  <c r="C16" i="1"/>
  <c r="C26"/>
  <c r="C32"/>
  <c r="I15" i="2"/>
  <c r="K15"/>
  <c r="M15"/>
  <c r="M16" s="1"/>
  <c r="M18" s="1"/>
  <c r="O15"/>
  <c r="A13"/>
  <c r="A14" s="1"/>
  <c r="G101" i="5"/>
  <c r="G100"/>
  <c r="G99"/>
  <c r="G98"/>
  <c r="G97"/>
  <c r="G96"/>
  <c r="G74"/>
  <c r="G73"/>
  <c r="G55"/>
  <c r="G54"/>
  <c r="G53"/>
  <c r="E35"/>
  <c r="E105"/>
  <c r="A16" i="6"/>
  <c r="C16"/>
  <c r="F16"/>
  <c r="F18" s="1"/>
  <c r="F32"/>
  <c r="D16"/>
  <c r="D32"/>
  <c r="P32" i="1"/>
  <c r="L16"/>
  <c r="L18" s="1"/>
  <c r="H16"/>
  <c r="N15"/>
  <c r="N16" s="1"/>
  <c r="N18" s="1"/>
  <c r="C18"/>
  <c r="E18" i="3"/>
  <c r="G18" i="6"/>
  <c r="I15" i="1"/>
  <c r="I16" s="1"/>
  <c r="I18" s="1"/>
  <c r="K15"/>
  <c r="K16" s="1"/>
  <c r="M15"/>
  <c r="M16" s="1"/>
  <c r="M18" s="1"/>
  <c r="O15"/>
  <c r="O16" s="1"/>
  <c r="O18" s="1"/>
  <c r="P12"/>
  <c r="E18"/>
  <c r="O16" i="2"/>
  <c r="O18" s="1"/>
  <c r="O26"/>
  <c r="M26"/>
  <c r="K16"/>
  <c r="K18" s="1"/>
  <c r="K26"/>
  <c r="I16"/>
  <c r="I18" s="1"/>
  <c r="I26"/>
  <c r="G93" i="5"/>
  <c r="G70"/>
  <c r="G32" i="6"/>
  <c r="G38"/>
  <c r="E32"/>
  <c r="E38"/>
  <c r="K18" i="1"/>
  <c r="P32" i="2"/>
  <c r="H16"/>
  <c r="N15"/>
  <c r="N16" s="1"/>
  <c r="N18" s="1"/>
  <c r="J15"/>
  <c r="J16" s="1"/>
  <c r="J18" s="1"/>
  <c r="G47" i="5"/>
  <c r="F14"/>
  <c r="F35"/>
  <c r="G50"/>
  <c r="G18"/>
  <c r="F28"/>
  <c r="G13"/>
  <c r="P12" i="7"/>
  <c r="F18"/>
  <c r="A15" i="8"/>
  <c r="A16" s="1"/>
  <c r="A17" s="1"/>
  <c r="A18" s="1"/>
  <c r="A19" s="1"/>
  <c r="A20" s="1"/>
  <c r="G101" i="10"/>
  <c r="G100"/>
  <c r="G99"/>
  <c r="G98"/>
  <c r="G97"/>
  <c r="G96"/>
  <c r="G74"/>
  <c r="G73"/>
  <c r="G55"/>
  <c r="G54"/>
  <c r="G53"/>
  <c r="G16" i="7"/>
  <c r="G18" s="1"/>
  <c r="G47" i="10"/>
  <c r="G10" i="5"/>
  <c r="P12" i="6"/>
  <c r="D18"/>
  <c r="E30" i="7"/>
  <c r="E32" s="1"/>
  <c r="G30"/>
  <c r="G32" s="1"/>
  <c r="D32"/>
  <c r="E15"/>
  <c r="E16" s="1"/>
  <c r="G15"/>
  <c r="A13"/>
  <c r="A14" s="1"/>
  <c r="G93" i="10"/>
  <c r="G70"/>
  <c r="G50"/>
  <c r="A15" i="12"/>
  <c r="A16" s="1"/>
  <c r="E18" i="8"/>
  <c r="E105" i="10"/>
  <c r="F14"/>
  <c r="F35"/>
  <c r="G25"/>
  <c r="O13"/>
  <c r="A15" i="11"/>
  <c r="A16" s="1"/>
  <c r="E18" i="7" l="1"/>
  <c r="A17" i="11"/>
  <c r="A18" s="1"/>
  <c r="C18"/>
  <c r="G14" i="10"/>
  <c r="G28" i="5"/>
  <c r="G25"/>
  <c r="G57"/>
  <c r="G14"/>
  <c r="O14" s="1"/>
  <c r="P16" i="2"/>
  <c r="H18"/>
  <c r="P18" s="1"/>
  <c r="E12" i="4"/>
  <c r="G76" i="5"/>
  <c r="O70"/>
  <c r="G103"/>
  <c r="P16" i="1"/>
  <c r="H18"/>
  <c r="P18" s="1"/>
  <c r="A21" i="3"/>
  <c r="A22" s="1"/>
  <c r="A23" s="1"/>
  <c r="A24" s="1"/>
  <c r="C24"/>
  <c r="A33" i="1"/>
  <c r="A34" s="1"/>
  <c r="A35" s="1"/>
  <c r="A36" s="1"/>
  <c r="A37" s="1"/>
  <c r="A38" s="1"/>
  <c r="C16" i="11"/>
  <c r="C16" i="12"/>
  <c r="G35" i="10"/>
  <c r="C18" i="8"/>
  <c r="A17" i="12"/>
  <c r="A18" s="1"/>
  <c r="C18"/>
  <c r="G57" i="10"/>
  <c r="G76"/>
  <c r="O70"/>
  <c r="G103"/>
  <c r="A15" i="7"/>
  <c r="A16" s="1"/>
  <c r="C24" i="8"/>
  <c r="A21"/>
  <c r="A22" s="1"/>
  <c r="A23" s="1"/>
  <c r="A24" s="1"/>
  <c r="O13" i="5"/>
  <c r="G15"/>
  <c r="O15" s="1"/>
  <c r="D12" i="4"/>
  <c r="C18" i="6"/>
  <c r="A17"/>
  <c r="A18" s="1"/>
  <c r="G35" i="5"/>
  <c r="A15" i="2"/>
  <c r="A16" s="1"/>
  <c r="G90" i="5"/>
  <c r="A19" i="6" l="1"/>
  <c r="A20" s="1"/>
  <c r="A21" s="1"/>
  <c r="A22" s="1"/>
  <c r="A23" s="1"/>
  <c r="A24" s="1"/>
  <c r="A25" i="8"/>
  <c r="A26" s="1"/>
  <c r="A27" s="1"/>
  <c r="A28" s="1"/>
  <c r="C28"/>
  <c r="A25" i="3"/>
  <c r="A26" s="1"/>
  <c r="A27" s="1"/>
  <c r="A28" s="1"/>
  <c r="C28"/>
  <c r="G36" i="5"/>
  <c r="O14" i="10"/>
  <c r="G15"/>
  <c r="O15" s="1"/>
  <c r="A19" i="11"/>
  <c r="A20" s="1"/>
  <c r="A21" s="1"/>
  <c r="A22" s="1"/>
  <c r="A23" s="1"/>
  <c r="A24" s="1"/>
  <c r="C16" i="2"/>
  <c r="C16" i="7"/>
  <c r="C36" i="1"/>
  <c r="A17" i="2"/>
  <c r="A18" s="1"/>
  <c r="C18"/>
  <c r="A17" i="7"/>
  <c r="A18" s="1"/>
  <c r="C18"/>
  <c r="A19" i="12"/>
  <c r="A20" s="1"/>
  <c r="A21" s="1"/>
  <c r="A22" s="1"/>
  <c r="A23" s="1"/>
  <c r="A24" s="1"/>
  <c r="C22"/>
  <c r="G36" i="10"/>
  <c r="G105" i="5"/>
  <c r="G105" i="10" l="1"/>
  <c r="A25" i="11"/>
  <c r="A26" s="1"/>
  <c r="A27" s="1"/>
  <c r="A28" s="1"/>
  <c r="C26"/>
  <c r="A25" i="12"/>
  <c r="A26" s="1"/>
  <c r="A27" s="1"/>
  <c r="A28" s="1"/>
  <c r="C26"/>
  <c r="A19" i="7"/>
  <c r="A20" s="1"/>
  <c r="A21" s="1"/>
  <c r="A22" s="1"/>
  <c r="A23" s="1"/>
  <c r="A24" s="1"/>
  <c r="C22"/>
  <c r="A19" i="2"/>
  <c r="A20" s="1"/>
  <c r="A21" s="1"/>
  <c r="A22" s="1"/>
  <c r="A23" s="1"/>
  <c r="A24" s="1"/>
  <c r="C22"/>
  <c r="A29" i="3"/>
  <c r="A30" s="1"/>
  <c r="C32"/>
  <c r="A29" i="8"/>
  <c r="A30" s="1"/>
  <c r="C32"/>
  <c r="C22" i="11"/>
  <c r="C22" i="6"/>
  <c r="C26"/>
  <c r="A25"/>
  <c r="A26" s="1"/>
  <c r="A27" s="1"/>
  <c r="A28" s="1"/>
  <c r="A31" i="8" l="1"/>
  <c r="A32" s="1"/>
  <c r="A31" i="3"/>
  <c r="A32" s="1"/>
  <c r="A25" i="2"/>
  <c r="A26" s="1"/>
  <c r="A27" s="1"/>
  <c r="A28" s="1"/>
  <c r="C26"/>
  <c r="A25" i="7"/>
  <c r="A26" s="1"/>
  <c r="A27" s="1"/>
  <c r="A28" s="1"/>
  <c r="C26"/>
  <c r="C28" i="12"/>
  <c r="A29"/>
  <c r="A30" s="1"/>
  <c r="A29" i="11"/>
  <c r="A30" s="1"/>
  <c r="C28"/>
  <c r="A29" i="6"/>
  <c r="A30" s="1"/>
  <c r="C28"/>
  <c r="A31" l="1"/>
  <c r="A32" s="1"/>
  <c r="C32"/>
  <c r="A31" i="11"/>
  <c r="A32" s="1"/>
  <c r="C32"/>
  <c r="C28" i="7"/>
  <c r="A29"/>
  <c r="A30" s="1"/>
  <c r="A29" i="2"/>
  <c r="A30" s="1"/>
  <c r="C28"/>
  <c r="A33" i="3"/>
  <c r="A34" s="1"/>
  <c r="A35" s="1"/>
  <c r="A36" s="1"/>
  <c r="C34"/>
  <c r="A33" i="8"/>
  <c r="A34" s="1"/>
  <c r="A35" s="1"/>
  <c r="A36" s="1"/>
  <c r="C34"/>
  <c r="A31" i="12"/>
  <c r="A32" s="1"/>
  <c r="C32"/>
  <c r="C36" l="1"/>
  <c r="A33"/>
  <c r="A34" s="1"/>
  <c r="A35" s="1"/>
  <c r="A36" s="1"/>
  <c r="A37" i="8"/>
  <c r="A38" s="1"/>
  <c r="A39" s="1"/>
  <c r="A40" s="1"/>
  <c r="C40"/>
  <c r="A37" i="3"/>
  <c r="A38" s="1"/>
  <c r="A39" s="1"/>
  <c r="A40" s="1"/>
  <c r="C40"/>
  <c r="A31" i="2"/>
  <c r="A32" s="1"/>
  <c r="C32"/>
  <c r="A33" i="11"/>
  <c r="A34" s="1"/>
  <c r="A35" s="1"/>
  <c r="A36" s="1"/>
  <c r="A37" s="1"/>
  <c r="A38" s="1"/>
  <c r="C36"/>
  <c r="A33" i="6"/>
  <c r="A34" s="1"/>
  <c r="A35" s="1"/>
  <c r="A36" s="1"/>
  <c r="A37" s="1"/>
  <c r="A38" s="1"/>
  <c r="C36"/>
  <c r="A31" i="7"/>
  <c r="A32" s="1"/>
  <c r="C32"/>
  <c r="C36" l="1"/>
  <c r="A33"/>
  <c r="A34" s="1"/>
  <c r="A35" s="1"/>
  <c r="A36" s="1"/>
  <c r="C36" i="2"/>
  <c r="A33"/>
  <c r="A34" s="1"/>
  <c r="A35" s="1"/>
  <c r="A36" s="1"/>
  <c r="A41" i="3"/>
  <c r="A42" s="1"/>
  <c r="A43" s="1"/>
  <c r="A44" s="1"/>
  <c r="A45" s="1"/>
  <c r="C42"/>
  <c r="C42" i="8"/>
  <c r="A41"/>
  <c r="A42" s="1"/>
  <c r="A43" s="1"/>
  <c r="A44" s="1"/>
  <c r="A45" s="1"/>
  <c r="D22" i="1" l="1"/>
  <c r="D22" i="2"/>
  <c r="E22" s="1"/>
  <c r="G36" i="6"/>
  <c r="F36"/>
  <c r="L36" i="1"/>
  <c r="E36" i="6"/>
  <c r="O36" i="1"/>
  <c r="J36"/>
  <c r="D36" i="6" l="1"/>
  <c r="H36" i="2"/>
  <c r="H36" i="1"/>
  <c r="F22" i="2"/>
  <c r="E22" i="1"/>
  <c r="F22" s="1"/>
  <c r="K36"/>
  <c r="M36"/>
  <c r="N36"/>
  <c r="F36" i="7"/>
  <c r="N36" i="2"/>
  <c r="L36"/>
  <c r="O36"/>
  <c r="M36"/>
  <c r="J36"/>
  <c r="G36" i="7"/>
  <c r="K36" i="2"/>
  <c r="E36" i="7" l="1"/>
  <c r="D36"/>
  <c r="G22" i="2"/>
  <c r="H22" l="1"/>
  <c r="D14" i="4"/>
  <c r="D18"/>
  <c r="D22" s="1"/>
  <c r="E14"/>
  <c r="E18"/>
  <c r="E22" s="1"/>
  <c r="I36" i="1"/>
  <c r="P34"/>
  <c r="P36" s="1"/>
  <c r="I36" i="2"/>
  <c r="P34"/>
  <c r="P36" s="1"/>
  <c r="I22"/>
  <c r="G22" i="1" l="1"/>
  <c r="H22" s="1"/>
  <c r="I22" s="1"/>
  <c r="J22" s="1"/>
  <c r="J22" i="2"/>
  <c r="K22" i="1" l="1"/>
  <c r="L22" s="1"/>
  <c r="M22" s="1"/>
  <c r="K22" i="2"/>
  <c r="N22" i="1" l="1"/>
  <c r="L22" i="2"/>
  <c r="M22" l="1"/>
  <c r="P20" i="1"/>
  <c r="O22" l="1"/>
  <c r="N22" i="2"/>
  <c r="P20"/>
  <c r="D22" i="6" l="1"/>
  <c r="D26" i="3"/>
  <c r="D28" s="1"/>
  <c r="D32" s="1"/>
  <c r="H24" i="6"/>
  <c r="O22" i="2"/>
  <c r="D22" i="7" l="1"/>
  <c r="H24"/>
  <c r="E26" i="3"/>
  <c r="E28" s="1"/>
  <c r="E32" s="1"/>
  <c r="D15" i="11"/>
  <c r="H15" i="6"/>
  <c r="D34" i="3"/>
  <c r="I24" i="6"/>
  <c r="I26" s="1"/>
  <c r="K24"/>
  <c r="K26" s="1"/>
  <c r="M24"/>
  <c r="M26" s="1"/>
  <c r="O24"/>
  <c r="J24"/>
  <c r="J26" s="1"/>
  <c r="N24"/>
  <c r="N26" s="1"/>
  <c r="L24"/>
  <c r="L26" s="1"/>
  <c r="H26"/>
  <c r="E22"/>
  <c r="D24" i="11" l="1"/>
  <c r="O26" i="6"/>
  <c r="P26" s="1"/>
  <c r="D30" i="11"/>
  <c r="H30" i="6"/>
  <c r="D24" i="4"/>
  <c r="F15" i="11"/>
  <c r="F16" s="1"/>
  <c r="F18" s="1"/>
  <c r="D16"/>
  <c r="E15"/>
  <c r="E16" s="1"/>
  <c r="E18" s="1"/>
  <c r="G15"/>
  <c r="G16" s="1"/>
  <c r="G18" s="1"/>
  <c r="J24" i="7"/>
  <c r="J26" s="1"/>
  <c r="L24"/>
  <c r="L26" s="1"/>
  <c r="N24"/>
  <c r="N26" s="1"/>
  <c r="I24"/>
  <c r="I26" s="1"/>
  <c r="M24"/>
  <c r="M26" s="1"/>
  <c r="K24"/>
  <c r="K26" s="1"/>
  <c r="H26"/>
  <c r="O24"/>
  <c r="J15" i="6"/>
  <c r="J16" s="1"/>
  <c r="J18" s="1"/>
  <c r="L15"/>
  <c r="L16" s="1"/>
  <c r="L18" s="1"/>
  <c r="N15"/>
  <c r="N16" s="1"/>
  <c r="N18" s="1"/>
  <c r="I15"/>
  <c r="I16" s="1"/>
  <c r="I18" s="1"/>
  <c r="M15"/>
  <c r="M16" s="1"/>
  <c r="M18" s="1"/>
  <c r="K15"/>
  <c r="K16" s="1"/>
  <c r="K18" s="1"/>
  <c r="O15"/>
  <c r="O16" s="1"/>
  <c r="O18" s="1"/>
  <c r="H16"/>
  <c r="D15" i="12"/>
  <c r="H15" i="7"/>
  <c r="E34" i="3"/>
  <c r="F22" i="6"/>
  <c r="G22" s="1"/>
  <c r="E22" i="7"/>
  <c r="I15" l="1"/>
  <c r="I16" s="1"/>
  <c r="I18" s="1"/>
  <c r="K15"/>
  <c r="K16" s="1"/>
  <c r="K18" s="1"/>
  <c r="M15"/>
  <c r="M16" s="1"/>
  <c r="M18" s="1"/>
  <c r="O15"/>
  <c r="O16" s="1"/>
  <c r="O18" s="1"/>
  <c r="L15"/>
  <c r="L16" s="1"/>
  <c r="L18" s="1"/>
  <c r="J15"/>
  <c r="J16" s="1"/>
  <c r="J18" s="1"/>
  <c r="N15"/>
  <c r="N16" s="1"/>
  <c r="N18" s="1"/>
  <c r="H16"/>
  <c r="H18" i="6"/>
  <c r="P18" s="1"/>
  <c r="P16"/>
  <c r="D24" i="12"/>
  <c r="O26" i="7"/>
  <c r="D18" i="11"/>
  <c r="J30" i="6"/>
  <c r="L30"/>
  <c r="N30"/>
  <c r="I30"/>
  <c r="M30"/>
  <c r="H38"/>
  <c r="K30"/>
  <c r="H32"/>
  <c r="O30"/>
  <c r="D30" i="12"/>
  <c r="H30" i="7"/>
  <c r="E24" i="4"/>
  <c r="E15" i="12"/>
  <c r="E16" s="1"/>
  <c r="E18" s="1"/>
  <c r="G15"/>
  <c r="G16" s="1"/>
  <c r="G18" s="1"/>
  <c r="F15"/>
  <c r="F16" s="1"/>
  <c r="F18" s="1"/>
  <c r="D16"/>
  <c r="D26" i="4"/>
  <c r="D28" s="1"/>
  <c r="D30" s="1"/>
  <c r="D32" s="1"/>
  <c r="D34" s="1"/>
  <c r="D36" i="3" s="1"/>
  <c r="F30" i="11"/>
  <c r="E30"/>
  <c r="G30"/>
  <c r="D32"/>
  <c r="D38"/>
  <c r="E24"/>
  <c r="E26" s="1"/>
  <c r="G24"/>
  <c r="G26" s="1"/>
  <c r="D26"/>
  <c r="F24"/>
  <c r="F26" s="1"/>
  <c r="P26" i="7"/>
  <c r="D20" i="9" l="1"/>
  <c r="D38" i="3"/>
  <c r="E30" i="12"/>
  <c r="E32" s="1"/>
  <c r="G30"/>
  <c r="G32" s="1"/>
  <c r="D32"/>
  <c r="F30"/>
  <c r="F32" s="1"/>
  <c r="I32" i="6"/>
  <c r="I38"/>
  <c r="L38"/>
  <c r="L32"/>
  <c r="D36" i="11"/>
  <c r="E32"/>
  <c r="E38"/>
  <c r="D18" i="12"/>
  <c r="E26" i="4"/>
  <c r="E28" s="1"/>
  <c r="E30" s="1"/>
  <c r="E32" s="1"/>
  <c r="E34" s="1"/>
  <c r="E36" i="3" s="1"/>
  <c r="I30" i="7"/>
  <c r="I32" s="1"/>
  <c r="K30"/>
  <c r="K32" s="1"/>
  <c r="M30"/>
  <c r="M32" s="1"/>
  <c r="O30"/>
  <c r="O32" s="1"/>
  <c r="H32"/>
  <c r="L30"/>
  <c r="L32" s="1"/>
  <c r="J30"/>
  <c r="J32" s="1"/>
  <c r="N30"/>
  <c r="N32" s="1"/>
  <c r="O32" i="6"/>
  <c r="O38"/>
  <c r="K32"/>
  <c r="K38"/>
  <c r="M32"/>
  <c r="M38"/>
  <c r="N32"/>
  <c r="N38"/>
  <c r="J32"/>
  <c r="J38"/>
  <c r="F24" i="12"/>
  <c r="F26" s="1"/>
  <c r="E24"/>
  <c r="E26" s="1"/>
  <c r="G24"/>
  <c r="G26" s="1"/>
  <c r="D26"/>
  <c r="F22" i="7"/>
  <c r="G22" s="1"/>
  <c r="G32" i="11"/>
  <c r="G38"/>
  <c r="F32"/>
  <c r="F38"/>
  <c r="H36" i="6"/>
  <c r="P32"/>
  <c r="H18" i="7"/>
  <c r="P18" s="1"/>
  <c r="P16"/>
  <c r="D12" i="9" l="1"/>
  <c r="P32" i="7"/>
  <c r="O36" i="6"/>
  <c r="E20" i="9"/>
  <c r="E40" i="3"/>
  <c r="E42" s="1"/>
  <c r="E38"/>
  <c r="F36" i="11"/>
  <c r="D36" i="12"/>
  <c r="G36" i="11"/>
  <c r="M36" i="6"/>
  <c r="N36"/>
  <c r="L36"/>
  <c r="J36"/>
  <c r="K36"/>
  <c r="I14" i="5" l="1"/>
  <c r="K14" s="1"/>
  <c r="I22"/>
  <c r="K22" s="1"/>
  <c r="I23"/>
  <c r="K23" s="1"/>
  <c r="I32"/>
  <c r="K32" s="1"/>
  <c r="I33"/>
  <c r="K33" s="1"/>
  <c r="I35"/>
  <c r="K35" s="1"/>
  <c r="I39"/>
  <c r="K39" s="1"/>
  <c r="I40"/>
  <c r="K40" s="1"/>
  <c r="I43"/>
  <c r="K43" s="1"/>
  <c r="I44"/>
  <c r="K44" s="1"/>
  <c r="I45"/>
  <c r="K45" s="1"/>
  <c r="I13"/>
  <c r="K13" s="1"/>
  <c r="I18"/>
  <c r="K18" s="1"/>
  <c r="I28"/>
  <c r="K28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10"/>
  <c r="K10" s="1"/>
  <c r="I50"/>
  <c r="K50" s="1"/>
  <c r="I53"/>
  <c r="K53" s="1"/>
  <c r="I54"/>
  <c r="K54" s="1"/>
  <c r="I55"/>
  <c r="K55" s="1"/>
  <c r="I73"/>
  <c r="K73" s="1"/>
  <c r="I74"/>
  <c r="K74" s="1"/>
  <c r="I96"/>
  <c r="K96" s="1"/>
  <c r="I97"/>
  <c r="K97" s="1"/>
  <c r="I98"/>
  <c r="K98" s="1"/>
  <c r="I99"/>
  <c r="K99" s="1"/>
  <c r="I100"/>
  <c r="K100" s="1"/>
  <c r="I101"/>
  <c r="K101" s="1"/>
  <c r="I70"/>
  <c r="K70" s="1"/>
  <c r="I93"/>
  <c r="K93" s="1"/>
  <c r="E12" i="9"/>
  <c r="E36" i="11"/>
  <c r="G36" i="12"/>
  <c r="K36" i="7"/>
  <c r="N36"/>
  <c r="J36"/>
  <c r="Q100" i="5" l="1"/>
  <c r="L100"/>
  <c r="N100" s="1"/>
  <c r="O100" s="1"/>
  <c r="Q96"/>
  <c r="L96"/>
  <c r="N96" s="1"/>
  <c r="O96" s="1"/>
  <c r="Q54"/>
  <c r="L54"/>
  <c r="N54" s="1"/>
  <c r="O54" s="1"/>
  <c r="Q88"/>
  <c r="L88"/>
  <c r="N88" s="1"/>
  <c r="O88" s="1"/>
  <c r="Q84"/>
  <c r="L84"/>
  <c r="N84" s="1"/>
  <c r="O84" s="1"/>
  <c r="Q65"/>
  <c r="L65"/>
  <c r="N65" s="1"/>
  <c r="O65" s="1"/>
  <c r="Q61"/>
  <c r="L61"/>
  <c r="N61" s="1"/>
  <c r="O61" s="1"/>
  <c r="Q13"/>
  <c r="L13"/>
  <c r="Q35"/>
  <c r="L35"/>
  <c r="N35" s="1"/>
  <c r="O35" s="1"/>
  <c r="I36" i="6"/>
  <c r="P34"/>
  <c r="P36" s="1"/>
  <c r="Q93" i="5"/>
  <c r="L93"/>
  <c r="Q101"/>
  <c r="L101"/>
  <c r="N101" s="1"/>
  <c r="O101" s="1"/>
  <c r="Q99"/>
  <c r="L99"/>
  <c r="N99" s="1"/>
  <c r="O99" s="1"/>
  <c r="Q97"/>
  <c r="L97"/>
  <c r="N97" s="1"/>
  <c r="O97" s="1"/>
  <c r="Q74"/>
  <c r="L74"/>
  <c r="N74" s="1"/>
  <c r="O74" s="1"/>
  <c r="Q55"/>
  <c r="L55"/>
  <c r="N55" s="1"/>
  <c r="O55" s="1"/>
  <c r="Q53"/>
  <c r="L53"/>
  <c r="N53" s="1"/>
  <c r="O53" s="1"/>
  <c r="Q10"/>
  <c r="L10"/>
  <c r="Q87"/>
  <c r="L87"/>
  <c r="N87" s="1"/>
  <c r="O87" s="1"/>
  <c r="Q85"/>
  <c r="L85"/>
  <c r="N85" s="1"/>
  <c r="O85" s="1"/>
  <c r="Q83"/>
  <c r="L83"/>
  <c r="N83" s="1"/>
  <c r="O83" s="1"/>
  <c r="Q79"/>
  <c r="L79"/>
  <c r="Q64"/>
  <c r="L64"/>
  <c r="N64" s="1"/>
  <c r="O64" s="1"/>
  <c r="Q60"/>
  <c r="L60"/>
  <c r="Q18"/>
  <c r="L18"/>
  <c r="Q45"/>
  <c r="L45"/>
  <c r="N45" s="1"/>
  <c r="O45" s="1"/>
  <c r="Q43"/>
  <c r="L43"/>
  <c r="N43" s="1"/>
  <c r="O43" s="1"/>
  <c r="L39"/>
  <c r="Q39"/>
  <c r="Q33"/>
  <c r="L33"/>
  <c r="N33" s="1"/>
  <c r="O33" s="1"/>
  <c r="Q23"/>
  <c r="L23"/>
  <c r="N23" s="1"/>
  <c r="O23" s="1"/>
  <c r="L14"/>
  <c r="N14" s="1"/>
  <c r="Q14"/>
  <c r="D14" i="9"/>
  <c r="D18"/>
  <c r="D22" s="1"/>
  <c r="Q70" i="5"/>
  <c r="L70"/>
  <c r="Q98"/>
  <c r="L98"/>
  <c r="N98" s="1"/>
  <c r="O98" s="1"/>
  <c r="Q73"/>
  <c r="L73"/>
  <c r="N73" s="1"/>
  <c r="O73" s="1"/>
  <c r="L50"/>
  <c r="Q50"/>
  <c r="Q86"/>
  <c r="L86"/>
  <c r="N86" s="1"/>
  <c r="O86" s="1"/>
  <c r="Q80"/>
  <c r="L80"/>
  <c r="N80" s="1"/>
  <c r="O80" s="1"/>
  <c r="Q28"/>
  <c r="L28"/>
  <c r="Q44"/>
  <c r="L44"/>
  <c r="N44" s="1"/>
  <c r="O44" s="1"/>
  <c r="Q40"/>
  <c r="L40"/>
  <c r="N40" s="1"/>
  <c r="O40" s="1"/>
  <c r="Q32"/>
  <c r="L32"/>
  <c r="N32" s="1"/>
  <c r="O32" s="1"/>
  <c r="Q22"/>
  <c r="L22"/>
  <c r="N22" s="1"/>
  <c r="O22" s="1"/>
  <c r="F36" i="12"/>
  <c r="L36" i="7"/>
  <c r="O36"/>
  <c r="I36"/>
  <c r="M36"/>
  <c r="N93" i="5" l="1"/>
  <c r="O93" s="1"/>
  <c r="L103"/>
  <c r="N103" s="1"/>
  <c r="O103" s="1"/>
  <c r="N13"/>
  <c r="L15"/>
  <c r="N15" s="1"/>
  <c r="H22" i="6"/>
  <c r="H28"/>
  <c r="E36" i="12"/>
  <c r="N50" i="5"/>
  <c r="O50" s="1"/>
  <c r="L57"/>
  <c r="N57" s="1"/>
  <c r="O57" s="1"/>
  <c r="L47"/>
  <c r="N47" s="1"/>
  <c r="O47" s="1"/>
  <c r="N39"/>
  <c r="O39" s="1"/>
  <c r="P34" i="7"/>
  <c r="P36" s="1"/>
  <c r="H36"/>
  <c r="N28" i="5"/>
  <c r="O28" s="1"/>
  <c r="L36"/>
  <c r="N36" s="1"/>
  <c r="O36" s="1"/>
  <c r="N70"/>
  <c r="L76"/>
  <c r="N76" s="1"/>
  <c r="O76" s="1"/>
  <c r="N18"/>
  <c r="O18" s="1"/>
  <c r="L25"/>
  <c r="N25" s="1"/>
  <c r="O25" s="1"/>
  <c r="L67"/>
  <c r="N67" s="1"/>
  <c r="O67" s="1"/>
  <c r="N60"/>
  <c r="O60" s="1"/>
  <c r="L90"/>
  <c r="N90" s="1"/>
  <c r="O90" s="1"/>
  <c r="N79"/>
  <c r="O79" s="1"/>
  <c r="N10"/>
  <c r="L105" l="1"/>
  <c r="E14" i="9"/>
  <c r="E18"/>
  <c r="E22" s="1"/>
  <c r="I22" i="6"/>
  <c r="N105" i="5"/>
  <c r="O105" s="1"/>
  <c r="O10"/>
  <c r="I28" i="6"/>
  <c r="J28" l="1"/>
  <c r="J22"/>
  <c r="H22" i="7" l="1"/>
  <c r="H28"/>
  <c r="I28" s="1"/>
  <c r="K22" i="6"/>
  <c r="K28"/>
  <c r="L28" l="1"/>
  <c r="J28" i="7"/>
  <c r="L22" i="6"/>
  <c r="I22" i="7"/>
  <c r="J22" s="1"/>
  <c r="K22" l="1"/>
  <c r="K28"/>
  <c r="L28" s="1"/>
  <c r="M22" i="6"/>
  <c r="M28"/>
  <c r="N28" s="1"/>
  <c r="N22" l="1"/>
  <c r="L22" i="7"/>
  <c r="P20" i="6"/>
  <c r="O22" l="1"/>
  <c r="O28"/>
  <c r="M28" i="7"/>
  <c r="D28" i="11" l="1"/>
  <c r="H24"/>
  <c r="D26" i="8"/>
  <c r="D28" s="1"/>
  <c r="D32" s="1"/>
  <c r="D22" i="11"/>
  <c r="N28" i="7"/>
  <c r="M22"/>
  <c r="N22" s="1"/>
  <c r="P20"/>
  <c r="O28" l="1"/>
  <c r="H24" i="12"/>
  <c r="E26" i="8"/>
  <c r="E28" s="1"/>
  <c r="E32" s="1"/>
  <c r="I24" i="11"/>
  <c r="I26" s="1"/>
  <c r="K24"/>
  <c r="K26" s="1"/>
  <c r="M24"/>
  <c r="M26" s="1"/>
  <c r="O24"/>
  <c r="O26" s="1"/>
  <c r="H26"/>
  <c r="J24"/>
  <c r="J26" s="1"/>
  <c r="L24"/>
  <c r="L26" s="1"/>
  <c r="N24"/>
  <c r="N26" s="1"/>
  <c r="H15"/>
  <c r="D34" i="8"/>
  <c r="O22" i="7"/>
  <c r="E22" i="11"/>
  <c r="E28"/>
  <c r="D28" i="12"/>
  <c r="F28" i="11" l="1"/>
  <c r="D22" i="12"/>
  <c r="J15" i="11"/>
  <c r="J16" s="1"/>
  <c r="J18" s="1"/>
  <c r="L15"/>
  <c r="L16" s="1"/>
  <c r="L18" s="1"/>
  <c r="N15"/>
  <c r="N16" s="1"/>
  <c r="N18" s="1"/>
  <c r="H16"/>
  <c r="I15"/>
  <c r="I16" s="1"/>
  <c r="I18" s="1"/>
  <c r="K15"/>
  <c r="K16" s="1"/>
  <c r="K18" s="1"/>
  <c r="M15"/>
  <c r="M16" s="1"/>
  <c r="M18" s="1"/>
  <c r="O15"/>
  <c r="O16" s="1"/>
  <c r="O18" s="1"/>
  <c r="H30"/>
  <c r="D24" i="9"/>
  <c r="H15" i="12"/>
  <c r="E34" i="8"/>
  <c r="J24" i="12"/>
  <c r="J26" s="1"/>
  <c r="L24"/>
  <c r="L26" s="1"/>
  <c r="N24"/>
  <c r="N26" s="1"/>
  <c r="I24"/>
  <c r="I26" s="1"/>
  <c r="K24"/>
  <c r="K26" s="1"/>
  <c r="M24"/>
  <c r="M26" s="1"/>
  <c r="O24"/>
  <c r="O26" s="1"/>
  <c r="H26"/>
  <c r="P26" i="11"/>
  <c r="F22"/>
  <c r="G28"/>
  <c r="E22" i="12" l="1"/>
  <c r="I15"/>
  <c r="I16" s="1"/>
  <c r="I18" s="1"/>
  <c r="K15"/>
  <c r="K16" s="1"/>
  <c r="K18" s="1"/>
  <c r="M15"/>
  <c r="M16" s="1"/>
  <c r="M18" s="1"/>
  <c r="O15"/>
  <c r="O16" s="1"/>
  <c r="O18" s="1"/>
  <c r="J15"/>
  <c r="J16" s="1"/>
  <c r="J18" s="1"/>
  <c r="L15"/>
  <c r="L16" s="1"/>
  <c r="L18" s="1"/>
  <c r="N15"/>
  <c r="N16" s="1"/>
  <c r="N18" s="1"/>
  <c r="H16"/>
  <c r="D26" i="9"/>
  <c r="D28" s="1"/>
  <c r="D30" s="1"/>
  <c r="D32" s="1"/>
  <c r="D34" s="1"/>
  <c r="D36" i="8" s="1"/>
  <c r="D38" s="1"/>
  <c r="H18" i="11"/>
  <c r="P18" s="1"/>
  <c r="P16"/>
  <c r="H30" i="12"/>
  <c r="E24" i="9"/>
  <c r="J30" i="11"/>
  <c r="L30"/>
  <c r="N30"/>
  <c r="I30"/>
  <c r="K30"/>
  <c r="M30"/>
  <c r="O30"/>
  <c r="H32"/>
  <c r="H38"/>
  <c r="G22"/>
  <c r="E28" i="12"/>
  <c r="P26"/>
  <c r="O32" i="11" l="1"/>
  <c r="O38"/>
  <c r="K32"/>
  <c r="K38"/>
  <c r="N32"/>
  <c r="N38"/>
  <c r="J32"/>
  <c r="J38"/>
  <c r="H18" i="12"/>
  <c r="P18" s="1"/>
  <c r="P16"/>
  <c r="H36" i="11"/>
  <c r="M32"/>
  <c r="M38"/>
  <c r="I32"/>
  <c r="I38"/>
  <c r="L32"/>
  <c r="L38"/>
  <c r="E26" i="9"/>
  <c r="E28" s="1"/>
  <c r="E30" s="1"/>
  <c r="E32" s="1"/>
  <c r="E34" s="1"/>
  <c r="E36" i="8" s="1"/>
  <c r="I30" i="12"/>
  <c r="I32" s="1"/>
  <c r="K30"/>
  <c r="K32" s="1"/>
  <c r="M30"/>
  <c r="M32" s="1"/>
  <c r="O30"/>
  <c r="O32" s="1"/>
  <c r="H32"/>
  <c r="J30"/>
  <c r="J32" s="1"/>
  <c r="L30"/>
  <c r="L32" s="1"/>
  <c r="N30"/>
  <c r="N32" s="1"/>
  <c r="F22"/>
  <c r="F28"/>
  <c r="G28" s="1"/>
  <c r="N36" i="11" l="1"/>
  <c r="O36"/>
  <c r="E40" i="8"/>
  <c r="E42" s="1"/>
  <c r="E38"/>
  <c r="P32" i="12"/>
  <c r="I36" i="11"/>
  <c r="K36"/>
  <c r="G22" i="12"/>
  <c r="P32" i="11"/>
  <c r="L36"/>
  <c r="J36"/>
  <c r="P34" l="1"/>
  <c r="I14" i="10"/>
  <c r="K14" s="1"/>
  <c r="I22"/>
  <c r="K22" s="1"/>
  <c r="I23"/>
  <c r="K23" s="1"/>
  <c r="I32"/>
  <c r="K32" s="1"/>
  <c r="I33"/>
  <c r="K33" s="1"/>
  <c r="I35"/>
  <c r="K35" s="1"/>
  <c r="I10"/>
  <c r="K10" s="1"/>
  <c r="I13"/>
  <c r="K13" s="1"/>
  <c r="I18"/>
  <c r="K18" s="1"/>
  <c r="I28"/>
  <c r="K28" s="1"/>
  <c r="I39"/>
  <c r="K39" s="1"/>
  <c r="I40"/>
  <c r="K40" s="1"/>
  <c r="I43"/>
  <c r="K43" s="1"/>
  <c r="I44"/>
  <c r="K44" s="1"/>
  <c r="I45"/>
  <c r="K45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53"/>
  <c r="K53" s="1"/>
  <c r="I54"/>
  <c r="K54" s="1"/>
  <c r="I55"/>
  <c r="K55" s="1"/>
  <c r="I73"/>
  <c r="K73" s="1"/>
  <c r="I74"/>
  <c r="K74" s="1"/>
  <c r="I96"/>
  <c r="K96" s="1"/>
  <c r="I97"/>
  <c r="K97" s="1"/>
  <c r="I98"/>
  <c r="K98" s="1"/>
  <c r="I99"/>
  <c r="K99" s="1"/>
  <c r="I100"/>
  <c r="K100" s="1"/>
  <c r="I101"/>
  <c r="K101" s="1"/>
  <c r="I50"/>
  <c r="K50" s="1"/>
  <c r="I70"/>
  <c r="K70" s="1"/>
  <c r="I93"/>
  <c r="K93" s="1"/>
  <c r="P36" i="11"/>
  <c r="M36"/>
  <c r="H36" i="12"/>
  <c r="J36"/>
  <c r="L36"/>
  <c r="K36"/>
  <c r="Q101" i="10" l="1"/>
  <c r="L101"/>
  <c r="N101" s="1"/>
  <c r="O101" s="1"/>
  <c r="Q97"/>
  <c r="L97"/>
  <c r="N97" s="1"/>
  <c r="O97" s="1"/>
  <c r="Q55"/>
  <c r="L55"/>
  <c r="N55" s="1"/>
  <c r="O55" s="1"/>
  <c r="Q87"/>
  <c r="L87"/>
  <c r="N87" s="1"/>
  <c r="O87" s="1"/>
  <c r="Q83"/>
  <c r="L83"/>
  <c r="N83" s="1"/>
  <c r="O83" s="1"/>
  <c r="Q93"/>
  <c r="L93"/>
  <c r="Q50"/>
  <c r="L50"/>
  <c r="Q100"/>
  <c r="L100"/>
  <c r="N100" s="1"/>
  <c r="O100" s="1"/>
  <c r="Q98"/>
  <c r="L98"/>
  <c r="N98" s="1"/>
  <c r="O98" s="1"/>
  <c r="Q96"/>
  <c r="L96"/>
  <c r="N96" s="1"/>
  <c r="O96" s="1"/>
  <c r="Q73"/>
  <c r="L73"/>
  <c r="N73" s="1"/>
  <c r="O73" s="1"/>
  <c r="Q54"/>
  <c r="L54"/>
  <c r="N54" s="1"/>
  <c r="O54" s="1"/>
  <c r="Q88"/>
  <c r="L88"/>
  <c r="N88" s="1"/>
  <c r="O88" s="1"/>
  <c r="Q86"/>
  <c r="L86"/>
  <c r="N86" s="1"/>
  <c r="O86" s="1"/>
  <c r="Q84"/>
  <c r="L84"/>
  <c r="N84" s="1"/>
  <c r="O84" s="1"/>
  <c r="Q80"/>
  <c r="L80"/>
  <c r="N80" s="1"/>
  <c r="O80" s="1"/>
  <c r="Q65"/>
  <c r="L65"/>
  <c r="N65" s="1"/>
  <c r="O65" s="1"/>
  <c r="Q61"/>
  <c r="L61"/>
  <c r="N61" s="1"/>
  <c r="O61" s="1"/>
  <c r="Q45"/>
  <c r="L45"/>
  <c r="N45" s="1"/>
  <c r="O45" s="1"/>
  <c r="Q43"/>
  <c r="L43"/>
  <c r="N43" s="1"/>
  <c r="O43" s="1"/>
  <c r="L39"/>
  <c r="Q39"/>
  <c r="Q18"/>
  <c r="L18"/>
  <c r="Q10"/>
  <c r="L10"/>
  <c r="Q33"/>
  <c r="L33"/>
  <c r="N33" s="1"/>
  <c r="O33" s="1"/>
  <c r="Q23"/>
  <c r="L23"/>
  <c r="N23" s="1"/>
  <c r="O23" s="1"/>
  <c r="L14"/>
  <c r="N14" s="1"/>
  <c r="Q14"/>
  <c r="Q70"/>
  <c r="L70"/>
  <c r="Q99"/>
  <c r="L99"/>
  <c r="N99" s="1"/>
  <c r="O99" s="1"/>
  <c r="Q74"/>
  <c r="L74"/>
  <c r="N74" s="1"/>
  <c r="O74" s="1"/>
  <c r="Q53"/>
  <c r="L53"/>
  <c r="N53" s="1"/>
  <c r="O53" s="1"/>
  <c r="Q85"/>
  <c r="L85"/>
  <c r="N85" s="1"/>
  <c r="O85" s="1"/>
  <c r="Q79"/>
  <c r="L79"/>
  <c r="Q64"/>
  <c r="L64"/>
  <c r="N64" s="1"/>
  <c r="O64" s="1"/>
  <c r="Q60"/>
  <c r="L60"/>
  <c r="Q44"/>
  <c r="L44"/>
  <c r="N44" s="1"/>
  <c r="O44" s="1"/>
  <c r="Q40"/>
  <c r="L40"/>
  <c r="N40" s="1"/>
  <c r="O40" s="1"/>
  <c r="Q28"/>
  <c r="L28"/>
  <c r="Q13"/>
  <c r="L13"/>
  <c r="Q35"/>
  <c r="L35"/>
  <c r="N35" s="1"/>
  <c r="O35" s="1"/>
  <c r="Q32"/>
  <c r="L32"/>
  <c r="N32" s="1"/>
  <c r="O32" s="1"/>
  <c r="Q22"/>
  <c r="L22"/>
  <c r="N22" s="1"/>
  <c r="O22" s="1"/>
  <c r="I36" i="12"/>
  <c r="M36"/>
  <c r="N36"/>
  <c r="N13" i="10" l="1"/>
  <c r="L15"/>
  <c r="N15" s="1"/>
  <c r="N28"/>
  <c r="O28" s="1"/>
  <c r="L36"/>
  <c r="N36" s="1"/>
  <c r="O36" s="1"/>
  <c r="N70"/>
  <c r="L76"/>
  <c r="N76" s="1"/>
  <c r="O76" s="1"/>
  <c r="N18"/>
  <c r="O18" s="1"/>
  <c r="L25"/>
  <c r="N25" s="1"/>
  <c r="O25" s="1"/>
  <c r="N50"/>
  <c r="O50" s="1"/>
  <c r="L57"/>
  <c r="N57" s="1"/>
  <c r="O57" s="1"/>
  <c r="N93"/>
  <c r="O93" s="1"/>
  <c r="L103"/>
  <c r="N103" s="1"/>
  <c r="O103" s="1"/>
  <c r="O36" i="12"/>
  <c r="P34"/>
  <c r="P36" s="1"/>
  <c r="L47" i="10"/>
  <c r="N47" s="1"/>
  <c r="O47" s="1"/>
  <c r="N39"/>
  <c r="O39" s="1"/>
  <c r="L67"/>
  <c r="N67" s="1"/>
  <c r="O67" s="1"/>
  <c r="N60"/>
  <c r="O60" s="1"/>
  <c r="L90"/>
  <c r="N90" s="1"/>
  <c r="O90" s="1"/>
  <c r="N79"/>
  <c r="O79" s="1"/>
  <c r="N10"/>
  <c r="L105"/>
  <c r="H28" i="11" l="1"/>
  <c r="H22"/>
  <c r="N105" i="10"/>
  <c r="O105" s="1"/>
  <c r="O10"/>
  <c r="I28" i="11" l="1"/>
  <c r="J28" s="1"/>
  <c r="I22"/>
  <c r="J22" s="1"/>
  <c r="H28" i="12" l="1"/>
  <c r="H22"/>
  <c r="I22" s="1"/>
  <c r="K22" i="11"/>
  <c r="K28"/>
  <c r="L28" s="1"/>
  <c r="L22" l="1"/>
  <c r="I28" i="12"/>
  <c r="J22"/>
  <c r="K22" s="1"/>
  <c r="M28" i="11"/>
  <c r="J28" i="12" l="1"/>
  <c r="K28" s="1"/>
  <c r="P20" i="11"/>
  <c r="M22"/>
  <c r="L22" i="12"/>
  <c r="N28" i="11"/>
  <c r="O28" s="1"/>
  <c r="N22" l="1"/>
  <c r="O22" s="1"/>
  <c r="L28" i="12"/>
  <c r="M22"/>
  <c r="M28" l="1"/>
  <c r="N22"/>
  <c r="O22" s="1"/>
  <c r="P20" l="1"/>
  <c r="N28"/>
  <c r="O28" s="1"/>
</calcChain>
</file>

<file path=xl/sharedStrings.xml><?xml version="1.0" encoding="utf-8"?>
<sst xmlns="http://schemas.openxmlformats.org/spreadsheetml/2006/main" count="758" uniqueCount="160">
  <si>
    <t>(25) x 68</t>
  </si>
  <si>
    <t>Average Monthly Bill Impact (@ 68 therms)</t>
  </si>
  <si>
    <t xml:space="preserve">Rate Impact </t>
  </si>
  <si>
    <t>Workpapers</t>
  </si>
  <si>
    <t>Projected Revenue</t>
  </si>
  <si>
    <t xml:space="preserve">Schedule 139 Revenues </t>
  </si>
  <si>
    <t>JAP-19</t>
  </si>
  <si>
    <t>Schedule 139 Rate</t>
  </si>
  <si>
    <t>Cumulative Deferral Net of Amortization</t>
  </si>
  <si>
    <t>Deferral Amortization</t>
  </si>
  <si>
    <t>Calculation</t>
  </si>
  <si>
    <t>Deferral Amortization Rate ($/Therm)</t>
  </si>
  <si>
    <t>Cumulative Deferral</t>
  </si>
  <si>
    <t>Interest on Deferral</t>
  </si>
  <si>
    <t>Deferral</t>
  </si>
  <si>
    <t>Monthly Actual Volumetric Delivery Revenue</t>
  </si>
  <si>
    <t>Delivery Revenue Per Unit ($/Therm)</t>
  </si>
  <si>
    <t>F2012</t>
  </si>
  <si>
    <t>Forecasted Therms</t>
  </si>
  <si>
    <t>Allowed Volumetric Delivery Revenue</t>
  </si>
  <si>
    <t>JAP-17</t>
  </si>
  <si>
    <t>Monthly Allowed Volumetric Delivery RPC</t>
  </si>
  <si>
    <t>Forecasted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</si>
  <si>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</si>
  <si>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</si>
  <si>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</si>
  <si>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</si>
  <si>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</si>
  <si>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</si>
  <si>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</si>
  <si>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</si>
  <si>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</si>
  <si>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</si>
  <si>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</si>
  <si>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</si>
  <si>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</si>
  <si>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</si>
  <si>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</si>
  <si>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</si>
  <si>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</si>
  <si>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</si>
  <si>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Calendar Year 2013</t>
  </si>
  <si>
    <t>Development of Deferrals - Residential</t>
  </si>
  <si>
    <t>Decoupling Filing</t>
  </si>
  <si>
    <t>Puget Sound Energy</t>
  </si>
  <si>
    <t>Development of Deferrals - Non-Residential</t>
  </si>
  <si>
    <t>** For residential customers, this is the Schedule 139 rate.</t>
  </si>
  <si>
    <t>Change from Rate Year Volumetric Delivery Revenue Per Unit</t>
  </si>
  <si>
    <t>Rate Year Change in Volumetric Delivery Revenue</t>
  </si>
  <si>
    <t>Post-Rate Test Deferred Balance to Recover/(Refund)</t>
  </si>
  <si>
    <t>Page 4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</si>
  <si>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</si>
  <si>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</si>
  <si>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</si>
  <si>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Forecasted Rate Year Base Sales (Therms)</t>
  </si>
  <si>
    <t>Estimated Recoverable Volumetric Delivery Revenue</t>
  </si>
  <si>
    <t>Page 1 &amp; 2</t>
  </si>
  <si>
    <t>Plus: Deferred Balance at End of Calendar Year 2013</t>
  </si>
  <si>
    <t>Forecasted Rate Year Allowed Volumetric Delivery Revenue</t>
  </si>
  <si>
    <t>Forecasted Rate Year Customer Count</t>
  </si>
  <si>
    <t>JAP-15</t>
  </si>
  <si>
    <t>2014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</si>
  <si>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</si>
  <si>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</si>
  <si>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</si>
  <si>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</si>
  <si>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</si>
  <si>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</si>
  <si>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Non-Residential Schedules*</t>
  </si>
  <si>
    <t>Residential</t>
  </si>
  <si>
    <t>Rate Year - May 1, 2014 through April 30, 2015</t>
  </si>
  <si>
    <t>Development of Delivery Cost Energy Rate and Rate Change - Natural Gas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</si>
  <si>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</si>
  <si>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</si>
  <si>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</si>
  <si>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</si>
  <si>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</si>
  <si>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</si>
  <si>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</si>
  <si>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</si>
  <si>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</si>
  <si>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</si>
  <si>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3</t>
  </si>
  <si>
    <t>Proposed Volumetric Delivery Revenue per Unit ($/Therm)</t>
  </si>
  <si>
    <t>(10) + (12)</t>
  </si>
  <si>
    <t>Average Rate Including Schedule 139 ($/Therm)</t>
  </si>
  <si>
    <t>Plus: Current Volumetric Delivery Revenue per Unit ($/Therm)</t>
  </si>
  <si>
    <t>(2) / (8)</t>
  </si>
  <si>
    <t>Average Rate ($/Therm)</t>
  </si>
  <si>
    <t>Work Paper</t>
  </si>
  <si>
    <t>Forecasted CBR Base Sales (Therms)</t>
  </si>
  <si>
    <t>(2) - (4)</t>
  </si>
  <si>
    <t>Adjusted ERF Normalized Revenues</t>
  </si>
  <si>
    <t>Less: Schedule 139 Revenues</t>
  </si>
  <si>
    <t>Forecasted CBR Normalized Revenues**</t>
  </si>
  <si>
    <t>3% Rate Test - 12 Months ending December 31, 2013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</si>
  <si>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</si>
  <si>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</si>
  <si>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</si>
  <si>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</si>
  <si>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</si>
  <si>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</si>
  <si>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</si>
  <si>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</si>
  <si>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</si>
  <si>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</si>
  <si>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</si>
  <si>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</si>
  <si>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</si>
  <si>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</si>
  <si>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</si>
  <si>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</si>
  <si>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</si>
  <si>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</si>
  <si>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</si>
  <si>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</si>
  <si>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</si>
  <si>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</si>
  <si>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</si>
  <si>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</si>
  <si>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</si>
  <si>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</si>
  <si>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</si>
  <si>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</si>
  <si>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</si>
  <si>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</si>
  <si>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</si>
  <si>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</si>
  <si>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 xml:space="preserve">(i) 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</si>
  <si>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</si>
  <si>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</si>
  <si>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</si>
  <si>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</si>
  <si>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</si>
  <si>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</si>
  <si>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</si>
  <si>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</si>
  <si>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</si>
  <si>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</si>
  <si>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139</t>
  </si>
  <si>
    <t>Change</t>
  </si>
  <si>
    <t>Proposed Rates w/ Sch 139</t>
  </si>
  <si>
    <t>Schedule 139</t>
  </si>
  <si>
    <t>ERF UG-130138</t>
  </si>
  <si>
    <t xml:space="preserve">Billing </t>
  </si>
  <si>
    <t>Line</t>
  </si>
  <si>
    <t>Development of Schedule 139 Rate by Rate Schedule</t>
  </si>
  <si>
    <t>JAP-19/JAP-23</t>
  </si>
  <si>
    <t>Calendar Year 2014</t>
  </si>
  <si>
    <t>Page 9</t>
  </si>
  <si>
    <t>Page 6 &amp; 7</t>
  </si>
  <si>
    <t>Plus: Deferred Balance at End of Calendar Year 2014</t>
  </si>
  <si>
    <t>2015 Allowed Volumetric Delivery Revenue Per Customer</t>
  </si>
  <si>
    <t>Rate Year - May 1, 2015 through April 30, 2016</t>
  </si>
  <si>
    <t>Page 8</t>
  </si>
  <si>
    <t>3% Rate Test - 12 Months ending December 31, 2014</t>
  </si>
  <si>
    <t>Page 3 &amp; 8</t>
  </si>
  <si>
    <t>Calendar Year 2015</t>
  </si>
  <si>
    <t xml:space="preserve">Monthly Rate Impact 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</si>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</sst>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4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mmmm\ d\,\ yyyy"/>
    <numFmt numFmtId="178" formatCode="[Blue]#,##0_);[Magenta]\(#,##0\)"/>
    <numFmt numFmtId="179" formatCode="_([$€-2]* #,##0.00_);_([$€-2]* \(#,##0.00\);_([$€-2]* &quot;-&quot;??_)"/>
    <numFmt numFmtId="180" formatCode="_(&quot;$&quot;* #,##0.0_);_(&quot;$&quot;* \(#,##0.0\);_(&quot;$&quot;* &quot;-&quot;??_);_(@_)"/>
    <numFmt numFmtId="181" formatCode="0.00_)"/>
    <numFmt numFmtId="182" formatCode="&quot;$&quot;#,##0;\-&quot;$&quot;#,##0"/>
    <numFmt numFmtId="183" formatCode="_(&quot;$&quot;* #,##0.000000_);_(&quot;$&quot;* \(#,##0.000000\);_(&quot;$&quot;* &quot;-&quot;??????_);_(@_)"/>
    <numFmt numFmtId="184" formatCode="#,##0.00\ ;\(#,##0.00\)"/>
    <numFmt numFmtId="185" formatCode="0000000"/>
    <numFmt numFmtId="186" formatCode="0.0000%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0" fillId="0" borderId="0" applyFill="0" applyBorder="0" applyAlignment="0"/>
    <xf numFmtId="173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31" fillId="68" borderId="11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2" applyNumberFormat="0" applyAlignment="0" applyProtection="0"/>
    <xf numFmtId="0" fontId="33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4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78" fontId="50" fillId="0" borderId="0"/>
    <xf numFmtId="168" fontId="22" fillId="0" borderId="0"/>
    <xf numFmtId="168" fontId="22" fillId="0" borderId="0"/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80" fontId="54" fillId="0" borderId="0" applyNumberFormat="0" applyFill="0" applyBorder="0" applyProtection="0">
      <alignment horizontal="right"/>
    </xf>
    <xf numFmtId="0" fontId="55" fillId="0" borderId="13" applyNumberFormat="0" applyAlignment="0" applyProtection="0">
      <alignment horizontal="left"/>
    </xf>
    <xf numFmtId="0" fontId="55" fillId="0" borderId="13" applyNumberFormat="0" applyAlignment="0" applyProtection="0">
      <alignment horizontal="left"/>
    </xf>
    <xf numFmtId="0" fontId="55" fillId="0" borderId="14">
      <alignment horizontal="left"/>
    </xf>
    <xf numFmtId="0" fontId="55" fillId="0" borderId="14">
      <alignment horizontal="left"/>
    </xf>
    <xf numFmtId="14" fontId="56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10" fontId="53" fillId="67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0" fontId="67" fillId="41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6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44" fontId="56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1" fontId="75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3" fontId="76" fillId="0" borderId="0"/>
    <xf numFmtId="183" fontId="76" fillId="0" borderId="0"/>
    <xf numFmtId="181" fontId="75" fillId="0" borderId="0"/>
    <xf numFmtId="181" fontId="75" fillId="0" borderId="0"/>
    <xf numFmtId="184" fontId="22" fillId="0" borderId="0"/>
    <xf numFmtId="185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2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76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82" fontId="76" fillId="0" borderId="0">
      <alignment horizontal="left" wrapText="1"/>
    </xf>
    <xf numFmtId="168" fontId="22" fillId="0" borderId="0">
      <alignment horizontal="left" wrapText="1"/>
    </xf>
    <xf numFmtId="182" fontId="76" fillId="0" borderId="0">
      <alignment horizontal="left" wrapText="1"/>
    </xf>
    <xf numFmtId="182" fontId="76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8" fontId="7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4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8" fontId="22" fillId="0" borderId="0">
      <alignment horizontal="left" wrapText="1"/>
    </xf>
    <xf numFmtId="39" fontId="78" fillId="0" borderId="0" applyNumberFormat="0" applyFill="0" applyBorder="0" applyAlignment="0" applyProtection="0"/>
    <xf numFmtId="168" fontId="22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6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0" fontId="3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39" borderId="28" applyNumberFormat="0" applyFont="0" applyAlignment="0" applyProtection="0"/>
    <xf numFmtId="0" fontId="27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8" borderId="8" applyNumberFormat="0" applyFont="0" applyAlignment="0" applyProtection="0"/>
    <xf numFmtId="0" fontId="22" fillId="39" borderId="28" applyNumberFormat="0" applyFont="0" applyAlignment="0" applyProtection="0"/>
    <xf numFmtId="0" fontId="27" fillId="8" borderId="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27" fillId="39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3"/>
    <xf numFmtId="9" fontId="27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67" borderId="0"/>
    <xf numFmtId="0" fontId="38" fillId="79" borderId="0"/>
    <xf numFmtId="0" fontId="84" fillId="79" borderId="30"/>
    <xf numFmtId="0" fontId="85" fillId="80" borderId="31"/>
    <xf numFmtId="0" fontId="86" fillId="79" borderId="32"/>
    <xf numFmtId="42" fontId="22" fillId="67" borderId="0"/>
    <xf numFmtId="42" fontId="22" fillId="67" borderId="33">
      <alignment vertical="center"/>
    </xf>
    <xf numFmtId="42" fontId="22" fillId="67" borderId="33">
      <alignment vertical="center"/>
    </xf>
    <xf numFmtId="0" fontId="56" fillId="67" borderId="10" applyNumberFormat="0">
      <alignment horizontal="center" vertical="center" wrapText="1"/>
    </xf>
    <xf numFmtId="0" fontId="56" fillId="67" borderId="10" applyNumberFormat="0">
      <alignment horizontal="center" vertical="center" wrapText="1"/>
    </xf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42" fontId="22" fillId="67" borderId="0"/>
    <xf numFmtId="166" fontId="65" fillId="0" borderId="0" applyBorder="0" applyAlignment="0"/>
    <xf numFmtId="166" fontId="65" fillId="0" borderId="0" applyBorder="0" applyAlignment="0"/>
    <xf numFmtId="42" fontId="22" fillId="67" borderId="34">
      <alignment horizontal="left"/>
    </xf>
    <xf numFmtId="42" fontId="22" fillId="67" borderId="34">
      <alignment horizontal="left"/>
    </xf>
    <xf numFmtId="188" fontId="87" fillId="67" borderId="34">
      <alignment horizontal="left"/>
    </xf>
    <xf numFmtId="166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4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3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5" fillId="0" borderId="34"/>
    <xf numFmtId="39" fontId="76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2" fontId="22" fillId="0" borderId="0">
      <alignment horizontal="left" wrapText="1"/>
    </xf>
    <xf numFmtId="40" fontId="95" fillId="0" borderId="0" applyBorder="0">
      <alignment horizontal="right"/>
    </xf>
    <xf numFmtId="41" fontId="96" fillId="67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4" fillId="79" borderId="0"/>
    <xf numFmtId="193" fontId="100" fillId="67" borderId="0">
      <alignment horizontal="left" vertical="center"/>
    </xf>
    <xf numFmtId="193" fontId="101" fillId="0" borderId="0">
      <alignment horizontal="left" vertical="center"/>
    </xf>
    <xf numFmtId="0" fontId="56" fillId="67" borderId="0">
      <alignment horizontal="left" wrapText="1"/>
    </xf>
    <xf numFmtId="0" fontId="56" fillId="67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56" fillId="67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19" fillId="0" borderId="0" xfId="4" applyFont="1"/>
    <xf numFmtId="44" fontId="19" fillId="0" borderId="0" xfId="2" applyFont="1"/>
    <xf numFmtId="0" fontId="19" fillId="33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164" fontId="19" fillId="33" borderId="0" xfId="4" applyNumberFormat="1" applyFont="1" applyFill="1"/>
    <xf numFmtId="44" fontId="19" fillId="33" borderId="0" xfId="4" applyNumberFormat="1" applyFont="1" applyFill="1"/>
    <xf numFmtId="0" fontId="19" fillId="33" borderId="0" xfId="4" applyFont="1" applyFill="1"/>
    <xf numFmtId="0" fontId="18" fillId="33" borderId="0" xfId="4" applyFill="1" applyAlignment="1">
      <alignment horizontal="center"/>
    </xf>
    <xf numFmtId="10" fontId="19" fillId="33" borderId="0" xfId="3" applyNumberFormat="1" applyFont="1" applyFill="1"/>
    <xf numFmtId="164" fontId="19" fillId="33" borderId="0" xfId="2" applyNumberFormat="1" applyFont="1" applyFill="1"/>
    <xf numFmtId="44" fontId="19" fillId="33" borderId="0" xfId="2" applyFont="1" applyFill="1"/>
    <xf numFmtId="0" fontId="18" fillId="33" borderId="0" xfId="4" applyFill="1"/>
    <xf numFmtId="165" fontId="19" fillId="33" borderId="0" xfId="4" applyNumberFormat="1" applyFont="1" applyFill="1"/>
    <xf numFmtId="44" fontId="19" fillId="0" borderId="0" xfId="5" applyFont="1"/>
    <xf numFmtId="164" fontId="19" fillId="33" borderId="0" xfId="5" applyNumberFormat="1" applyFont="1" applyFill="1"/>
    <xf numFmtId="164" fontId="20" fillId="0" borderId="0" xfId="4" applyNumberFormat="1" applyFont="1"/>
    <xf numFmtId="165" fontId="20" fillId="0" borderId="0" xfId="4" applyNumberFormat="1" applyFont="1"/>
    <xf numFmtId="165" fontId="19" fillId="33" borderId="0" xfId="5" applyNumberFormat="1" applyFont="1" applyFill="1"/>
    <xf numFmtId="0" fontId="19" fillId="33" borderId="0" xfId="4" applyFont="1" applyFill="1" applyAlignment="1">
      <alignment horizontal="center" wrapText="1"/>
    </xf>
    <xf numFmtId="166" fontId="20" fillId="0" borderId="0" xfId="6" applyNumberFormat="1" applyFont="1"/>
    <xf numFmtId="166" fontId="19" fillId="33" borderId="0" xfId="6" applyNumberFormat="1" applyFont="1" applyFill="1"/>
    <xf numFmtId="0" fontId="20" fillId="0" borderId="0" xfId="4" applyFont="1"/>
    <xf numFmtId="44" fontId="20" fillId="0" borderId="0" xfId="4" applyNumberFormat="1" applyFont="1"/>
    <xf numFmtId="167" fontId="19" fillId="0" borderId="0" xfId="4" applyNumberFormat="1" applyFont="1"/>
    <xf numFmtId="167" fontId="19" fillId="0" borderId="0" xfId="4" applyNumberFormat="1" applyFont="1" applyBorder="1" applyAlignment="1">
      <alignment horizontal="center"/>
    </xf>
    <xf numFmtId="167" fontId="21" fillId="33" borderId="10" xfId="4" applyNumberFormat="1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vertical="center"/>
    </xf>
    <xf numFmtId="0" fontId="21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0" fontId="19" fillId="0" borderId="0" xfId="3" applyNumberFormat="1" applyFont="1"/>
    <xf numFmtId="44" fontId="20" fillId="33" borderId="0" xfId="4" applyNumberFormat="1" applyFont="1" applyFill="1"/>
    <xf numFmtId="166" fontId="20" fillId="33" borderId="0" xfId="6" applyNumberFormat="1" applyFont="1" applyFill="1"/>
    <xf numFmtId="0" fontId="103" fillId="33" borderId="0" xfId="0" applyFont="1" applyFill="1" applyAlignment="1">
      <alignment horizontal="center"/>
    </xf>
    <xf numFmtId="0" fontId="18" fillId="0" borderId="0" xfId="4"/>
    <xf numFmtId="191" fontId="19" fillId="33" borderId="0" xfId="3" applyNumberFormat="1" applyFont="1" applyFill="1"/>
    <xf numFmtId="164" fontId="19" fillId="33" borderId="0" xfId="2" applyNumberFormat="1" applyFont="1" applyFill="1" applyBorder="1"/>
    <xf numFmtId="165" fontId="19" fillId="33" borderId="42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4" fontId="19" fillId="33" borderId="10" xfId="4" applyNumberFormat="1" applyFont="1" applyFill="1" applyBorder="1"/>
    <xf numFmtId="166" fontId="19" fillId="33" borderId="10" xfId="6" applyNumberFormat="1" applyFont="1" applyFill="1" applyBorder="1"/>
    <xf numFmtId="0" fontId="19" fillId="33" borderId="0" xfId="4" quotePrefix="1" applyFont="1" applyFill="1" applyAlignment="1">
      <alignment horizontal="center"/>
    </xf>
    <xf numFmtId="164" fontId="19" fillId="33" borderId="10" xfId="2" applyNumberFormat="1" applyFont="1" applyFill="1" applyBorder="1"/>
    <xf numFmtId="0" fontId="105" fillId="33" borderId="0" xfId="4" applyFont="1" applyFill="1" applyAlignment="1">
      <alignment horizontal="left"/>
    </xf>
    <xf numFmtId="41" fontId="56" fillId="33" borderId="10" xfId="5957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56" fillId="0" borderId="0" xfId="4" applyFont="1" applyAlignment="1"/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165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65" fontId="19" fillId="33" borderId="10" xfId="2" applyNumberFormat="1" applyFont="1" applyFill="1" applyBorder="1"/>
    <xf numFmtId="166" fontId="19" fillId="33" borderId="10" xfId="1" applyNumberFormat="1" applyFont="1" applyFill="1" applyBorder="1"/>
    <xf numFmtId="37" fontId="106" fillId="0" borderId="0" xfId="0" applyNumberFormat="1" applyFont="1" applyBorder="1"/>
    <xf numFmtId="191" fontId="106" fillId="0" borderId="0" xfId="3" applyNumberFormat="1" applyFont="1" applyAlignment="1"/>
    <xf numFmtId="194" fontId="106" fillId="0" borderId="0" xfId="0" applyNumberFormat="1" applyFont="1" applyAlignment="1"/>
    <xf numFmtId="194" fontId="106" fillId="0" borderId="0" xfId="6112" applyNumberFormat="1" applyFont="1" applyBorder="1" applyAlignment="1">
      <alignment horizontal="right"/>
    </xf>
    <xf numFmtId="0" fontId="106" fillId="0" borderId="0" xfId="0" applyFont="1"/>
    <xf numFmtId="191" fontId="106" fillId="0" borderId="0" xfId="3" applyNumberFormat="1" applyFont="1" applyBorder="1"/>
    <xf numFmtId="194" fontId="106" fillId="0" borderId="0" xfId="6112" applyNumberFormat="1" applyFont="1" applyFill="1" applyBorder="1" applyAlignment="1">
      <alignment horizontal="right"/>
    </xf>
    <xf numFmtId="0" fontId="106" fillId="0" borderId="0" xfId="0" applyFont="1" applyBorder="1"/>
    <xf numFmtId="0" fontId="106" fillId="0" borderId="0" xfId="6112" applyFont="1"/>
    <xf numFmtId="191" fontId="106" fillId="0" borderId="0" xfId="6112" applyNumberFormat="1" applyFont="1"/>
    <xf numFmtId="195" fontId="106" fillId="0" borderId="0" xfId="6112" applyNumberFormat="1" applyFont="1" applyFill="1" applyBorder="1"/>
    <xf numFmtId="191" fontId="106" fillId="0" borderId="0" xfId="6112" applyNumberFormat="1" applyFont="1" applyBorder="1" applyAlignment="1">
      <alignment horizontal="left"/>
    </xf>
    <xf numFmtId="0" fontId="106" fillId="0" borderId="0" xfId="6112" applyFont="1" applyBorder="1" applyProtection="1">
      <protection locked="0"/>
    </xf>
    <xf numFmtId="0" fontId="106" fillId="0" borderId="0" xfId="6112" applyFont="1" applyBorder="1"/>
    <xf numFmtId="166" fontId="106" fillId="0" borderId="0" xfId="1" applyNumberFormat="1" applyFont="1"/>
    <xf numFmtId="187" fontId="106" fillId="0" borderId="0" xfId="3" applyNumberFormat="1" applyFont="1" applyAlignment="1"/>
    <xf numFmtId="194" fontId="106" fillId="0" borderId="34" xfId="6112" applyNumberFormat="1" applyFont="1" applyFill="1" applyBorder="1" applyAlignment="1">
      <alignment horizontal="right"/>
    </xf>
    <xf numFmtId="196" fontId="106" fillId="0" borderId="0" xfId="6112" applyNumberFormat="1" applyFont="1" applyFill="1" applyBorder="1"/>
    <xf numFmtId="3" fontId="106" fillId="0" borderId="0" xfId="6112" applyNumberFormat="1" applyFont="1" applyFill="1" applyBorder="1"/>
    <xf numFmtId="0" fontId="106" fillId="0" borderId="0" xfId="0" applyFont="1" applyBorder="1" applyProtection="1">
      <protection locked="0"/>
    </xf>
    <xf numFmtId="0" fontId="106" fillId="0" borderId="0" xfId="6112" applyFont="1" applyFill="1"/>
    <xf numFmtId="3" fontId="106" fillId="0" borderId="34" xfId="6112" applyNumberFormat="1" applyFont="1" applyFill="1" applyBorder="1"/>
    <xf numFmtId="0" fontId="106" fillId="0" borderId="0" xfId="6112" applyFont="1" applyFill="1" applyBorder="1" applyProtection="1">
      <protection locked="0"/>
    </xf>
    <xf numFmtId="197" fontId="106" fillId="0" borderId="0" xfId="0" applyNumberFormat="1" applyFont="1" applyAlignment="1"/>
    <xf numFmtId="196" fontId="106" fillId="0" borderId="0" xfId="0" applyNumberFormat="1" applyFont="1" applyFill="1" applyBorder="1"/>
    <xf numFmtId="0" fontId="106" fillId="0" borderId="0" xfId="6112" applyFont="1" applyFill="1" applyBorder="1"/>
    <xf numFmtId="7" fontId="106" fillId="0" borderId="0" xfId="0" applyNumberFormat="1" applyFont="1" applyAlignment="1"/>
    <xf numFmtId="195" fontId="106" fillId="0" borderId="0" xfId="0" applyNumberFormat="1" applyFont="1" applyFill="1" applyBorder="1"/>
    <xf numFmtId="0" fontId="107" fillId="0" borderId="0" xfId="6112" applyFont="1" applyBorder="1" applyProtection="1">
      <protection locked="0"/>
    </xf>
    <xf numFmtId="194" fontId="106" fillId="0" borderId="34" xfId="6112" applyNumberFormat="1" applyFont="1" applyBorder="1" applyAlignment="1">
      <alignment horizontal="right"/>
    </xf>
    <xf numFmtId="194" fontId="106" fillId="0" borderId="0" xfId="6112" applyNumberFormat="1" applyFont="1" applyBorder="1"/>
    <xf numFmtId="195" fontId="106" fillId="0" borderId="0" xfId="6112" applyNumberFormat="1" applyFont="1" applyBorder="1" applyAlignment="1">
      <alignment horizontal="right"/>
    </xf>
    <xf numFmtId="191" fontId="106" fillId="0" borderId="0" xfId="6112" applyNumberFormat="1" applyFont="1" applyFill="1"/>
    <xf numFmtId="187" fontId="106" fillId="0" borderId="0" xfId="6112" applyNumberFormat="1" applyFont="1" applyFill="1" applyBorder="1" applyAlignment="1">
      <alignment horizontal="left"/>
    </xf>
    <xf numFmtId="165" fontId="106" fillId="0" borderId="0" xfId="4517" applyNumberFormat="1" applyFont="1" applyFill="1" applyBorder="1"/>
    <xf numFmtId="0" fontId="107" fillId="0" borderId="0" xfId="6112" applyFont="1" applyFill="1" applyBorder="1" applyProtection="1">
      <protection locked="0"/>
    </xf>
    <xf numFmtId="187" fontId="106" fillId="0" borderId="0" xfId="6112" applyNumberFormat="1" applyFont="1" applyBorder="1" applyAlignment="1">
      <alignment horizontal="left"/>
    </xf>
    <xf numFmtId="9" fontId="106" fillId="0" borderId="0" xfId="6112" applyNumberFormat="1" applyFont="1" applyFill="1" applyBorder="1"/>
    <xf numFmtId="194" fontId="106" fillId="0" borderId="34" xfId="6112" applyNumberFormat="1" applyFont="1" applyFill="1" applyBorder="1"/>
    <xf numFmtId="194" fontId="106" fillId="0" borderId="0" xfId="6112" applyNumberFormat="1" applyFont="1" applyFill="1" applyBorder="1"/>
    <xf numFmtId="0" fontId="106" fillId="0" borderId="0" xfId="0" applyFont="1" applyBorder="1" applyAlignment="1">
      <alignment horizontal="center"/>
    </xf>
    <xf numFmtId="0" fontId="106" fillId="0" borderId="0" xfId="0" applyFont="1" applyAlignment="1">
      <alignment horizontal="center"/>
    </xf>
    <xf numFmtId="195" fontId="106" fillId="0" borderId="0" xfId="0" applyNumberFormat="1" applyFont="1" applyBorder="1" applyAlignment="1">
      <alignment horizontal="center"/>
    </xf>
    <xf numFmtId="0" fontId="106" fillId="0" borderId="0" xfId="0" applyFont="1" applyFill="1" applyBorder="1" applyAlignment="1">
      <alignment horizontal="center"/>
    </xf>
    <xf numFmtId="9" fontId="106" fillId="0" borderId="0" xfId="3" applyFont="1" applyBorder="1" applyAlignment="1">
      <alignment horizontal="center"/>
    </xf>
    <xf numFmtId="191" fontId="106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56" fillId="33" borderId="0" xfId="5957" applyNumberFormat="1" applyFont="1" applyFill="1" applyBorder="1">
      <alignment horizontal="center" vertical="center" wrapText="1"/>
    </xf>
    <xf numFmtId="0" fontId="106" fillId="0" borderId="10" xfId="0" applyFont="1" applyBorder="1" applyAlignment="1">
      <alignment horizontal="center"/>
    </xf>
    <xf numFmtId="0" fontId="106" fillId="0" borderId="0" xfId="0" applyFont="1" applyBorder="1" applyAlignment="1"/>
    <xf numFmtId="0" fontId="106" fillId="0" borderId="14" xfId="0" applyFont="1" applyBorder="1" applyAlignment="1"/>
    <xf numFmtId="0" fontId="106" fillId="0" borderId="14" xfId="0" applyFont="1" applyBorder="1" applyAlignment="1">
      <alignment horizontal="center"/>
    </xf>
    <xf numFmtId="0" fontId="106" fillId="0" borderId="0" xfId="0" applyFont="1" applyAlignment="1"/>
    <xf numFmtId="195" fontId="106" fillId="0" borderId="10" xfId="0" applyNumberFormat="1" applyFont="1" applyBorder="1" applyAlignment="1">
      <alignment horizontal="center"/>
    </xf>
    <xf numFmtId="0" fontId="106" fillId="0" borderId="10" xfId="0" applyFont="1" applyFill="1" applyBorder="1" applyAlignment="1">
      <alignment horizontal="center"/>
    </xf>
    <xf numFmtId="9" fontId="106" fillId="0" borderId="10" xfId="3" applyFont="1" applyBorder="1" applyAlignment="1">
      <alignment horizontal="center"/>
    </xf>
    <xf numFmtId="191" fontId="106" fillId="0" borderId="0" xfId="0" applyNumberFormat="1" applyFont="1" applyBorder="1" applyAlignment="1"/>
    <xf numFmtId="0" fontId="106" fillId="0" borderId="10" xfId="0" applyFont="1" applyBorder="1"/>
    <xf numFmtId="0" fontId="106" fillId="0" borderId="0" xfId="0" applyFont="1" applyBorder="1" applyAlignment="1">
      <alignment horizontal="left"/>
    </xf>
    <xf numFmtId="0" fontId="106" fillId="0" borderId="10" xfId="0" applyFont="1" applyBorder="1" applyAlignment="1">
      <alignment horizontal="centerContinuous"/>
    </xf>
    <xf numFmtId="195" fontId="106" fillId="0" borderId="10" xfId="0" applyNumberFormat="1" applyFont="1" applyBorder="1" applyAlignment="1">
      <alignment horizontal="centerContinuous"/>
    </xf>
    <xf numFmtId="195" fontId="106" fillId="0" borderId="0" xfId="0" applyNumberFormat="1" applyFont="1" applyBorder="1" applyAlignment="1"/>
    <xf numFmtId="0" fontId="107" fillId="0" borderId="0" xfId="0" applyFont="1" applyAlignment="1">
      <alignment horizontal="center"/>
    </xf>
    <xf numFmtId="194" fontId="107" fillId="0" borderId="0" xfId="5314" applyNumberFormat="1" applyFont="1" applyAlignment="1">
      <alignment horizontal="centerContinuous"/>
    </xf>
    <xf numFmtId="0" fontId="107" fillId="0" borderId="0" xfId="5314" applyFont="1" applyAlignment="1">
      <alignment horizontal="centerContinuous"/>
    </xf>
    <xf numFmtId="0" fontId="107" fillId="0" borderId="0" xfId="5314" applyFont="1" applyBorder="1" applyAlignment="1">
      <alignment horizontal="centerContinuous"/>
    </xf>
    <xf numFmtId="191" fontId="19" fillId="33" borderId="0" xfId="5834" applyNumberFormat="1" applyFont="1" applyFill="1"/>
    <xf numFmtId="164" fontId="19" fillId="0" borderId="0" xfId="2" applyNumberFormat="1" applyFont="1"/>
    <xf numFmtId="165" fontId="19" fillId="0" borderId="0" xfId="4" applyNumberFormat="1" applyFont="1"/>
    <xf numFmtId="191" fontId="19" fillId="0" borderId="0" xfId="3" applyNumberFormat="1" applyFont="1"/>
    <xf numFmtId="0" fontId="19" fillId="0" borderId="0" xfId="4" applyFont="1" applyFill="1" applyAlignment="1">
      <alignment horizontal="center"/>
    </xf>
    <xf numFmtId="0" fontId="19" fillId="0" borderId="0" xfId="4" applyFont="1" applyFill="1"/>
    <xf numFmtId="0" fontId="21" fillId="33" borderId="0" xfId="4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04" fillId="33" borderId="0" xfId="0" applyFont="1" applyFill="1" applyAlignment="1">
      <alignment horizontal="center"/>
    </xf>
    <xf numFmtId="0" fontId="56" fillId="33" borderId="0" xfId="4" applyFont="1" applyFill="1" applyAlignment="1">
      <alignment horizontal="center"/>
    </xf>
    <xf numFmtId="0" fontId="10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1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6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2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5"/>
    <cellStyle name="Currency 2 2" xfId="4510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1" xfId="5254"/>
    <cellStyle name="Normal 11 2" xfId="5255"/>
    <cellStyle name="Normal 11 2 2" xfId="5256"/>
    <cellStyle name="Normal 11 3" xfId="5257"/>
    <cellStyle name="Normal 11 3 2" xfId="5258"/>
    <cellStyle name="Normal 11 3 3" xfId="5259"/>
    <cellStyle name="Normal 11 4" xfId="5260"/>
    <cellStyle name="Normal 11 4 2" xfId="5261"/>
    <cellStyle name="Normal 11 5" xfId="5262"/>
    <cellStyle name="Normal 11 6" xfId="5263"/>
    <cellStyle name="Normal 12" xfId="5264"/>
    <cellStyle name="Normal 12 2" xfId="5265"/>
    <cellStyle name="Normal 12 2 2" xfId="5266"/>
    <cellStyle name="Normal 12 3" xfId="5267"/>
    <cellStyle name="Normal 12 3 2" xfId="5268"/>
    <cellStyle name="Normal 12 3 3" xfId="5269"/>
    <cellStyle name="Normal 12 4" xfId="5270"/>
    <cellStyle name="Normal 12 4 2" xfId="5271"/>
    <cellStyle name="Normal 12 5" xfId="5272"/>
    <cellStyle name="Normal 12 6" xfId="5273"/>
    <cellStyle name="Normal 13" xfId="5274"/>
    <cellStyle name="Normal 13 2" xfId="5275"/>
    <cellStyle name="Normal 13 2 2" xfId="5276"/>
    <cellStyle name="Normal 13 3" xfId="5277"/>
    <cellStyle name="Normal 13 3 2" xfId="5278"/>
    <cellStyle name="Normal 13 3 3" xfId="5279"/>
    <cellStyle name="Normal 13 4" xfId="5280"/>
    <cellStyle name="Normal 13 4 2" xfId="5281"/>
    <cellStyle name="Normal 13 5" xfId="5282"/>
    <cellStyle name="Normal 13 6" xfId="5283"/>
    <cellStyle name="Normal 14" xfId="5284"/>
    <cellStyle name="Normal 14 2" xfId="5285"/>
    <cellStyle name="Normal 15" xfId="5286"/>
    <cellStyle name="Normal 15 2" xfId="5287"/>
    <cellStyle name="Normal 15 3" xfId="5288"/>
    <cellStyle name="Normal 15 3 2" xfId="5289"/>
    <cellStyle name="Normal 15 3 3" xfId="5290"/>
    <cellStyle name="Normal 15 4" xfId="5291"/>
    <cellStyle name="Normal 15 4 2" xfId="5292"/>
    <cellStyle name="Normal 15 5" xfId="5293"/>
    <cellStyle name="Normal 15 6" xfId="5294"/>
    <cellStyle name="Normal 16" xfId="5295"/>
    <cellStyle name="Normal 16 2" xfId="5296"/>
    <cellStyle name="Normal 16 3" xfId="5297"/>
    <cellStyle name="Normal 16 3 2" xfId="5298"/>
    <cellStyle name="Normal 16 3 3" xfId="5299"/>
    <cellStyle name="Normal 16 4" xfId="5300"/>
    <cellStyle name="Normal 16 4 2" xfId="5301"/>
    <cellStyle name="Normal 16 5" xfId="5302"/>
    <cellStyle name="Normal 16 6" xfId="5303"/>
    <cellStyle name="Normal 17" xfId="5304"/>
    <cellStyle name="Normal 17 2" xfId="5305"/>
    <cellStyle name="Normal 17 3" xfId="5306"/>
    <cellStyle name="Normal 18" xfId="5307"/>
    <cellStyle name="Normal 18 2" xfId="5308"/>
    <cellStyle name="Normal 18 3" xfId="5309"/>
    <cellStyle name="Normal 19" xfId="5310"/>
    <cellStyle name="Normal 19 2" xfId="5311"/>
    <cellStyle name="Normal 19 3" xfId="5312"/>
    <cellStyle name="Normal 2" xfId="4"/>
    <cellStyle name="Normal 2 10" xfId="5313"/>
    <cellStyle name="Normal 2 2" xfId="5314"/>
    <cellStyle name="Normal 2 2 2" xfId="5315"/>
    <cellStyle name="Normal 2 2 3" xfId="5316"/>
    <cellStyle name="Normal 2 2 4" xfId="5317"/>
    <cellStyle name="Normal 2 2_4.14E Miscellaneous Operating Expense working file" xfId="5318"/>
    <cellStyle name="Normal 2 3" xfId="5319"/>
    <cellStyle name="Normal 2 3 2" xfId="5320"/>
    <cellStyle name="Normal 2 4" xfId="5321"/>
    <cellStyle name="Normal 2 4 2" xfId="5322"/>
    <cellStyle name="Normal 2 5" xfId="5323"/>
    <cellStyle name="Normal 2 5 2" xfId="5324"/>
    <cellStyle name="Normal 2 6" xfId="5325"/>
    <cellStyle name="Normal 2 6 2" xfId="5326"/>
    <cellStyle name="Normal 2 7" xfId="5327"/>
    <cellStyle name="Normal 2 7 2" xfId="5328"/>
    <cellStyle name="Normal 2 8" xfId="5329"/>
    <cellStyle name="Normal 2 8 2" xfId="5330"/>
    <cellStyle name="Normal 2 8 2 2" xfId="5331"/>
    <cellStyle name="Normal 2 8 3" xfId="5332"/>
    <cellStyle name="Normal 2 9" xfId="5333"/>
    <cellStyle name="Normal 2 9 2" xfId="5334"/>
    <cellStyle name="Normal 2_16.37E Wild Horse Expansion DeferralRevwrkingfile SF" xfId="5335"/>
    <cellStyle name="Normal 20" xfId="5336"/>
    <cellStyle name="Normal 20 2" xfId="5337"/>
    <cellStyle name="Normal 20 3" xfId="5338"/>
    <cellStyle name="Normal 20 4" xfId="5339"/>
    <cellStyle name="Normal 21" xfId="5340"/>
    <cellStyle name="Normal 21 2" xfId="5341"/>
    <cellStyle name="Normal 21 2 2" xfId="5342"/>
    <cellStyle name="Normal 21 2 3" xfId="5343"/>
    <cellStyle name="Normal 21 3" xfId="5344"/>
    <cellStyle name="Normal 21 3 2" xfId="5345"/>
    <cellStyle name="Normal 21 4" xfId="5346"/>
    <cellStyle name="Normal 21 5" xfId="5347"/>
    <cellStyle name="Normal 22" xfId="5348"/>
    <cellStyle name="Normal 22 2" xfId="5349"/>
    <cellStyle name="Normal 22 2 2" xfId="5350"/>
    <cellStyle name="Normal 22 2 3" xfId="5351"/>
    <cellStyle name="Normal 22 3" xfId="5352"/>
    <cellStyle name="Normal 22 3 2" xfId="5353"/>
    <cellStyle name="Normal 22 4" xfId="5354"/>
    <cellStyle name="Normal 22 5" xfId="5355"/>
    <cellStyle name="Normal 23" xfId="5356"/>
    <cellStyle name="Normal 23 2" xfId="5357"/>
    <cellStyle name="Normal 23 2 2" xfId="5358"/>
    <cellStyle name="Normal 23 2 3" xfId="5359"/>
    <cellStyle name="Normal 23 3" xfId="5360"/>
    <cellStyle name="Normal 23 3 2" xfId="5361"/>
    <cellStyle name="Normal 23 4" xfId="5362"/>
    <cellStyle name="Normal 23 5" xfId="5363"/>
    <cellStyle name="Normal 24" xfId="5364"/>
    <cellStyle name="Normal 24 2" xfId="5365"/>
    <cellStyle name="Normal 24 2 2" xfId="5366"/>
    <cellStyle name="Normal 24 2 3" xfId="5367"/>
    <cellStyle name="Normal 24 3" xfId="5368"/>
    <cellStyle name="Normal 24 3 2" xfId="5369"/>
    <cellStyle name="Normal 24 4" xfId="5370"/>
    <cellStyle name="Normal 24 5" xfId="5371"/>
    <cellStyle name="Normal 25" xfId="5372"/>
    <cellStyle name="Normal 25 2" xfId="5373"/>
    <cellStyle name="Normal 25 2 2" xfId="5374"/>
    <cellStyle name="Normal 25 2 3" xfId="5375"/>
    <cellStyle name="Normal 25 3" xfId="5376"/>
    <cellStyle name="Normal 25 3 2" xfId="5377"/>
    <cellStyle name="Normal 25 4" xfId="5378"/>
    <cellStyle name="Normal 25 5" xfId="5379"/>
    <cellStyle name="Normal 26" xfId="5380"/>
    <cellStyle name="Normal 26 2" xfId="5381"/>
    <cellStyle name="Normal 26 2 2" xfId="5382"/>
    <cellStyle name="Normal 26 2 3" xfId="5383"/>
    <cellStyle name="Normal 26 3" xfId="5384"/>
    <cellStyle name="Normal 26 3 2" xfId="5385"/>
    <cellStyle name="Normal 26 4" xfId="5386"/>
    <cellStyle name="Normal 26 5" xfId="5387"/>
    <cellStyle name="Normal 27" xfId="5388"/>
    <cellStyle name="Normal 27 2" xfId="5389"/>
    <cellStyle name="Normal 27 2 2" xfId="5390"/>
    <cellStyle name="Normal 27 2 3" xfId="5391"/>
    <cellStyle name="Normal 27 3" xfId="5392"/>
    <cellStyle name="Normal 27 3 2" xfId="5393"/>
    <cellStyle name="Normal 27 4" xfId="5394"/>
    <cellStyle name="Normal 27 5" xfId="5395"/>
    <cellStyle name="Normal 28" xfId="5396"/>
    <cellStyle name="Normal 28 2" xfId="5397"/>
    <cellStyle name="Normal 28 2 2" xfId="5398"/>
    <cellStyle name="Normal 28 2 3" xfId="5399"/>
    <cellStyle name="Normal 28 3" xfId="5400"/>
    <cellStyle name="Normal 28 3 2" xfId="5401"/>
    <cellStyle name="Normal 28 4" xfId="5402"/>
    <cellStyle name="Normal 28 5" xfId="5403"/>
    <cellStyle name="Normal 29" xfId="5404"/>
    <cellStyle name="Normal 29 2" xfId="5405"/>
    <cellStyle name="Normal 29 2 2" xfId="5406"/>
    <cellStyle name="Normal 29 2 3" xfId="5407"/>
    <cellStyle name="Normal 29 3" xfId="5408"/>
    <cellStyle name="Normal 29 3 2" xfId="5409"/>
    <cellStyle name="Normal 29 4" xfId="5410"/>
    <cellStyle name="Normal 29 5" xfId="5411"/>
    <cellStyle name="Normal 3" xfId="5412"/>
    <cellStyle name="Normal 3 2" xfId="5413"/>
    <cellStyle name="Normal 3 2 2" xfId="5414"/>
    <cellStyle name="Normal 3 3" xfId="5415"/>
    <cellStyle name="Normal 3 3 2" xfId="5416"/>
    <cellStyle name="Normal 3 4" xfId="5417"/>
    <cellStyle name="Normal 3 4 2" xfId="5418"/>
    <cellStyle name="Normal 3 4 3" xfId="5419"/>
    <cellStyle name="Normal 3 4 4" xfId="5420"/>
    <cellStyle name="Normal 3 5" xfId="5421"/>
    <cellStyle name="Normal 3 5 2" xfId="5422"/>
    <cellStyle name="Normal 3 6" xfId="5423"/>
    <cellStyle name="Normal 3_4.14E Miscellaneous Operating Expense working file" xfId="5424"/>
    <cellStyle name="Normal 30" xfId="5425"/>
    <cellStyle name="Normal 30 2" xfId="5426"/>
    <cellStyle name="Normal 30 2 2" xfId="5427"/>
    <cellStyle name="Normal 30 2 3" xfId="5428"/>
    <cellStyle name="Normal 30 3" xfId="5429"/>
    <cellStyle name="Normal 30 3 2" xfId="5430"/>
    <cellStyle name="Normal 30 4" xfId="5431"/>
    <cellStyle name="Normal 30 5" xfId="5432"/>
    <cellStyle name="Normal 31" xfId="5433"/>
    <cellStyle name="Normal 31 2" xfId="5434"/>
    <cellStyle name="Normal 31 2 2" xfId="5435"/>
    <cellStyle name="Normal 31 2 3" xfId="5436"/>
    <cellStyle name="Normal 31 3" xfId="5437"/>
    <cellStyle name="Normal 31 3 2" xfId="5438"/>
    <cellStyle name="Normal 31 4" xfId="5439"/>
    <cellStyle name="Normal 31 5" xfId="5440"/>
    <cellStyle name="Normal 32" xfId="5441"/>
    <cellStyle name="Normal 32 2" xfId="5442"/>
    <cellStyle name="Normal 32 2 2" xfId="5443"/>
    <cellStyle name="Normal 32 2 3" xfId="5444"/>
    <cellStyle name="Normal 32 3" xfId="5445"/>
    <cellStyle name="Normal 32 3 2" xfId="5446"/>
    <cellStyle name="Normal 32 4" xfId="5447"/>
    <cellStyle name="Normal 32 5" xfId="5448"/>
    <cellStyle name="Normal 33" xfId="5449"/>
    <cellStyle name="Normal 33 2" xfId="5450"/>
    <cellStyle name="Normal 33 2 2" xfId="5451"/>
    <cellStyle name="Normal 33 2 3" xfId="5452"/>
    <cellStyle name="Normal 33 3" xfId="5453"/>
    <cellStyle name="Normal 33 3 2" xfId="5454"/>
    <cellStyle name="Normal 33 4" xfId="5455"/>
    <cellStyle name="Normal 33 5" xfId="5456"/>
    <cellStyle name="Normal 34" xfId="5457"/>
    <cellStyle name="Normal 34 2" xfId="5458"/>
    <cellStyle name="Normal 34 2 2" xfId="5459"/>
    <cellStyle name="Normal 34 2 3" xfId="5460"/>
    <cellStyle name="Normal 34 3" xfId="5461"/>
    <cellStyle name="Normal 34 3 2" xfId="5462"/>
    <cellStyle name="Normal 34 4" xfId="5463"/>
    <cellStyle name="Normal 34 5" xfId="5464"/>
    <cellStyle name="Normal 35" xfId="5465"/>
    <cellStyle name="Normal 35 2" xfId="5466"/>
    <cellStyle name="Normal 35 2 2" xfId="5467"/>
    <cellStyle name="Normal 35 2 3" xfId="5468"/>
    <cellStyle name="Normal 35 3" xfId="5469"/>
    <cellStyle name="Normal 35 3 2" xfId="5470"/>
    <cellStyle name="Normal 35 4" xfId="5471"/>
    <cellStyle name="Normal 35 5" xfId="5472"/>
    <cellStyle name="Normal 36" xfId="5473"/>
    <cellStyle name="Normal 36 2" xfId="5474"/>
    <cellStyle name="Normal 36 2 2" xfId="5475"/>
    <cellStyle name="Normal 36 2 3" xfId="5476"/>
    <cellStyle name="Normal 36 3" xfId="5477"/>
    <cellStyle name="Normal 36 3 2" xfId="5478"/>
    <cellStyle name="Normal 36 4" xfId="5479"/>
    <cellStyle name="Normal 36 5" xfId="5480"/>
    <cellStyle name="Normal 37" xfId="5481"/>
    <cellStyle name="Normal 37 2" xfId="5482"/>
    <cellStyle name="Normal 37 2 2" xfId="5483"/>
    <cellStyle name="Normal 37 2 3" xfId="5484"/>
    <cellStyle name="Normal 37 3" xfId="5485"/>
    <cellStyle name="Normal 37 3 2" xfId="5486"/>
    <cellStyle name="Normal 37 4" xfId="5487"/>
    <cellStyle name="Normal 37 5" xfId="5488"/>
    <cellStyle name="Normal 38" xfId="5489"/>
    <cellStyle name="Normal 38 2" xfId="5490"/>
    <cellStyle name="Normal 38 2 2" xfId="5491"/>
    <cellStyle name="Normal 38 2 3" xfId="5492"/>
    <cellStyle name="Normal 38 3" xfId="5493"/>
    <cellStyle name="Normal 38 3 2" xfId="5494"/>
    <cellStyle name="Normal 38 4" xfId="5495"/>
    <cellStyle name="Normal 38 5" xfId="5496"/>
    <cellStyle name="Normal 39" xfId="5497"/>
    <cellStyle name="Normal 39 2" xfId="5498"/>
    <cellStyle name="Normal 39 2 2" xfId="5499"/>
    <cellStyle name="Normal 39 2 3" xfId="5500"/>
    <cellStyle name="Normal 39 3" xfId="5501"/>
    <cellStyle name="Normal 39 3 2" xfId="5502"/>
    <cellStyle name="Normal 39 4" xfId="5503"/>
    <cellStyle name="Normal 39 5" xfId="5504"/>
    <cellStyle name="Normal 4" xfId="5505"/>
    <cellStyle name="Normal 4 2" xfId="5506"/>
    <cellStyle name="Normal 4 2 2" xfId="5507"/>
    <cellStyle name="Normal 4 2 2 2" xfId="5508"/>
    <cellStyle name="Normal 4 2 2 3" xfId="5509"/>
    <cellStyle name="Normal 4 2 3" xfId="5510"/>
    <cellStyle name="Normal 4 2 3 2" xfId="5511"/>
    <cellStyle name="Normal 4 2 4" xfId="5512"/>
    <cellStyle name="Normal 4 2 5" xfId="5513"/>
    <cellStyle name="Normal 4 3" xfId="5514"/>
    <cellStyle name="Normal 4_Net Classified Plant" xfId="5515"/>
    <cellStyle name="Normal 40" xfId="5516"/>
    <cellStyle name="Normal 41" xfId="5517"/>
    <cellStyle name="Normal 41 2" xfId="5518"/>
    <cellStyle name="Normal 41 3" xfId="5519"/>
    <cellStyle name="Normal 41 4" xfId="5520"/>
    <cellStyle name="Normal 42" xfId="5521"/>
    <cellStyle name="Normal 42 2" xfId="5522"/>
    <cellStyle name="Normal 42 2 2" xfId="5523"/>
    <cellStyle name="Normal 42 3" xfId="5524"/>
    <cellStyle name="Normal 42 4" xfId="5525"/>
    <cellStyle name="Normal 42 5" xfId="5526"/>
    <cellStyle name="Normal 43" xfId="5527"/>
    <cellStyle name="Normal 43 2" xfId="5528"/>
    <cellStyle name="Normal 43 3" xfId="5529"/>
    <cellStyle name="Normal 44" xfId="5530"/>
    <cellStyle name="Normal 44 2" xfId="5531"/>
    <cellStyle name="Normal 44 2 2" xfId="5532"/>
    <cellStyle name="Normal 44 3" xfId="5533"/>
    <cellStyle name="Normal 44 4" xfId="5534"/>
    <cellStyle name="Normal 44 5" xfId="5535"/>
    <cellStyle name="Normal 45" xfId="5536"/>
    <cellStyle name="Normal 45 2" xfId="5537"/>
    <cellStyle name="Normal 45 2 2" xfId="5538"/>
    <cellStyle name="Normal 45 3" xfId="5539"/>
    <cellStyle name="Normal 45 4" xfId="5540"/>
    <cellStyle name="Normal 46" xfId="5541"/>
    <cellStyle name="Normal 46 2" xfId="5542"/>
    <cellStyle name="Normal 46 2 2" xfId="5543"/>
    <cellStyle name="Normal 46 2 3" xfId="5544"/>
    <cellStyle name="Normal 46 3" xfId="5545"/>
    <cellStyle name="Normal 46 4" xfId="5546"/>
    <cellStyle name="Normal 47" xfId="5547"/>
    <cellStyle name="Normal 47 2" xfId="5548"/>
    <cellStyle name="Normal 47 3" xfId="5549"/>
    <cellStyle name="Normal 47 4" xfId="5550"/>
    <cellStyle name="Normal 48" xfId="5551"/>
    <cellStyle name="Normal 48 2" xfId="5552"/>
    <cellStyle name="Normal 48 3" xfId="5553"/>
    <cellStyle name="Normal 48 4" xfId="5554"/>
    <cellStyle name="Normal 49" xfId="5555"/>
    <cellStyle name="Normal 49 2" xfId="5556"/>
    <cellStyle name="Normal 49 3" xfId="5557"/>
    <cellStyle name="Normal 49 4" xfId="5558"/>
    <cellStyle name="Normal 5" xfId="5559"/>
    <cellStyle name="Normal 5 2" xfId="5560"/>
    <cellStyle name="Normal 50" xfId="5561"/>
    <cellStyle name="Normal 50 2" xfId="5562"/>
    <cellStyle name="Normal 50 3" xfId="5563"/>
    <cellStyle name="Normal 50 4" xfId="5564"/>
    <cellStyle name="Normal 51" xfId="5565"/>
    <cellStyle name="Normal 51 2" xfId="5566"/>
    <cellStyle name="Normal 51 2 2" xfId="5567"/>
    <cellStyle name="Normal 51 2 3" xfId="5568"/>
    <cellStyle name="Normal 51 3" xfId="5569"/>
    <cellStyle name="Normal 51 4" xfId="5570"/>
    <cellStyle name="Normal 52" xfId="5571"/>
    <cellStyle name="Normal 53" xfId="5572"/>
    <cellStyle name="Normal 53 2" xfId="5573"/>
    <cellStyle name="Normal 53 3" xfId="5574"/>
    <cellStyle name="Normal 53 4" xfId="5575"/>
    <cellStyle name="Normal 54" xfId="5576"/>
    <cellStyle name="Normal 54 2" xfId="5577"/>
    <cellStyle name="Normal 54 3" xfId="5578"/>
    <cellStyle name="Normal 54 4" xfId="5579"/>
    <cellStyle name="Normal 55" xfId="5580"/>
    <cellStyle name="Normal 55 2" xfId="5581"/>
    <cellStyle name="Normal 56" xfId="5582"/>
    <cellStyle name="Normal 56 2" xfId="5583"/>
    <cellStyle name="Normal 57" xfId="5584"/>
    <cellStyle name="Normal 58" xfId="5585"/>
    <cellStyle name="Normal 59" xfId="5586"/>
    <cellStyle name="Normal 6" xfId="5587"/>
    <cellStyle name="Normal 6 2" xfId="5588"/>
    <cellStyle name="Normal 6 2 2" xfId="5589"/>
    <cellStyle name="Normal 60" xfId="5590"/>
    <cellStyle name="Normal 61" xfId="5591"/>
    <cellStyle name="Normal 62" xfId="5592"/>
    <cellStyle name="Normal 63" xfId="5593"/>
    <cellStyle name="Normal 64" xfId="5594"/>
    <cellStyle name="Normal 65" xfId="5595"/>
    <cellStyle name="Normal 65 2" xfId="5596"/>
    <cellStyle name="Normal 66" xfId="5597"/>
    <cellStyle name="Normal 67" xfId="5598"/>
    <cellStyle name="Normal 68" xfId="5599"/>
    <cellStyle name="Normal 69" xfId="5600"/>
    <cellStyle name="Normal 7" xfId="5601"/>
    <cellStyle name="Normal 7 2" xfId="5602"/>
    <cellStyle name="Normal 7 2 2" xfId="5603"/>
    <cellStyle name="Normal 70" xfId="5604"/>
    <cellStyle name="Normal 71" xfId="5605"/>
    <cellStyle name="Normal 72" xfId="5606"/>
    <cellStyle name="Normal 73" xfId="5607"/>
    <cellStyle name="Normal 74" xfId="5608"/>
    <cellStyle name="Normal 75" xfId="5609"/>
    <cellStyle name="Normal 76" xfId="5610"/>
    <cellStyle name="Normal 77" xfId="5611"/>
    <cellStyle name="Normal 78" xfId="5612"/>
    <cellStyle name="Normal 79" xfId="5613"/>
    <cellStyle name="Normal 8" xfId="5614"/>
    <cellStyle name="Normal 8 2" xfId="5615"/>
    <cellStyle name="Normal 8 2 2" xfId="5616"/>
    <cellStyle name="Normal 80" xfId="5617"/>
    <cellStyle name="Normal 81" xfId="5618"/>
    <cellStyle name="Normal 82" xfId="5619"/>
    <cellStyle name="Normal 83" xfId="5620"/>
    <cellStyle name="Normal 84" xfId="5621"/>
    <cellStyle name="Normal 85" xfId="5622"/>
    <cellStyle name="Normal 86" xfId="5623"/>
    <cellStyle name="Normal 87" xfId="5624"/>
    <cellStyle name="Normal 88" xfId="5625"/>
    <cellStyle name="Normal 89" xfId="5626"/>
    <cellStyle name="Normal 9" xfId="5627"/>
    <cellStyle name="Normal 9 2" xfId="5628"/>
    <cellStyle name="Normal 9 2 2" xfId="5629"/>
    <cellStyle name="Normal 90" xfId="5630"/>
    <cellStyle name="Normal 91" xfId="5631"/>
    <cellStyle name="Normal 92" xfId="5632"/>
    <cellStyle name="Normal 93" xfId="5633"/>
    <cellStyle name="Normal 94" xfId="5634"/>
    <cellStyle name="Normal 95" xfId="5635"/>
    <cellStyle name="Normal 96" xfId="5636"/>
    <cellStyle name="Normal 96 2" xfId="5637"/>
    <cellStyle name="Normal 97" xfId="5638"/>
    <cellStyle name="Normal 98" xfId="5639"/>
    <cellStyle name="Normal 99" xfId="5640"/>
    <cellStyle name="Note 10" xfId="5641"/>
    <cellStyle name="Note 10 2" xfId="5642"/>
    <cellStyle name="Note 11" xfId="5643"/>
    <cellStyle name="Note 11 2" xfId="5644"/>
    <cellStyle name="Note 12" xfId="5645"/>
    <cellStyle name="Note 12 2" xfId="5646"/>
    <cellStyle name="Note 12 3" xfId="5647"/>
    <cellStyle name="Note 13" xfId="5648"/>
    <cellStyle name="Note 14" xfId="5649"/>
    <cellStyle name="Note 15" xfId="5650"/>
    <cellStyle name="Note 16" xfId="5651"/>
    <cellStyle name="Note 17" xfId="5652"/>
    <cellStyle name="Note 18" xfId="5653"/>
    <cellStyle name="Note 19" xfId="5654"/>
    <cellStyle name="Note 2" xfId="5655"/>
    <cellStyle name="Note 2 2" xfId="5656"/>
    <cellStyle name="Note 20" xfId="5657"/>
    <cellStyle name="Note 21" xfId="5658"/>
    <cellStyle name="Note 22" xfId="5659"/>
    <cellStyle name="Note 23" xfId="5660"/>
    <cellStyle name="Note 24" xfId="5661"/>
    <cellStyle name="Note 25" xfId="5662"/>
    <cellStyle name="Note 26" xfId="5663"/>
    <cellStyle name="Note 27" xfId="5664"/>
    <cellStyle name="Note 28" xfId="5665"/>
    <cellStyle name="Note 29" xfId="5666"/>
    <cellStyle name="Note 3" xfId="5667"/>
    <cellStyle name="Note 30" xfId="5668"/>
    <cellStyle name="Note 31" xfId="5669"/>
    <cellStyle name="Note 32" xfId="5670"/>
    <cellStyle name="Note 33" xfId="5671"/>
    <cellStyle name="Note 34" xfId="5672"/>
    <cellStyle name="Note 35" xfId="5673"/>
    <cellStyle name="Note 36" xfId="5674"/>
    <cellStyle name="Note 37" xfId="5675"/>
    <cellStyle name="Note 38" xfId="5676"/>
    <cellStyle name="Note 39" xfId="5677"/>
    <cellStyle name="Note 4" xfId="5678"/>
    <cellStyle name="Note 40" xfId="5679"/>
    <cellStyle name="Note 41" xfId="5680"/>
    <cellStyle name="Note 42" xfId="5681"/>
    <cellStyle name="Note 43" xfId="5682"/>
    <cellStyle name="Note 44" xfId="5683"/>
    <cellStyle name="Note 45" xfId="5684"/>
    <cellStyle name="Note 46" xfId="5685"/>
    <cellStyle name="Note 47" xfId="5686"/>
    <cellStyle name="Note 48" xfId="5687"/>
    <cellStyle name="Note 49" xfId="5688"/>
    <cellStyle name="Note 5" xfId="5689"/>
    <cellStyle name="Note 50" xfId="5690"/>
    <cellStyle name="Note 51" xfId="5691"/>
    <cellStyle name="Note 52" xfId="5692"/>
    <cellStyle name="Note 53" xfId="5693"/>
    <cellStyle name="Note 54" xfId="5694"/>
    <cellStyle name="Note 55" xfId="5695"/>
    <cellStyle name="Note 56" xfId="5696"/>
    <cellStyle name="Note 57" xfId="5697"/>
    <cellStyle name="Note 58" xfId="5698"/>
    <cellStyle name="Note 59" xfId="5699"/>
    <cellStyle name="Note 6" xfId="5700"/>
    <cellStyle name="Note 60" xfId="5701"/>
    <cellStyle name="Note 61" xfId="5702"/>
    <cellStyle name="Note 62" xfId="5703"/>
    <cellStyle name="Note 63" xfId="5704"/>
    <cellStyle name="Note 64" xfId="5705"/>
    <cellStyle name="Note 7" xfId="5706"/>
    <cellStyle name="Note 8" xfId="5707"/>
    <cellStyle name="Note 9" xfId="5708"/>
    <cellStyle name="Output 10" xfId="5709"/>
    <cellStyle name="Output 11" xfId="5710"/>
    <cellStyle name="Output 12" xfId="5711"/>
    <cellStyle name="Output 13" xfId="5712"/>
    <cellStyle name="Output 14" xfId="5713"/>
    <cellStyle name="Output 15" xfId="5714"/>
    <cellStyle name="Output 16" xfId="5715"/>
    <cellStyle name="Output 17" xfId="5716"/>
    <cellStyle name="Output 18" xfId="5717"/>
    <cellStyle name="Output 19" xfId="5718"/>
    <cellStyle name="Output 2" xfId="5719"/>
    <cellStyle name="Output 2 2" xfId="5720"/>
    <cellStyle name="Output 20" xfId="5721"/>
    <cellStyle name="Output 21" xfId="5722"/>
    <cellStyle name="Output 22" xfId="5723"/>
    <cellStyle name="Output 23" xfId="5724"/>
    <cellStyle name="Output 24" xfId="5725"/>
    <cellStyle name="Output 25" xfId="5726"/>
    <cellStyle name="Output 26" xfId="5727"/>
    <cellStyle name="Output 27" xfId="5728"/>
    <cellStyle name="Output 28" xfId="5729"/>
    <cellStyle name="Output 29" xfId="5730"/>
    <cellStyle name="Output 3" xfId="5731"/>
    <cellStyle name="Output 3 2" xfId="5732"/>
    <cellStyle name="Output 30" xfId="5733"/>
    <cellStyle name="Output 31" xfId="5734"/>
    <cellStyle name="Output 32" xfId="5735"/>
    <cellStyle name="Output 33" xfId="5736"/>
    <cellStyle name="Output 34" xfId="5737"/>
    <cellStyle name="Output 35" xfId="5738"/>
    <cellStyle name="Output 36" xfId="5739"/>
    <cellStyle name="Output 37" xfId="5740"/>
    <cellStyle name="Output 38" xfId="5741"/>
    <cellStyle name="Output 39" xfId="5742"/>
    <cellStyle name="Output 4" xfId="5743"/>
    <cellStyle name="Output 40" xfId="5744"/>
    <cellStyle name="Output 41" xfId="5745"/>
    <cellStyle name="Output 42" xfId="5746"/>
    <cellStyle name="Output 43" xfId="5747"/>
    <cellStyle name="Output 44" xfId="5748"/>
    <cellStyle name="Output 45" xfId="5749"/>
    <cellStyle name="Output 46" xfId="5750"/>
    <cellStyle name="Output 47" xfId="5751"/>
    <cellStyle name="Output 48" xfId="5752"/>
    <cellStyle name="Output 49" xfId="5753"/>
    <cellStyle name="Output 5" xfId="5754"/>
    <cellStyle name="Output 50" xfId="5755"/>
    <cellStyle name="Output 51" xfId="5756"/>
    <cellStyle name="Output 52" xfId="5757"/>
    <cellStyle name="Output 53" xfId="5758"/>
    <cellStyle name="Output 54" xfId="5759"/>
    <cellStyle name="Output 55" xfId="5760"/>
    <cellStyle name="Output 56" xfId="5761"/>
    <cellStyle name="Output 57" xfId="5762"/>
    <cellStyle name="Output 58" xfId="5763"/>
    <cellStyle name="Output 59" xfId="5764"/>
    <cellStyle name="Output 6" xfId="5765"/>
    <cellStyle name="Output 60" xfId="5766"/>
    <cellStyle name="Output 61" xfId="5767"/>
    <cellStyle name="Output 62" xfId="5768"/>
    <cellStyle name="Output 63" xfId="5769"/>
    <cellStyle name="Output 64" xfId="5770"/>
    <cellStyle name="Output 7" xfId="5771"/>
    <cellStyle name="Output 8" xfId="5772"/>
    <cellStyle name="Output 9" xfId="5773"/>
    <cellStyle name="Percen - Style1" xfId="5774"/>
    <cellStyle name="Percen - Style2" xfId="5775"/>
    <cellStyle name="Percen - Style2 2" xfId="5776"/>
    <cellStyle name="Percen - Style3" xfId="5777"/>
    <cellStyle name="Percen - Style3 2" xfId="5778"/>
    <cellStyle name="Percent" xfId="3" builtinId="5"/>
    <cellStyle name="Percent (0)" xfId="5779"/>
    <cellStyle name="Percent [2]" xfId="5780"/>
    <cellStyle name="Percent [2] 2" xfId="5781"/>
    <cellStyle name="Percent [2] 2 2" xfId="5782"/>
    <cellStyle name="Percent [2] 3" xfId="5783"/>
    <cellStyle name="Percent [2] 3 2" xfId="5784"/>
    <cellStyle name="Percent [2] 3 3" xfId="5785"/>
    <cellStyle name="Percent [2] 3 4" xfId="5786"/>
    <cellStyle name="Percent [2] 4" xfId="5787"/>
    <cellStyle name="Percent 10" xfId="5788"/>
    <cellStyle name="Percent 10 2" xfId="5789"/>
    <cellStyle name="Percent 10 3" xfId="5790"/>
    <cellStyle name="Percent 11" xfId="5791"/>
    <cellStyle name="Percent 11 2" xfId="5792"/>
    <cellStyle name="Percent 11 3" xfId="5793"/>
    <cellStyle name="Percent 11 4" xfId="5794"/>
    <cellStyle name="Percent 12" xfId="5795"/>
    <cellStyle name="Percent 12 2" xfId="5796"/>
    <cellStyle name="Percent 12 2 2" xfId="5797"/>
    <cellStyle name="Percent 12 3" xfId="5798"/>
    <cellStyle name="Percent 12 4" xfId="5799"/>
    <cellStyle name="Percent 12 5" xfId="5800"/>
    <cellStyle name="Percent 13" xfId="5801"/>
    <cellStyle name="Percent 13 2" xfId="5802"/>
    <cellStyle name="Percent 13 2 2" xfId="5803"/>
    <cellStyle name="Percent 13 3" xfId="5804"/>
    <cellStyle name="Percent 13 4" xfId="5805"/>
    <cellStyle name="Percent 14" xfId="5806"/>
    <cellStyle name="Percent 14 2" xfId="5807"/>
    <cellStyle name="Percent 14 2 2" xfId="5808"/>
    <cellStyle name="Percent 14 3" xfId="5809"/>
    <cellStyle name="Percent 14 4" xfId="5810"/>
    <cellStyle name="Percent 14 5" xfId="5811"/>
    <cellStyle name="Percent 15" xfId="5812"/>
    <cellStyle name="Percent 15 2" xfId="5813"/>
    <cellStyle name="Percent 15 2 2" xfId="5814"/>
    <cellStyle name="Percent 15 3" xfId="5815"/>
    <cellStyle name="Percent 15 4" xfId="5816"/>
    <cellStyle name="Percent 15 5" xfId="5817"/>
    <cellStyle name="Percent 16" xfId="5818"/>
    <cellStyle name="Percent 16 2" xfId="5819"/>
    <cellStyle name="Percent 16 3" xfId="5820"/>
    <cellStyle name="Percent 16 4" xfId="5821"/>
    <cellStyle name="Percent 17" xfId="5822"/>
    <cellStyle name="Percent 17 2" xfId="5823"/>
    <cellStyle name="Percent 17 3" xfId="5824"/>
    <cellStyle name="Percent 17 4" xfId="5825"/>
    <cellStyle name="Percent 18" xfId="5826"/>
    <cellStyle name="Percent 18 2" xfId="5827"/>
    <cellStyle name="Percent 18 3" xfId="5828"/>
    <cellStyle name="Percent 18 4" xfId="5829"/>
    <cellStyle name="Percent 19" xfId="5830"/>
    <cellStyle name="Percent 19 2" xfId="5831"/>
    <cellStyle name="Percent 19 3" xfId="5832"/>
    <cellStyle name="Percent 19 4" xfId="5833"/>
    <cellStyle name="Percent 2" xfId="583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5957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8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tabSelected="1"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>
      <c r="A4" s="131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7"/>
    </row>
    <row r="5" spans="1:21">
      <c r="A5" s="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41275</v>
      </c>
      <c r="E7" s="26">
        <f t="shared" ref="E7:O7" si="0">EDATE(D7,1)</f>
        <v>41306</v>
      </c>
      <c r="F7" s="26">
        <f t="shared" si="0"/>
        <v>41334</v>
      </c>
      <c r="G7" s="26">
        <f t="shared" si="0"/>
        <v>41365</v>
      </c>
      <c r="H7" s="26">
        <f t="shared" si="0"/>
        <v>41395</v>
      </c>
      <c r="I7" s="26">
        <f t="shared" si="0"/>
        <v>41426</v>
      </c>
      <c r="J7" s="26">
        <f t="shared" si="0"/>
        <v>41456</v>
      </c>
      <c r="K7" s="26">
        <f t="shared" si="0"/>
        <v>41487</v>
      </c>
      <c r="L7" s="26">
        <f t="shared" si="0"/>
        <v>41518</v>
      </c>
      <c r="M7" s="26">
        <f t="shared" si="0"/>
        <v>41548</v>
      </c>
      <c r="N7" s="26">
        <f t="shared" si="0"/>
        <v>41579</v>
      </c>
      <c r="O7" s="26">
        <f t="shared" si="0"/>
        <v>41609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8">
        <v>1</v>
      </c>
      <c r="B10" s="7" t="s">
        <v>22</v>
      </c>
      <c r="C10" s="3" t="s">
        <v>17</v>
      </c>
      <c r="D10" s="21">
        <v>0</v>
      </c>
      <c r="E10" s="21">
        <v>0</v>
      </c>
      <c r="F10" s="21">
        <v>0</v>
      </c>
      <c r="G10" s="21">
        <v>0</v>
      </c>
      <c r="H10" s="21">
        <v>715429.80545040476</v>
      </c>
      <c r="I10" s="21">
        <v>715675.68763700826</v>
      </c>
      <c r="J10" s="21">
        <v>715521.65780624852</v>
      </c>
      <c r="K10" s="21">
        <v>715687.01671366638</v>
      </c>
      <c r="L10" s="21">
        <v>716468.91402946878</v>
      </c>
      <c r="M10" s="21">
        <v>718285.8520654497</v>
      </c>
      <c r="N10" s="21">
        <v>720126.50926780992</v>
      </c>
      <c r="O10" s="21">
        <v>721673.10768737784</v>
      </c>
      <c r="P10" s="21"/>
      <c r="Q10" s="20"/>
      <c r="R10" s="20"/>
    </row>
    <row r="11" spans="1:21">
      <c r="A11" s="8">
        <f t="shared" ref="A11:A38" si="1">A10+1</f>
        <v>2</v>
      </c>
      <c r="B11" s="7" t="s">
        <v>21</v>
      </c>
      <c r="C11" s="19" t="s">
        <v>20</v>
      </c>
      <c r="D11" s="6">
        <v>0</v>
      </c>
      <c r="E11" s="6">
        <v>0</v>
      </c>
      <c r="F11" s="6">
        <v>0</v>
      </c>
      <c r="G11" s="6">
        <v>0</v>
      </c>
      <c r="H11" s="6">
        <v>15.598717916491726</v>
      </c>
      <c r="I11" s="6">
        <v>10.071212726630323</v>
      </c>
      <c r="J11" s="6">
        <v>7.9587394285974167</v>
      </c>
      <c r="K11" s="6">
        <v>7.3520136887513079</v>
      </c>
      <c r="L11" s="6">
        <v>10.185172321888846</v>
      </c>
      <c r="M11" s="6">
        <v>21.31941392893696</v>
      </c>
      <c r="N11" s="6">
        <v>35.895574373290074</v>
      </c>
      <c r="O11" s="6">
        <v>45.163442591348755</v>
      </c>
      <c r="P11" s="6"/>
      <c r="Q11" s="23"/>
      <c r="R11" s="23"/>
    </row>
    <row r="12" spans="1:21">
      <c r="A12" s="8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11159787.724271419</v>
      </c>
      <c r="I12" s="5">
        <f t="shared" si="2"/>
        <v>7207722.0934697455</v>
      </c>
      <c r="J12" s="5">
        <f t="shared" si="2"/>
        <v>5694650.4299979787</v>
      </c>
      <c r="K12" s="5">
        <f t="shared" si="2"/>
        <v>5261740.7437404618</v>
      </c>
      <c r="L12" s="5">
        <f t="shared" si="2"/>
        <v>7297359.3526667049</v>
      </c>
      <c r="M12" s="5">
        <f t="shared" si="2"/>
        <v>15313433.399482502</v>
      </c>
      <c r="N12" s="5">
        <f t="shared" si="2"/>
        <v>25849354.671600435</v>
      </c>
      <c r="O12" s="5">
        <f t="shared" si="2"/>
        <v>32593241.968759138</v>
      </c>
      <c r="P12" s="5">
        <f>SUM(D12:O12)</f>
        <v>110377290.38398838</v>
      </c>
      <c r="Q12" s="16"/>
      <c r="R12" s="16"/>
    </row>
    <row r="13" spans="1:21">
      <c r="A13" s="8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8">
        <f t="shared" si="1"/>
        <v>5</v>
      </c>
      <c r="B14" s="7" t="s">
        <v>18</v>
      </c>
      <c r="C14" s="3" t="s">
        <v>17</v>
      </c>
      <c r="D14" s="21">
        <v>0</v>
      </c>
      <c r="E14" s="21">
        <v>0</v>
      </c>
      <c r="F14" s="21">
        <v>0</v>
      </c>
      <c r="G14" s="21">
        <v>0</v>
      </c>
      <c r="H14" s="21">
        <v>37196782.710862681</v>
      </c>
      <c r="I14" s="21">
        <v>23925736.519878395</v>
      </c>
      <c r="J14" s="21">
        <v>15992958.088771572</v>
      </c>
      <c r="K14" s="21">
        <v>12684018.98215696</v>
      </c>
      <c r="L14" s="21">
        <v>14848890.58866168</v>
      </c>
      <c r="M14" s="21">
        <v>25339466.733255599</v>
      </c>
      <c r="N14" s="21">
        <v>52180677.602962457</v>
      </c>
      <c r="O14" s="21">
        <v>79804370.132337004</v>
      </c>
      <c r="P14" s="7"/>
      <c r="Q14" s="20"/>
      <c r="R14" s="20"/>
    </row>
    <row r="15" spans="1:21">
      <c r="A15" s="8">
        <f t="shared" si="1"/>
        <v>6</v>
      </c>
      <c r="B15" s="7" t="s">
        <v>16</v>
      </c>
      <c r="C15" s="19" t="s">
        <v>6</v>
      </c>
      <c r="D15" s="18">
        <v>0</v>
      </c>
      <c r="E15" s="18">
        <v>0</v>
      </c>
      <c r="F15" s="18">
        <f>$D$15</f>
        <v>0</v>
      </c>
      <c r="G15" s="18">
        <v>0</v>
      </c>
      <c r="H15" s="18">
        <v>0.38490999999999997</v>
      </c>
      <c r="I15" s="18">
        <f t="shared" ref="I15:O15" si="3">$H$15</f>
        <v>0.38490999999999997</v>
      </c>
      <c r="J15" s="18">
        <f t="shared" si="3"/>
        <v>0.38490999999999997</v>
      </c>
      <c r="K15" s="18">
        <f t="shared" si="3"/>
        <v>0.38490999999999997</v>
      </c>
      <c r="L15" s="18">
        <f t="shared" si="3"/>
        <v>0.38490999999999997</v>
      </c>
      <c r="M15" s="18">
        <f t="shared" si="3"/>
        <v>0.38490999999999997</v>
      </c>
      <c r="N15" s="18">
        <f t="shared" si="3"/>
        <v>0.38490999999999997</v>
      </c>
      <c r="O15" s="18">
        <f t="shared" si="3"/>
        <v>0.38490999999999997</v>
      </c>
      <c r="P15" s="13"/>
      <c r="Q15" s="17"/>
      <c r="R15" s="17"/>
    </row>
    <row r="16" spans="1:21">
      <c r="A16" s="8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14317413.633238154</v>
      </c>
      <c r="I16" s="5">
        <f t="shared" si="4"/>
        <v>9209255.2438663915</v>
      </c>
      <c r="J16" s="5">
        <f t="shared" si="4"/>
        <v>6155849.4979490656</v>
      </c>
      <c r="K16" s="5">
        <f t="shared" si="4"/>
        <v>4882205.7464220356</v>
      </c>
      <c r="L16" s="5">
        <f t="shared" si="4"/>
        <v>5715486.4764817664</v>
      </c>
      <c r="M16" s="5">
        <f t="shared" si="4"/>
        <v>9753414.140297411</v>
      </c>
      <c r="N16" s="5">
        <f t="shared" si="4"/>
        <v>20084864.616156276</v>
      </c>
      <c r="O16" s="5">
        <f t="shared" si="4"/>
        <v>30717500.107637834</v>
      </c>
      <c r="P16" s="5">
        <f>SUM(D16:O16)</f>
        <v>100835989.46204893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0</v>
      </c>
      <c r="E18" s="5">
        <f t="shared" si="5"/>
        <v>0</v>
      </c>
      <c r="F18" s="5">
        <f t="shared" si="5"/>
        <v>0</v>
      </c>
      <c r="G18" s="5">
        <f t="shared" si="5"/>
        <v>0</v>
      </c>
      <c r="H18" s="5">
        <f t="shared" si="5"/>
        <v>-3157625.908966735</v>
      </c>
      <c r="I18" s="5">
        <f t="shared" si="5"/>
        <v>-2001533.150396646</v>
      </c>
      <c r="J18" s="5">
        <f t="shared" si="5"/>
        <v>-461199.06795108691</v>
      </c>
      <c r="K18" s="5">
        <f t="shared" si="5"/>
        <v>379534.99731842615</v>
      </c>
      <c r="L18" s="5">
        <f t="shared" si="5"/>
        <v>1581872.8761849385</v>
      </c>
      <c r="M18" s="5">
        <f t="shared" si="5"/>
        <v>5560019.2591850907</v>
      </c>
      <c r="N18" s="5">
        <f t="shared" si="5"/>
        <v>5764490.0554441586</v>
      </c>
      <c r="O18" s="5">
        <f t="shared" si="5"/>
        <v>1875741.8611213043</v>
      </c>
      <c r="P18" s="5">
        <f>SUM(D18:O18)</f>
        <v>9541300.9219394512</v>
      </c>
      <c r="Q18" s="16"/>
      <c r="R18" s="16"/>
    </row>
    <row r="19" spans="1:18">
      <c r="A19" s="8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8">
        <f t="shared" si="1"/>
        <v>11</v>
      </c>
      <c r="B20" s="7" t="s">
        <v>13</v>
      </c>
      <c r="C20" s="3" t="s">
        <v>3</v>
      </c>
      <c r="D20" s="15">
        <v>0</v>
      </c>
      <c r="E20" s="15">
        <v>0</v>
      </c>
      <c r="F20" s="15">
        <v>0</v>
      </c>
      <c r="G20" s="15">
        <v>0</v>
      </c>
      <c r="H20" s="15">
        <v>-4275.9517517257873</v>
      </c>
      <c r="I20" s="15">
        <v>-11262.312977947033</v>
      </c>
      <c r="J20" s="15">
        <v>-14597.262856959589</v>
      </c>
      <c r="K20" s="15">
        <v>-14707.849619274648</v>
      </c>
      <c r="L20" s="15">
        <v>-12051.776457238842</v>
      </c>
      <c r="M20" s="15">
        <v>-2380.4641905919279</v>
      </c>
      <c r="N20" s="15">
        <v>12954.808839635181</v>
      </c>
      <c r="O20" s="15">
        <v>23300.956226650917</v>
      </c>
      <c r="P20" s="5">
        <f>SUM(D20:O20)</f>
        <v>-23019.852787451724</v>
      </c>
      <c r="Q20" s="14"/>
      <c r="R20" s="14"/>
    </row>
    <row r="21" spans="1:18">
      <c r="A21" s="8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8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D18+D20</f>
        <v>0</v>
      </c>
      <c r="E22" s="5">
        <f t="shared" ref="E22:O22" si="6">D22+E18+E20</f>
        <v>0</v>
      </c>
      <c r="F22" s="5">
        <f t="shared" si="6"/>
        <v>0</v>
      </c>
      <c r="G22" s="5">
        <f t="shared" si="6"/>
        <v>0</v>
      </c>
      <c r="H22" s="5">
        <f t="shared" si="6"/>
        <v>-3161901.8607184608</v>
      </c>
      <c r="I22" s="5">
        <f t="shared" si="6"/>
        <v>-5174697.324093054</v>
      </c>
      <c r="J22" s="5">
        <f t="shared" si="6"/>
        <v>-5650493.6549011003</v>
      </c>
      <c r="K22" s="5">
        <f t="shared" si="6"/>
        <v>-5285666.5072019491</v>
      </c>
      <c r="L22" s="5">
        <f t="shared" si="6"/>
        <v>-3715845.4074742496</v>
      </c>
      <c r="M22" s="5">
        <f t="shared" si="6"/>
        <v>1841793.3875202492</v>
      </c>
      <c r="N22" s="5">
        <f t="shared" si="6"/>
        <v>7619238.2518040426</v>
      </c>
      <c r="O22" s="5">
        <f t="shared" si="6"/>
        <v>9518281.0691519976</v>
      </c>
      <c r="P22" s="5"/>
    </row>
    <row r="23" spans="1:18">
      <c r="A23" s="8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8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/>
    </row>
    <row r="25" spans="1:18">
      <c r="A25" s="8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8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7">H14*H24</f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5"/>
    </row>
    <row r="27" spans="1:18">
      <c r="A27" s="8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8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/>
    </row>
    <row r="29" spans="1:18">
      <c r="A29" s="8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8">
        <f t="shared" si="1"/>
        <v>21</v>
      </c>
      <c r="B30" s="7" t="s">
        <v>7</v>
      </c>
      <c r="C30" s="3" t="s">
        <v>6</v>
      </c>
      <c r="D30" s="13">
        <v>0</v>
      </c>
      <c r="E30" s="13">
        <v>0</v>
      </c>
      <c r="F30" s="13">
        <v>0</v>
      </c>
      <c r="G30" s="13">
        <v>0</v>
      </c>
      <c r="H30" s="13">
        <v>2.1059999999999968E-2</v>
      </c>
      <c r="I30" s="13">
        <f t="shared" ref="I30:O30" si="8">$H$30</f>
        <v>2.1059999999999968E-2</v>
      </c>
      <c r="J30" s="13">
        <f t="shared" si="8"/>
        <v>2.1059999999999968E-2</v>
      </c>
      <c r="K30" s="13">
        <f t="shared" si="8"/>
        <v>2.1059999999999968E-2</v>
      </c>
      <c r="L30" s="13">
        <f t="shared" si="8"/>
        <v>2.1059999999999968E-2</v>
      </c>
      <c r="M30" s="13">
        <f t="shared" si="8"/>
        <v>2.1059999999999968E-2</v>
      </c>
      <c r="N30" s="13">
        <f t="shared" si="8"/>
        <v>2.1059999999999968E-2</v>
      </c>
      <c r="O30" s="13">
        <f t="shared" si="8"/>
        <v>2.1059999999999968E-2</v>
      </c>
      <c r="P30" s="5"/>
    </row>
    <row r="31" spans="1:18">
      <c r="A31" s="8">
        <f t="shared" si="1"/>
        <v>22</v>
      </c>
      <c r="B31" s="7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8">
        <f t="shared" si="1"/>
        <v>23</v>
      </c>
      <c r="B32" s="7" t="s">
        <v>5</v>
      </c>
      <c r="C32" s="3" t="str">
        <f>"("&amp;A14&amp;") x ("&amp;A30&amp;")"</f>
        <v>(5) x (21)</v>
      </c>
      <c r="D32" s="11">
        <v>0</v>
      </c>
      <c r="E32" s="11">
        <v>0</v>
      </c>
      <c r="F32" s="11">
        <v>0</v>
      </c>
      <c r="G32" s="10">
        <f t="shared" ref="G32:O32" si="9">G30*G14</f>
        <v>0</v>
      </c>
      <c r="H32" s="10">
        <f t="shared" si="9"/>
        <v>783364.24389076687</v>
      </c>
      <c r="I32" s="10">
        <f t="shared" si="9"/>
        <v>503876.01110863819</v>
      </c>
      <c r="J32" s="10">
        <f t="shared" si="9"/>
        <v>336811.69734952878</v>
      </c>
      <c r="K32" s="10">
        <f t="shared" si="9"/>
        <v>267125.43976422516</v>
      </c>
      <c r="L32" s="10">
        <f t="shared" si="9"/>
        <v>312717.63579721452</v>
      </c>
      <c r="M32" s="10">
        <f t="shared" si="9"/>
        <v>533649.16940236208</v>
      </c>
      <c r="N32" s="10">
        <f t="shared" si="9"/>
        <v>1098925.0703183876</v>
      </c>
      <c r="O32" s="10">
        <f t="shared" si="9"/>
        <v>1680680.0349870147</v>
      </c>
      <c r="P32" s="5">
        <f>SUM(D32:O32)</f>
        <v>5517149.3026181385</v>
      </c>
    </row>
    <row r="33" spans="1:16">
      <c r="A33" s="8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8">
        <f t="shared" si="1"/>
        <v>25</v>
      </c>
      <c r="B34" s="7" t="s">
        <v>4</v>
      </c>
      <c r="C34" s="3" t="s">
        <v>3</v>
      </c>
      <c r="D34" s="5">
        <v>0</v>
      </c>
      <c r="E34" s="5">
        <v>0</v>
      </c>
      <c r="F34" s="5">
        <v>0</v>
      </c>
      <c r="G34" s="5">
        <v>0</v>
      </c>
      <c r="H34" s="5">
        <v>43382454.359700419</v>
      </c>
      <c r="I34" s="5">
        <v>30577620.021405406</v>
      </c>
      <c r="J34" s="5">
        <v>22923520.09658337</v>
      </c>
      <c r="K34" s="5">
        <v>19730824.020784128</v>
      </c>
      <c r="L34" s="5">
        <v>21819643.687752336</v>
      </c>
      <c r="M34" s="5">
        <v>31941685.892386671</v>
      </c>
      <c r="N34" s="5">
        <v>57839965.024240732</v>
      </c>
      <c r="O34" s="5">
        <v>84493237.235058352</v>
      </c>
      <c r="P34" s="5">
        <f>SUM(D34:O34)</f>
        <v>312708950.33791143</v>
      </c>
    </row>
    <row r="35" spans="1:16">
      <c r="A35" s="8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8">
        <f t="shared" si="1"/>
        <v>27</v>
      </c>
      <c r="B36" s="7" t="s">
        <v>2</v>
      </c>
      <c r="C36" s="3" t="str">
        <f>"("&amp;A32&amp;") / ("&amp;A34&amp;")"</f>
        <v>(23) / (25)</v>
      </c>
      <c r="D36" s="9"/>
      <c r="E36" s="9"/>
      <c r="F36" s="9"/>
      <c r="G36" s="9"/>
      <c r="H36" s="9">
        <f t="shared" ref="H36:P36" si="10">H32/H34</f>
        <v>1.8057167475947676E-2</v>
      </c>
      <c r="I36" s="9">
        <f t="shared" si="10"/>
        <v>1.6478588286331877E-2</v>
      </c>
      <c r="J36" s="9">
        <f t="shared" si="10"/>
        <v>1.4692843678913379E-2</v>
      </c>
      <c r="K36" s="9">
        <f t="shared" si="10"/>
        <v>1.353848371881679E-2</v>
      </c>
      <c r="L36" s="9">
        <f t="shared" si="10"/>
        <v>1.4331931367547821E-2</v>
      </c>
      <c r="M36" s="9">
        <f t="shared" si="10"/>
        <v>1.6706981942038252E-2</v>
      </c>
      <c r="N36" s="9">
        <f t="shared" si="10"/>
        <v>1.8999407587086681E-2</v>
      </c>
      <c r="O36" s="9">
        <f t="shared" si="10"/>
        <v>1.9891296510647347E-2</v>
      </c>
      <c r="P36" s="9">
        <f t="shared" si="10"/>
        <v>1.7643080879700884E-2</v>
      </c>
    </row>
    <row r="37" spans="1:16">
      <c r="A37" s="8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8">
        <f t="shared" si="1"/>
        <v>29</v>
      </c>
      <c r="B38" s="7" t="s">
        <v>1</v>
      </c>
      <c r="C38" s="3" t="s">
        <v>0</v>
      </c>
      <c r="D38" s="6"/>
      <c r="E38" s="6"/>
      <c r="F38" s="6"/>
      <c r="G38" s="6"/>
      <c r="H38" s="6">
        <f t="shared" ref="H38:O38" si="11">H30*68</f>
        <v>1.4320799999999978</v>
      </c>
      <c r="I38" s="6">
        <f t="shared" si="11"/>
        <v>1.4320799999999978</v>
      </c>
      <c r="J38" s="6">
        <f t="shared" si="11"/>
        <v>1.4320799999999978</v>
      </c>
      <c r="K38" s="6">
        <f t="shared" si="11"/>
        <v>1.4320799999999978</v>
      </c>
      <c r="L38" s="6">
        <f t="shared" si="11"/>
        <v>1.4320799999999978</v>
      </c>
      <c r="M38" s="6">
        <f t="shared" si="11"/>
        <v>1.4320799999999978</v>
      </c>
      <c r="N38" s="6">
        <f t="shared" si="11"/>
        <v>1.4320799999999978</v>
      </c>
      <c r="O38" s="6">
        <f t="shared" si="11"/>
        <v>1.4320799999999978</v>
      </c>
      <c r="P38" s="5"/>
    </row>
    <row r="39" spans="1:16">
      <c r="A39" s="4"/>
    </row>
    <row r="40" spans="1:16">
      <c r="C40" s="3"/>
    </row>
    <row r="43" spans="1:16">
      <c r="C43" s="3"/>
    </row>
    <row r="46" spans="1:16">
      <c r="C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41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41275</v>
      </c>
      <c r="E7" s="26">
        <f t="shared" ref="E7:O7" si="0">EDATE(D7,1)</f>
        <v>41306</v>
      </c>
      <c r="F7" s="26">
        <f t="shared" si="0"/>
        <v>41334</v>
      </c>
      <c r="G7" s="26">
        <f t="shared" si="0"/>
        <v>41365</v>
      </c>
      <c r="H7" s="26">
        <f t="shared" si="0"/>
        <v>41395</v>
      </c>
      <c r="I7" s="26">
        <f t="shared" si="0"/>
        <v>41426</v>
      </c>
      <c r="J7" s="26">
        <f t="shared" si="0"/>
        <v>41456</v>
      </c>
      <c r="K7" s="26">
        <f t="shared" si="0"/>
        <v>41487</v>
      </c>
      <c r="L7" s="26">
        <f t="shared" si="0"/>
        <v>41518</v>
      </c>
      <c r="M7" s="26">
        <f t="shared" si="0"/>
        <v>41548</v>
      </c>
      <c r="N7" s="26">
        <f t="shared" si="0"/>
        <v>41579</v>
      </c>
      <c r="O7" s="26">
        <f t="shared" si="0"/>
        <v>41609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0</v>
      </c>
      <c r="E10" s="21">
        <v>0</v>
      </c>
      <c r="F10" s="21">
        <v>0</v>
      </c>
      <c r="G10" s="21">
        <v>0</v>
      </c>
      <c r="H10" s="21">
        <v>57494.94501981861</v>
      </c>
      <c r="I10" s="21">
        <v>57489.478647892596</v>
      </c>
      <c r="J10" s="21">
        <v>57471.637876254157</v>
      </c>
      <c r="K10" s="21">
        <v>57464.034942422411</v>
      </c>
      <c r="L10" s="21">
        <v>57531.294744834071</v>
      </c>
      <c r="M10" s="21">
        <v>57663.621167049278</v>
      </c>
      <c r="N10" s="21">
        <v>57880.244114370667</v>
      </c>
      <c r="O10" s="21">
        <v>58035.185890317895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0</v>
      </c>
      <c r="E11" s="6">
        <v>0</v>
      </c>
      <c r="F11" s="6">
        <v>0</v>
      </c>
      <c r="G11" s="6">
        <v>0</v>
      </c>
      <c r="H11" s="6">
        <v>117.34853803251347</v>
      </c>
      <c r="I11" s="6">
        <v>95.150895599151028</v>
      </c>
      <c r="J11" s="6">
        <v>88.261878912016158</v>
      </c>
      <c r="K11" s="6">
        <v>89.832065275755014</v>
      </c>
      <c r="L11" s="6">
        <v>94.558022812298503</v>
      </c>
      <c r="M11" s="6">
        <v>127.13740232376388</v>
      </c>
      <c r="N11" s="6">
        <v>161.39829882700209</v>
      </c>
      <c r="O11" s="6">
        <v>188.71612157417925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6746947.7423354555</v>
      </c>
      <c r="I12" s="5">
        <f t="shared" si="2"/>
        <v>5470175.3808752503</v>
      </c>
      <c r="J12" s="5">
        <f t="shared" si="2"/>
        <v>5072554.7431091862</v>
      </c>
      <c r="K12" s="5">
        <f t="shared" si="2"/>
        <v>5162112.9379559569</v>
      </c>
      <c r="L12" s="5">
        <f t="shared" si="2"/>
        <v>5440045.480903089</v>
      </c>
      <c r="M12" s="5">
        <f t="shared" si="2"/>
        <v>7331203.0037602512</v>
      </c>
      <c r="N12" s="5">
        <f t="shared" si="2"/>
        <v>9341772.9357510265</v>
      </c>
      <c r="O12" s="5">
        <f t="shared" si="2"/>
        <v>10952175.196057323</v>
      </c>
      <c r="P12" s="10">
        <f>SUM(D12:O12)</f>
        <v>55516987.420747533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0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0</v>
      </c>
      <c r="E14" s="21">
        <v>0</v>
      </c>
      <c r="F14" s="21">
        <v>0</v>
      </c>
      <c r="G14" s="21">
        <v>0</v>
      </c>
      <c r="H14" s="21">
        <v>42729803.520754434</v>
      </c>
      <c r="I14" s="21">
        <v>36351919.53430561</v>
      </c>
      <c r="J14" s="21">
        <v>30472415.378940575</v>
      </c>
      <c r="K14" s="21">
        <v>28554383.095692888</v>
      </c>
      <c r="L14" s="21">
        <v>29947975.27599588</v>
      </c>
      <c r="M14" s="21">
        <v>33471734.243474826</v>
      </c>
      <c r="N14" s="21">
        <v>45302176.927478567</v>
      </c>
      <c r="O14" s="21">
        <v>60512713.722588249</v>
      </c>
      <c r="P14" s="10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6</v>
      </c>
      <c r="D15" s="18">
        <v>0</v>
      </c>
      <c r="E15" s="18">
        <v>0</v>
      </c>
      <c r="F15" s="18">
        <v>0</v>
      </c>
      <c r="G15" s="18">
        <v>0</v>
      </c>
      <c r="H15" s="18">
        <v>0.17383000000000001</v>
      </c>
      <c r="I15" s="18">
        <f t="shared" ref="I15:O15" si="3">$H$15</f>
        <v>0.17383000000000001</v>
      </c>
      <c r="J15" s="18">
        <f t="shared" si="3"/>
        <v>0.17383000000000001</v>
      </c>
      <c r="K15" s="18">
        <f t="shared" si="3"/>
        <v>0.17383000000000001</v>
      </c>
      <c r="L15" s="18">
        <f t="shared" si="3"/>
        <v>0.17383000000000001</v>
      </c>
      <c r="M15" s="18">
        <f t="shared" si="3"/>
        <v>0.17383000000000001</v>
      </c>
      <c r="N15" s="18">
        <f t="shared" si="3"/>
        <v>0.17383000000000001</v>
      </c>
      <c r="O15" s="18">
        <f t="shared" si="3"/>
        <v>0.17383000000000001</v>
      </c>
      <c r="P15" s="10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7427721.7460127436</v>
      </c>
      <c r="I16" s="5">
        <f t="shared" si="4"/>
        <v>6319054.1726483442</v>
      </c>
      <c r="J16" s="5">
        <f t="shared" si="4"/>
        <v>5297019.9653212409</v>
      </c>
      <c r="K16" s="5">
        <f t="shared" si="4"/>
        <v>4963608.4135242952</v>
      </c>
      <c r="L16" s="5">
        <f t="shared" si="4"/>
        <v>5205856.5422263639</v>
      </c>
      <c r="M16" s="5">
        <f t="shared" si="4"/>
        <v>5818391.5635432294</v>
      </c>
      <c r="N16" s="5">
        <f t="shared" si="4"/>
        <v>7874877.4153036</v>
      </c>
      <c r="O16" s="5">
        <f t="shared" si="4"/>
        <v>10518925.026397515</v>
      </c>
      <c r="P16" s="10">
        <f>SUM(D16:O16)</f>
        <v>53425454.844977334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0</v>
      </c>
      <c r="E18" s="5">
        <f t="shared" si="5"/>
        <v>0</v>
      </c>
      <c r="F18" s="5">
        <f t="shared" si="5"/>
        <v>0</v>
      </c>
      <c r="G18" s="5">
        <f t="shared" si="5"/>
        <v>0</v>
      </c>
      <c r="H18" s="5">
        <f t="shared" si="5"/>
        <v>-680774.00367728807</v>
      </c>
      <c r="I18" s="5">
        <f t="shared" si="5"/>
        <v>-848878.79177309386</v>
      </c>
      <c r="J18" s="5">
        <f t="shared" si="5"/>
        <v>-224465.22221205477</v>
      </c>
      <c r="K18" s="5">
        <f t="shared" si="5"/>
        <v>198504.5244316617</v>
      </c>
      <c r="L18" s="5">
        <f t="shared" si="5"/>
        <v>234188.93867672514</v>
      </c>
      <c r="M18" s="5">
        <f t="shared" si="5"/>
        <v>1512811.4402170219</v>
      </c>
      <c r="N18" s="5">
        <f t="shared" si="5"/>
        <v>1466895.5204474265</v>
      </c>
      <c r="O18" s="5">
        <f t="shared" si="5"/>
        <v>433250.16965980828</v>
      </c>
      <c r="P18" s="5">
        <f>SUM(D18:O18)</f>
        <v>2091532.5757702067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0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0</v>
      </c>
      <c r="E20" s="15">
        <v>0</v>
      </c>
      <c r="F20" s="15">
        <v>0</v>
      </c>
      <c r="G20" s="15">
        <v>0</v>
      </c>
      <c r="H20" s="15">
        <v>-921.88146331299424</v>
      </c>
      <c r="I20" s="15">
        <v>-2993.2862904853864</v>
      </c>
      <c r="J20" s="15">
        <v>-4446.7729760902757</v>
      </c>
      <c r="K20" s="15">
        <v>-4481.9280876678904</v>
      </c>
      <c r="L20" s="15">
        <v>-3895.9890230419501</v>
      </c>
      <c r="M20" s="15">
        <v>-1530.2593432900012</v>
      </c>
      <c r="N20" s="15">
        <v>2504.7604992764395</v>
      </c>
      <c r="O20" s="15">
        <v>5077.8744546299868</v>
      </c>
      <c r="P20" s="10">
        <f>SUM(D20:O20)</f>
        <v>-10687.482229982073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D18+D20</f>
        <v>0</v>
      </c>
      <c r="E22" s="5">
        <f t="shared" ref="E22:O22" si="6">D22+E18+E20</f>
        <v>0</v>
      </c>
      <c r="F22" s="5">
        <f t="shared" si="6"/>
        <v>0</v>
      </c>
      <c r="G22" s="5">
        <f t="shared" si="6"/>
        <v>0</v>
      </c>
      <c r="H22" s="5">
        <f t="shared" si="6"/>
        <v>-681695.88514060108</v>
      </c>
      <c r="I22" s="5">
        <f t="shared" si="6"/>
        <v>-1533567.9632041804</v>
      </c>
      <c r="J22" s="5">
        <f t="shared" si="6"/>
        <v>-1762479.9583923253</v>
      </c>
      <c r="K22" s="5">
        <f t="shared" si="6"/>
        <v>-1568457.3620483314</v>
      </c>
      <c r="L22" s="5">
        <f t="shared" si="6"/>
        <v>-1338164.4123946482</v>
      </c>
      <c r="M22" s="5">
        <f t="shared" si="6"/>
        <v>173116.76847908366</v>
      </c>
      <c r="N22" s="5">
        <f t="shared" si="6"/>
        <v>1642517.0494257866</v>
      </c>
      <c r="O22" s="5">
        <f t="shared" si="6"/>
        <v>2080845.0935402249</v>
      </c>
      <c r="P22" s="10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0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0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0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7">H14*H24</f>
        <v>0</v>
      </c>
      <c r="I26" s="5">
        <f t="shared" si="7"/>
        <v>0</v>
      </c>
      <c r="J26" s="5">
        <f t="shared" si="7"/>
        <v>0</v>
      </c>
      <c r="K26" s="5">
        <f t="shared" si="7"/>
        <v>0</v>
      </c>
      <c r="L26" s="5">
        <f t="shared" si="7"/>
        <v>0</v>
      </c>
      <c r="M26" s="5">
        <f t="shared" si="7"/>
        <v>0</v>
      </c>
      <c r="N26" s="5">
        <f t="shared" si="7"/>
        <v>0</v>
      </c>
      <c r="O26" s="5">
        <f t="shared" si="7"/>
        <v>0</v>
      </c>
      <c r="P26" s="10"/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10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0"/>
    </row>
    <row r="30" spans="1:18">
      <c r="A30" s="3">
        <f t="shared" si="1"/>
        <v>21</v>
      </c>
      <c r="B30" s="7" t="s">
        <v>7</v>
      </c>
      <c r="C30" s="3" t="s">
        <v>6</v>
      </c>
      <c r="D30" s="13">
        <v>0</v>
      </c>
      <c r="E30" s="13">
        <v>0</v>
      </c>
      <c r="F30" s="13">
        <v>0</v>
      </c>
      <c r="G30" s="13">
        <v>0</v>
      </c>
      <c r="H30" s="13">
        <v>-2.2499999999999742E-3</v>
      </c>
      <c r="I30" s="13">
        <f t="shared" ref="I30:O30" si="8">$H$30</f>
        <v>-2.2499999999999742E-3</v>
      </c>
      <c r="J30" s="13">
        <f t="shared" si="8"/>
        <v>-2.2499999999999742E-3</v>
      </c>
      <c r="K30" s="13">
        <f t="shared" si="8"/>
        <v>-2.2499999999999742E-3</v>
      </c>
      <c r="L30" s="13">
        <f t="shared" si="8"/>
        <v>-2.2499999999999742E-3</v>
      </c>
      <c r="M30" s="13">
        <f t="shared" si="8"/>
        <v>-2.2499999999999742E-3</v>
      </c>
      <c r="N30" s="13">
        <f t="shared" si="8"/>
        <v>-2.2499999999999742E-3</v>
      </c>
      <c r="O30" s="13">
        <f t="shared" si="8"/>
        <v>-2.2499999999999742E-3</v>
      </c>
      <c r="P30" s="10"/>
    </row>
    <row r="31" spans="1:18">
      <c r="A31" s="3">
        <f t="shared" si="1"/>
        <v>22</v>
      </c>
      <c r="B31" s="7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0"/>
    </row>
    <row r="32" spans="1:18">
      <c r="A32" s="3">
        <f t="shared" si="1"/>
        <v>23</v>
      </c>
      <c r="B32" s="7" t="s">
        <v>5</v>
      </c>
      <c r="C32" s="3" t="str">
        <f>"("&amp;A14&amp;") x ("&amp;A30&amp;")"</f>
        <v>(5) x (21)</v>
      </c>
      <c r="D32" s="11">
        <v>0</v>
      </c>
      <c r="E32" s="11">
        <v>0</v>
      </c>
      <c r="F32" s="11">
        <v>0</v>
      </c>
      <c r="G32" s="10">
        <f t="shared" ref="G32:O32" si="9">G30*G14</f>
        <v>0</v>
      </c>
      <c r="H32" s="10">
        <f t="shared" si="9"/>
        <v>-96142.057921696382</v>
      </c>
      <c r="I32" s="10">
        <f t="shared" si="9"/>
        <v>-81791.818952186688</v>
      </c>
      <c r="J32" s="10">
        <f t="shared" si="9"/>
        <v>-68562.934602615511</v>
      </c>
      <c r="K32" s="10">
        <f t="shared" si="9"/>
        <v>-64247.361965308264</v>
      </c>
      <c r="L32" s="10">
        <f t="shared" si="9"/>
        <v>-67382.944370989964</v>
      </c>
      <c r="M32" s="10">
        <f t="shared" si="9"/>
        <v>-75311.402047817493</v>
      </c>
      <c r="N32" s="10">
        <f t="shared" si="9"/>
        <v>-101929.8980868256</v>
      </c>
      <c r="O32" s="10">
        <f t="shared" si="9"/>
        <v>-136153.60587582199</v>
      </c>
      <c r="P32" s="10">
        <f>SUM(D32:O32)</f>
        <v>-691522.02382326196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0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0</v>
      </c>
      <c r="E34" s="5">
        <v>0</v>
      </c>
      <c r="F34" s="5">
        <v>0</v>
      </c>
      <c r="G34" s="5">
        <v>0</v>
      </c>
      <c r="H34" s="5">
        <v>34017482.820979737</v>
      </c>
      <c r="I34" s="5">
        <v>29340340.60177552</v>
      </c>
      <c r="J34" s="5">
        <v>25028679.058311801</v>
      </c>
      <c r="K34" s="5">
        <v>23622113.841880295</v>
      </c>
      <c r="L34" s="5">
        <v>24644087.405008275</v>
      </c>
      <c r="M34" s="5">
        <v>27228192.395333108</v>
      </c>
      <c r="N34" s="5">
        <v>35903900.995049819</v>
      </c>
      <c r="O34" s="5">
        <v>47058359.742233492</v>
      </c>
      <c r="P34" s="10">
        <f>SUM(D34:O34)</f>
        <v>246843156.86057207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0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31"/>
      <c r="E36" s="31"/>
      <c r="F36" s="31"/>
      <c r="G36" s="31"/>
      <c r="H36" s="31">
        <f t="shared" ref="H36:P36" si="10">H32/H34</f>
        <v>-2.826254324214792E-3</v>
      </c>
      <c r="I36" s="31">
        <f t="shared" si="10"/>
        <v>-2.787691528953726E-3</v>
      </c>
      <c r="J36" s="31">
        <f t="shared" si="10"/>
        <v>-2.7393748764318574E-3</v>
      </c>
      <c r="K36" s="31">
        <f t="shared" si="10"/>
        <v>-2.7197973219230849E-3</v>
      </c>
      <c r="L36" s="31">
        <f t="shared" si="10"/>
        <v>-2.7342438477675631E-3</v>
      </c>
      <c r="M36" s="31">
        <f t="shared" si="10"/>
        <v>-2.7659346957136168E-3</v>
      </c>
      <c r="N36" s="31">
        <f t="shared" si="10"/>
        <v>-2.8389644373428666E-3</v>
      </c>
      <c r="O36" s="31">
        <f t="shared" si="10"/>
        <v>-2.8932926396418391E-3</v>
      </c>
      <c r="P36" s="31">
        <f t="shared" si="10"/>
        <v>-2.801463215015777E-3</v>
      </c>
    </row>
    <row r="37" spans="1:16">
      <c r="A37" s="4"/>
      <c r="C37" s="4"/>
    </row>
    <row r="40" spans="1:16">
      <c r="C40" s="4"/>
    </row>
    <row r="43" spans="1:16">
      <c r="C43" s="4"/>
    </row>
    <row r="46" spans="1:16">
      <c r="C46" s="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F46" sqref="F46"/>
    </sheetView>
  </sheetViews>
  <sheetFormatPr defaultRowHeight="12.75"/>
  <cols>
    <col min="1" max="1" width="6" style="35" customWidth="1"/>
    <col min="2" max="2" width="64" style="35" customWidth="1"/>
    <col min="3" max="3" width="19.42578125" style="35" bestFit="1" customWidth="1"/>
    <col min="4" max="4" width="16.42578125" style="35" customWidth="1"/>
    <col min="5" max="5" width="17.7109375" style="35" bestFit="1" customWidth="1"/>
    <col min="6" max="6" width="14.5703125" style="35" bestFit="1" customWidth="1"/>
    <col min="7" max="16384" width="9.140625" style="35"/>
  </cols>
  <sheetData>
    <row r="1" spans="1:15">
      <c r="A1" s="134" t="s">
        <v>44</v>
      </c>
      <c r="B1" s="134"/>
      <c r="C1" s="134"/>
      <c r="D1" s="134"/>
      <c r="E1" s="134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134" t="s">
        <v>43</v>
      </c>
      <c r="B2" s="134"/>
      <c r="C2" s="134"/>
      <c r="D2" s="134"/>
      <c r="E2" s="134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134" t="s">
        <v>71</v>
      </c>
      <c r="B3" s="134"/>
      <c r="C3" s="134"/>
      <c r="D3" s="134"/>
      <c r="E3" s="134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134" t="s">
        <v>70</v>
      </c>
      <c r="B4" s="134"/>
      <c r="C4" s="134"/>
      <c r="D4" s="134"/>
      <c r="E4" s="134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12"/>
      <c r="B5" s="12"/>
      <c r="C5" s="12"/>
      <c r="D5" s="12"/>
      <c r="E5" s="12"/>
    </row>
    <row r="6" spans="1:15">
      <c r="A6" s="12"/>
      <c r="B6" s="12"/>
      <c r="C6" s="12"/>
      <c r="D6" s="12"/>
      <c r="E6" s="12"/>
    </row>
    <row r="7" spans="1:1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1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15">
      <c r="A9" s="3">
        <v>1</v>
      </c>
      <c r="B9" s="47"/>
      <c r="C9" s="3"/>
      <c r="D9" s="3"/>
      <c r="E9" s="3"/>
    </row>
    <row r="10" spans="1:15">
      <c r="A10" s="3">
        <f t="shared" ref="A10:A45" si="0">A9+1</f>
        <v>2</v>
      </c>
      <c r="B10" s="7" t="s">
        <v>67</v>
      </c>
      <c r="C10" s="45" t="s">
        <v>63</v>
      </c>
      <c r="D10" s="5">
        <v>291961292.69999999</v>
      </c>
      <c r="E10" s="5">
        <v>121900413.42000002</v>
      </c>
    </row>
    <row r="11" spans="1:15">
      <c r="A11" s="3">
        <f t="shared" si="0"/>
        <v>3</v>
      </c>
      <c r="B11" s="7"/>
      <c r="C11" s="3"/>
      <c r="D11" s="7"/>
      <c r="E11" s="7"/>
    </row>
    <row r="12" spans="1:15">
      <c r="A12" s="3">
        <f t="shared" si="0"/>
        <v>4</v>
      </c>
      <c r="B12" s="7" t="s">
        <v>66</v>
      </c>
      <c r="C12" s="45" t="s">
        <v>63</v>
      </c>
      <c r="D12" s="46">
        <v>88318800.439999998</v>
      </c>
      <c r="E12" s="46">
        <v>31696914.329999998</v>
      </c>
    </row>
    <row r="13" spans="1:15">
      <c r="A13" s="3">
        <f t="shared" si="0"/>
        <v>5</v>
      </c>
      <c r="C13" s="45"/>
      <c r="D13" s="10"/>
      <c r="E13" s="10"/>
    </row>
    <row r="14" spans="1:15">
      <c r="A14" s="3">
        <f t="shared" si="0"/>
        <v>6</v>
      </c>
      <c r="B14" s="7" t="s">
        <v>65</v>
      </c>
      <c r="C14" s="3" t="str">
        <f>"("&amp;A$10&amp;") - ("&amp;A12&amp;")"</f>
        <v>(2) - (4)</v>
      </c>
      <c r="D14" s="10">
        <f>D10-D12</f>
        <v>203642492.25999999</v>
      </c>
      <c r="E14" s="10">
        <f>E10-E12</f>
        <v>90203499.090000018</v>
      </c>
    </row>
    <row r="15" spans="1:15">
      <c r="A15" s="3">
        <f t="shared" si="0"/>
        <v>7</v>
      </c>
      <c r="B15" s="7"/>
      <c r="C15" s="45"/>
      <c r="D15" s="7"/>
      <c r="E15" s="7"/>
    </row>
    <row r="16" spans="1:15">
      <c r="A16" s="3">
        <f t="shared" si="0"/>
        <v>8</v>
      </c>
      <c r="B16" s="7" t="s">
        <v>64</v>
      </c>
      <c r="C16" s="45" t="s">
        <v>63</v>
      </c>
      <c r="D16" s="39">
        <v>559688037</v>
      </c>
      <c r="E16" s="39">
        <v>512283585</v>
      </c>
    </row>
    <row r="17" spans="1:5">
      <c r="A17" s="3">
        <f t="shared" si="0"/>
        <v>9</v>
      </c>
      <c r="B17" s="7"/>
      <c r="C17" s="3"/>
      <c r="D17" s="7"/>
      <c r="E17" s="7"/>
    </row>
    <row r="18" spans="1:5" ht="13.5" thickBot="1">
      <c r="A18" s="3">
        <f t="shared" si="0"/>
        <v>10</v>
      </c>
      <c r="B18" s="7" t="s">
        <v>62</v>
      </c>
      <c r="C18" s="3" t="str">
        <f>"("&amp;A14&amp;") / ("&amp;A16&amp;")"</f>
        <v>(6) / (8)</v>
      </c>
      <c r="D18" s="38">
        <f>ROUND(D14/D16,5)</f>
        <v>0.36385000000000001</v>
      </c>
      <c r="E18" s="38">
        <f>ROUND(E14/E16,5)</f>
        <v>0.17607999999999999</v>
      </c>
    </row>
    <row r="19" spans="1:5" ht="13.5" thickTop="1">
      <c r="A19" s="3">
        <f t="shared" si="0"/>
        <v>11</v>
      </c>
      <c r="B19" s="12"/>
      <c r="C19" s="12"/>
      <c r="D19" s="12"/>
      <c r="E19" s="12"/>
    </row>
    <row r="20" spans="1:5">
      <c r="A20" s="3">
        <f t="shared" si="0"/>
        <v>12</v>
      </c>
      <c r="B20" s="7" t="s">
        <v>61</v>
      </c>
      <c r="C20" s="3" t="s">
        <v>60</v>
      </c>
      <c r="D20" s="6">
        <v>307.89</v>
      </c>
      <c r="E20" s="6">
        <v>1687.0800000000002</v>
      </c>
    </row>
    <row r="21" spans="1:5">
      <c r="A21" s="3">
        <f t="shared" si="0"/>
        <v>13</v>
      </c>
      <c r="B21" s="7"/>
      <c r="C21" s="3"/>
      <c r="D21" s="7"/>
      <c r="E21" s="7"/>
    </row>
    <row r="22" spans="1:5">
      <c r="A22" s="3">
        <f t="shared" si="0"/>
        <v>14</v>
      </c>
      <c r="B22" s="7" t="s">
        <v>59</v>
      </c>
      <c r="C22" s="3" t="s">
        <v>17</v>
      </c>
      <c r="D22" s="44">
        <v>732936.64874727989</v>
      </c>
      <c r="E22" s="44">
        <v>58671.12940103349</v>
      </c>
    </row>
    <row r="23" spans="1:5">
      <c r="A23" s="3">
        <f t="shared" si="0"/>
        <v>15</v>
      </c>
      <c r="B23" s="7"/>
      <c r="C23" s="3"/>
      <c r="D23" s="7"/>
      <c r="E23" s="7"/>
    </row>
    <row r="24" spans="1:5">
      <c r="A24" s="3">
        <f t="shared" si="0"/>
        <v>16</v>
      </c>
      <c r="B24" s="7" t="s">
        <v>58</v>
      </c>
      <c r="C24" s="3" t="str">
        <f>"("&amp;A$20&amp;") x ("&amp;A22&amp;")"</f>
        <v>(12) x (14)</v>
      </c>
      <c r="D24" s="41">
        <f>D20*D22</f>
        <v>225663864.78279999</v>
      </c>
      <c r="E24" s="41">
        <f>E20*E22</f>
        <v>98982888.989895582</v>
      </c>
    </row>
    <row r="25" spans="1:5">
      <c r="A25" s="3">
        <f t="shared" si="0"/>
        <v>17</v>
      </c>
      <c r="B25" s="7"/>
      <c r="C25" s="3"/>
      <c r="D25" s="41"/>
      <c r="E25" s="41"/>
    </row>
    <row r="26" spans="1:5">
      <c r="A26" s="3">
        <f t="shared" si="0"/>
        <v>18</v>
      </c>
      <c r="B26" s="7" t="s">
        <v>57</v>
      </c>
      <c r="C26" s="3" t="s">
        <v>56</v>
      </c>
      <c r="D26" s="43">
        <f>'JAP-23 Page 1'!O22</f>
        <v>9518281.0691519976</v>
      </c>
      <c r="E26" s="43">
        <f>'JAP-23 Page 2'!O22</f>
        <v>2080845.0935402249</v>
      </c>
    </row>
    <row r="27" spans="1:5">
      <c r="A27" s="3">
        <f t="shared" si="0"/>
        <v>19</v>
      </c>
      <c r="B27" s="7"/>
      <c r="C27" s="3"/>
      <c r="D27" s="42"/>
      <c r="E27" s="42"/>
    </row>
    <row r="28" spans="1:5">
      <c r="A28" s="3">
        <f t="shared" si="0"/>
        <v>20</v>
      </c>
      <c r="B28" s="7" t="s">
        <v>55</v>
      </c>
      <c r="C28" s="3" t="str">
        <f>"("&amp;A24&amp;") + ("&amp;A26&amp;")"</f>
        <v>(16) + (18)</v>
      </c>
      <c r="D28" s="41">
        <f>D24+D26</f>
        <v>235182145.85195199</v>
      </c>
      <c r="E28" s="41">
        <f>E24+E26</f>
        <v>101063734.0834358</v>
      </c>
    </row>
    <row r="29" spans="1:5">
      <c r="A29" s="3">
        <f t="shared" si="0"/>
        <v>21</v>
      </c>
      <c r="B29" s="12"/>
      <c r="C29" s="12"/>
      <c r="D29" s="40"/>
      <c r="E29" s="40"/>
    </row>
    <row r="30" spans="1:5">
      <c r="A30" s="3">
        <f t="shared" si="0"/>
        <v>22</v>
      </c>
      <c r="B30" s="7" t="s">
        <v>54</v>
      </c>
      <c r="C30" s="3" t="s">
        <v>17</v>
      </c>
      <c r="D30" s="39">
        <v>565140089.31640637</v>
      </c>
      <c r="E30" s="39">
        <v>546276437.64665544</v>
      </c>
    </row>
    <row r="31" spans="1:5">
      <c r="A31" s="3">
        <f t="shared" si="0"/>
        <v>23</v>
      </c>
      <c r="B31" s="12"/>
      <c r="C31" s="12"/>
      <c r="D31" s="12"/>
      <c r="E31" s="12"/>
    </row>
    <row r="32" spans="1:5" ht="13.5" thickBot="1">
      <c r="A32" s="3">
        <f t="shared" si="0"/>
        <v>24</v>
      </c>
      <c r="B32" s="7" t="s">
        <v>53</v>
      </c>
      <c r="C32" s="3" t="str">
        <f>"("&amp;A28&amp;") / ("&amp;A30&amp;")"</f>
        <v>(20) / (22)</v>
      </c>
      <c r="D32" s="38">
        <f>ROUND(D28/D30,5)</f>
        <v>0.41615000000000002</v>
      </c>
      <c r="E32" s="38">
        <f>ROUND(E28/E30,5)</f>
        <v>0.185</v>
      </c>
    </row>
    <row r="33" spans="1:5" ht="13.5" thickTop="1">
      <c r="A33" s="3">
        <f t="shared" si="0"/>
        <v>25</v>
      </c>
      <c r="B33" s="12"/>
      <c r="C33" s="12"/>
      <c r="D33" s="12"/>
      <c r="E33" s="12"/>
    </row>
    <row r="34" spans="1:5">
      <c r="A34" s="3">
        <f t="shared" si="0"/>
        <v>26</v>
      </c>
      <c r="B34" s="7" t="s">
        <v>52</v>
      </c>
      <c r="C34" s="3" t="str">
        <f>"("&amp;A32&amp;") - ("&amp;A18&amp;")"</f>
        <v>(24) - (10)</v>
      </c>
      <c r="D34" s="13">
        <f>D32-D18</f>
        <v>5.2300000000000013E-2</v>
      </c>
      <c r="E34" s="13">
        <f>E32-E18</f>
        <v>8.9200000000000113E-3</v>
      </c>
    </row>
    <row r="35" spans="1:5">
      <c r="A35" s="3">
        <f t="shared" si="0"/>
        <v>27</v>
      </c>
      <c r="B35" s="7"/>
      <c r="C35" s="12"/>
      <c r="D35" s="12"/>
      <c r="E35" s="12"/>
    </row>
    <row r="36" spans="1:5">
      <c r="A36" s="3">
        <f t="shared" si="0"/>
        <v>28</v>
      </c>
      <c r="B36" s="7" t="s">
        <v>51</v>
      </c>
      <c r="C36" s="3" t="s">
        <v>50</v>
      </c>
      <c r="D36" s="13">
        <f>'JAP-23 Page 4'!D34</f>
        <v>5.2300000000000013E-2</v>
      </c>
      <c r="E36" s="13">
        <f>'JAP-23 Page 4'!E34</f>
        <v>8.9200000000000113E-3</v>
      </c>
    </row>
    <row r="37" spans="1:5">
      <c r="A37" s="3">
        <f t="shared" si="0"/>
        <v>29</v>
      </c>
      <c r="B37" s="7"/>
      <c r="C37" s="3"/>
      <c r="D37" s="12"/>
      <c r="E37" s="12"/>
    </row>
    <row r="38" spans="1:5">
      <c r="A38" s="3">
        <f t="shared" si="0"/>
        <v>30</v>
      </c>
      <c r="B38" s="7" t="s">
        <v>49</v>
      </c>
      <c r="C38" s="3" t="s">
        <v>10</v>
      </c>
      <c r="D38" s="37">
        <f>IF(D34=D36,D26,(D26-((D34-D36)*D30)))</f>
        <v>9518281.0691519976</v>
      </c>
      <c r="E38" s="10">
        <f>IF(E34=E36,E26,(E26-((E34-E36)*E30)))</f>
        <v>2080845.0935402249</v>
      </c>
    </row>
    <row r="39" spans="1:5">
      <c r="A39" s="3">
        <f t="shared" si="0"/>
        <v>31</v>
      </c>
      <c r="B39" s="7"/>
      <c r="C39" s="12"/>
      <c r="D39" s="12"/>
      <c r="E39" s="12"/>
    </row>
    <row r="40" spans="1:5">
      <c r="A40" s="3">
        <f t="shared" si="0"/>
        <v>32</v>
      </c>
      <c r="B40" s="7" t="s">
        <v>48</v>
      </c>
      <c r="C40" s="3" t="str">
        <f>"("&amp;A$30&amp;") x ("&amp;A36&amp;")"</f>
        <v>(22) x (28)</v>
      </c>
      <c r="D40" s="10"/>
      <c r="E40" s="10">
        <f>E30*E36</f>
        <v>4872785.8238081727</v>
      </c>
    </row>
    <row r="41" spans="1:5">
      <c r="A41" s="3">
        <f t="shared" si="0"/>
        <v>33</v>
      </c>
      <c r="B41" s="7"/>
      <c r="C41" s="12"/>
      <c r="D41" s="10"/>
      <c r="E41" s="10"/>
    </row>
    <row r="42" spans="1:5">
      <c r="A42" s="3">
        <f t="shared" si="0"/>
        <v>34</v>
      </c>
      <c r="B42" s="7" t="s">
        <v>47</v>
      </c>
      <c r="C42" s="3" t="str">
        <f>"("&amp;A40&amp;") / ("&amp;A28&amp;")"</f>
        <v>(32) / (20)</v>
      </c>
      <c r="D42" s="36"/>
      <c r="E42" s="36">
        <f>ROUND(E40/E28,5)</f>
        <v>4.8210000000000003E-2</v>
      </c>
    </row>
    <row r="43" spans="1:5">
      <c r="A43" s="3">
        <f t="shared" si="0"/>
        <v>35</v>
      </c>
      <c r="B43" s="7"/>
      <c r="C43" s="12"/>
      <c r="D43" s="10"/>
      <c r="E43" s="10"/>
    </row>
    <row r="44" spans="1:5">
      <c r="A44" s="3">
        <f t="shared" si="0"/>
        <v>36</v>
      </c>
      <c r="B44" s="12" t="s">
        <v>159</v>
      </c>
      <c r="C44" s="12"/>
      <c r="D44" s="10"/>
      <c r="E44" s="10"/>
    </row>
    <row r="45" spans="1:5">
      <c r="A45" s="3">
        <f t="shared" si="0"/>
        <v>37</v>
      </c>
      <c r="B45" s="35" t="s">
        <v>46</v>
      </c>
      <c r="C45" s="12"/>
      <c r="D45" s="10"/>
      <c r="E45" s="10"/>
    </row>
    <row r="46" spans="1:5">
      <c r="C46" s="12"/>
    </row>
    <row r="49" spans="3:3">
      <c r="C49" s="12"/>
    </row>
    <row r="52" spans="3:3">
      <c r="C52" s="1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46" sqref="F46"/>
    </sheetView>
  </sheetViews>
  <sheetFormatPr defaultRowHeight="15"/>
  <cols>
    <col min="1" max="1" width="6.42578125" customWidth="1"/>
    <col min="2" max="2" width="59.85546875" customWidth="1"/>
    <col min="3" max="3" width="17" bestFit="1" customWidth="1"/>
    <col min="4" max="5" width="19.7109375" customWidth="1"/>
  </cols>
  <sheetData>
    <row r="1" spans="1:5">
      <c r="A1" s="134" t="s">
        <v>44</v>
      </c>
      <c r="B1" s="134"/>
      <c r="C1" s="134"/>
      <c r="D1" s="134"/>
      <c r="E1" s="134"/>
    </row>
    <row r="2" spans="1:5">
      <c r="A2" s="134" t="s">
        <v>43</v>
      </c>
      <c r="B2" s="134"/>
      <c r="C2" s="134"/>
      <c r="D2" s="134"/>
      <c r="E2" s="134"/>
    </row>
    <row r="3" spans="1:5">
      <c r="A3" s="134" t="s">
        <v>95</v>
      </c>
      <c r="B3" s="134"/>
      <c r="C3" s="134"/>
      <c r="D3" s="134"/>
      <c r="E3" s="134"/>
    </row>
    <row r="4" spans="1:5">
      <c r="A4" s="134" t="s">
        <v>70</v>
      </c>
      <c r="B4" s="134"/>
      <c r="C4" s="134"/>
      <c r="D4" s="134"/>
      <c r="E4" s="134"/>
    </row>
    <row r="5" spans="1:5">
      <c r="A5" s="12"/>
      <c r="B5" s="12"/>
      <c r="C5" s="12"/>
      <c r="D5" s="12"/>
      <c r="E5" s="12"/>
    </row>
    <row r="6" spans="1:5">
      <c r="A6" s="12"/>
      <c r="B6" s="12"/>
      <c r="C6" s="12"/>
      <c r="D6" s="12"/>
      <c r="E6" s="12"/>
    </row>
    <row r="7" spans="1: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5">
      <c r="A9" s="3">
        <v>1</v>
      </c>
      <c r="B9" s="47"/>
      <c r="C9" s="3"/>
      <c r="D9" s="3"/>
      <c r="E9" s="3"/>
    </row>
    <row r="10" spans="1:5">
      <c r="A10" s="3">
        <f t="shared" ref="A10:A37" si="0">A9+1</f>
        <v>2</v>
      </c>
      <c r="B10" s="7" t="s">
        <v>94</v>
      </c>
      <c r="C10" s="3" t="s">
        <v>89</v>
      </c>
      <c r="D10" s="5">
        <v>626364038.94210923</v>
      </c>
      <c r="E10" s="5">
        <v>436015761.77686995</v>
      </c>
    </row>
    <row r="11" spans="1:5">
      <c r="A11" s="3">
        <f t="shared" si="0"/>
        <v>3</v>
      </c>
      <c r="B11" s="7"/>
      <c r="C11" s="3"/>
      <c r="D11" s="7"/>
      <c r="E11" s="7"/>
    </row>
    <row r="12" spans="1:5">
      <c r="A12" s="3">
        <f t="shared" si="0"/>
        <v>4</v>
      </c>
      <c r="B12" s="7" t="s">
        <v>93</v>
      </c>
      <c r="C12" s="3" t="s">
        <v>56</v>
      </c>
      <c r="D12" s="43">
        <f>'JAP-23 Page 1'!P32</f>
        <v>5517149.3026181385</v>
      </c>
      <c r="E12" s="43">
        <f>'JAP-23 Page 2'!P32</f>
        <v>-691522.02382326196</v>
      </c>
    </row>
    <row r="13" spans="1:5">
      <c r="A13" s="3">
        <f t="shared" si="0"/>
        <v>5</v>
      </c>
      <c r="B13" s="7"/>
      <c r="C13" s="3"/>
      <c r="D13" s="7"/>
      <c r="E13" s="7"/>
    </row>
    <row r="14" spans="1:5">
      <c r="A14" s="3">
        <f t="shared" si="0"/>
        <v>6</v>
      </c>
      <c r="B14" s="7" t="s">
        <v>92</v>
      </c>
      <c r="C14" s="3" t="s">
        <v>91</v>
      </c>
      <c r="D14" s="5">
        <f>D10-D12</f>
        <v>620846889.63949108</v>
      </c>
      <c r="E14" s="5">
        <f>E10-E12</f>
        <v>436707283.80069321</v>
      </c>
    </row>
    <row r="15" spans="1:5">
      <c r="A15" s="3">
        <f t="shared" si="0"/>
        <v>7</v>
      </c>
      <c r="B15" s="7"/>
      <c r="C15" s="3"/>
      <c r="D15" s="7"/>
      <c r="E15" s="7"/>
    </row>
    <row r="16" spans="1:5">
      <c r="A16" s="3">
        <f t="shared" si="0"/>
        <v>8</v>
      </c>
      <c r="B16" s="7" t="s">
        <v>90</v>
      </c>
      <c r="C16" s="3" t="s">
        <v>89</v>
      </c>
      <c r="D16" s="58">
        <v>555530762.32551038</v>
      </c>
      <c r="E16" s="58">
        <v>544431712.71522951</v>
      </c>
    </row>
    <row r="17" spans="1:5">
      <c r="A17" s="3">
        <f t="shared" si="0"/>
        <v>9</v>
      </c>
      <c r="B17" s="7"/>
      <c r="C17" s="3"/>
      <c r="D17" s="7"/>
      <c r="E17" s="7"/>
    </row>
    <row r="18" spans="1:5">
      <c r="A18" s="3">
        <f t="shared" si="0"/>
        <v>10</v>
      </c>
      <c r="B18" s="7" t="s">
        <v>88</v>
      </c>
      <c r="C18" s="3" t="s">
        <v>87</v>
      </c>
      <c r="D18" s="53">
        <f>ROUND(D10/D16,5)</f>
        <v>1.12751</v>
      </c>
      <c r="E18" s="53">
        <f>ROUND(E10/E16,5)</f>
        <v>0.80086000000000002</v>
      </c>
    </row>
    <row r="19" spans="1:5">
      <c r="A19" s="3">
        <f t="shared" si="0"/>
        <v>11</v>
      </c>
      <c r="B19" s="7"/>
      <c r="C19" s="3"/>
      <c r="D19" s="53"/>
      <c r="E19" s="53"/>
    </row>
    <row r="20" spans="1:5">
      <c r="A20" s="3">
        <f t="shared" si="0"/>
        <v>12</v>
      </c>
      <c r="B20" s="7" t="s">
        <v>86</v>
      </c>
      <c r="C20" s="3" t="s">
        <v>6</v>
      </c>
      <c r="D20" s="57">
        <v>2.1059999999999968E-2</v>
      </c>
      <c r="E20" s="57">
        <v>-2.2499999999999742E-3</v>
      </c>
    </row>
    <row r="21" spans="1:5">
      <c r="A21" s="3">
        <f t="shared" si="0"/>
        <v>13</v>
      </c>
      <c r="B21" s="7"/>
      <c r="C21" s="3"/>
      <c r="D21" s="53"/>
      <c r="E21" s="53"/>
    </row>
    <row r="22" spans="1:5">
      <c r="A22" s="3">
        <f t="shared" si="0"/>
        <v>14</v>
      </c>
      <c r="B22" s="7" t="s">
        <v>85</v>
      </c>
      <c r="C22" s="3" t="s">
        <v>84</v>
      </c>
      <c r="D22" s="53">
        <f>D18+D20</f>
        <v>1.1485699999999999</v>
      </c>
      <c r="E22" s="53">
        <f>E18+E20</f>
        <v>0.79861000000000004</v>
      </c>
    </row>
    <row r="23" spans="1:5">
      <c r="A23" s="3">
        <f t="shared" si="0"/>
        <v>15</v>
      </c>
      <c r="B23" s="7"/>
      <c r="C23" s="3"/>
      <c r="D23" s="53"/>
      <c r="E23" s="53"/>
    </row>
    <row r="24" spans="1:5">
      <c r="A24" s="3">
        <f t="shared" si="0"/>
        <v>16</v>
      </c>
      <c r="B24" s="7" t="s">
        <v>83</v>
      </c>
      <c r="C24" s="3" t="s">
        <v>82</v>
      </c>
      <c r="D24" s="53">
        <f>'JAP-23 Page 3'!D34</f>
        <v>5.2300000000000013E-2</v>
      </c>
      <c r="E24" s="53">
        <f>'JAP-23 Page 3'!E34</f>
        <v>8.9200000000000113E-3</v>
      </c>
    </row>
    <row r="25" spans="1:5">
      <c r="A25" s="3">
        <f t="shared" si="0"/>
        <v>17</v>
      </c>
      <c r="B25" s="7"/>
      <c r="C25" s="3"/>
      <c r="D25" s="7"/>
      <c r="E25" s="7"/>
    </row>
    <row r="26" spans="1:5">
      <c r="A26" s="3">
        <f t="shared" si="0"/>
        <v>18</v>
      </c>
      <c r="B26" s="7" t="s">
        <v>81</v>
      </c>
      <c r="C26" s="3" t="s">
        <v>80</v>
      </c>
      <c r="D26" s="13">
        <f>D24-D20</f>
        <v>3.1240000000000046E-2</v>
      </c>
      <c r="E26" s="13">
        <f>E24-E20</f>
        <v>1.1169999999999985E-2</v>
      </c>
    </row>
    <row r="27" spans="1:5">
      <c r="A27" s="3">
        <f t="shared" si="0"/>
        <v>19</v>
      </c>
      <c r="B27" s="7"/>
      <c r="C27" s="3"/>
      <c r="D27" s="7"/>
      <c r="E27" s="7"/>
    </row>
    <row r="28" spans="1:5">
      <c r="A28" s="3">
        <f t="shared" si="0"/>
        <v>20</v>
      </c>
      <c r="B28" s="7" t="s">
        <v>79</v>
      </c>
      <c r="C28" s="3" t="s">
        <v>78</v>
      </c>
      <c r="D28" s="9">
        <f>D26/D22</f>
        <v>2.7199038804774676E-2</v>
      </c>
      <c r="E28" s="9">
        <f>E26/E22</f>
        <v>1.3986802068594163E-2</v>
      </c>
    </row>
    <row r="29" spans="1:5">
      <c r="A29" s="3">
        <f t="shared" si="0"/>
        <v>21</v>
      </c>
      <c r="B29" s="7"/>
      <c r="C29" s="3"/>
      <c r="D29" s="7"/>
      <c r="E29" s="7"/>
    </row>
    <row r="30" spans="1:5">
      <c r="A30" s="3">
        <f t="shared" si="0"/>
        <v>22</v>
      </c>
      <c r="B30" s="7" t="s">
        <v>77</v>
      </c>
      <c r="C30" s="3" t="s">
        <v>10</v>
      </c>
      <c r="D30" s="56">
        <f>IF(D28&gt;3%,D28-3%,0)</f>
        <v>0</v>
      </c>
      <c r="E30" s="56">
        <f>IF(E28&gt;3%,E28-3%,0)</f>
        <v>0</v>
      </c>
    </row>
    <row r="31" spans="1:5">
      <c r="A31" s="3">
        <f t="shared" si="0"/>
        <v>23</v>
      </c>
      <c r="B31" s="7"/>
      <c r="C31" s="3"/>
      <c r="D31" s="7"/>
      <c r="E31" s="7"/>
    </row>
    <row r="32" spans="1:5">
      <c r="A32" s="3">
        <f t="shared" si="0"/>
        <v>24</v>
      </c>
      <c r="B32" s="7" t="s">
        <v>76</v>
      </c>
      <c r="C32" s="3" t="s">
        <v>75</v>
      </c>
      <c r="D32" s="55">
        <f>D30*D22</f>
        <v>0</v>
      </c>
      <c r="E32" s="55">
        <f>E30*E22</f>
        <v>0</v>
      </c>
    </row>
    <row r="33" spans="1:5">
      <c r="A33" s="3">
        <f t="shared" si="0"/>
        <v>25</v>
      </c>
      <c r="B33" s="12"/>
      <c r="C33" s="12"/>
      <c r="D33" s="54"/>
      <c r="E33" s="54"/>
    </row>
    <row r="34" spans="1:5">
      <c r="A34" s="3">
        <f t="shared" si="0"/>
        <v>26</v>
      </c>
      <c r="B34" s="7" t="s">
        <v>74</v>
      </c>
      <c r="C34" s="3" t="s">
        <v>73</v>
      </c>
      <c r="D34" s="53">
        <f>D24-D32</f>
        <v>5.2300000000000013E-2</v>
      </c>
      <c r="E34" s="53">
        <f>E24-E32</f>
        <v>8.9200000000000113E-3</v>
      </c>
    </row>
    <row r="35" spans="1:5">
      <c r="A35" s="3">
        <f t="shared" si="0"/>
        <v>27</v>
      </c>
      <c r="B35" s="52"/>
      <c r="C35" s="52"/>
      <c r="D35" s="52"/>
      <c r="E35" s="52"/>
    </row>
    <row r="36" spans="1:5">
      <c r="A36" s="3">
        <f t="shared" si="0"/>
        <v>28</v>
      </c>
      <c r="B36" s="12" t="str">
        <f>'JAP-23 Page 3'!B44</f>
        <v>* Includes Schedules 31, 31T, 41, 41T, 85, 85T, 86, 86T, 87 and 87T.  Rates for special contract customers are governed by thier contracts.</v>
      </c>
      <c r="C36" s="52"/>
      <c r="D36" s="52"/>
      <c r="E36" s="52"/>
    </row>
    <row r="37" spans="1:5">
      <c r="A37" s="3">
        <f t="shared" si="0"/>
        <v>29</v>
      </c>
      <c r="B37" s="12" t="s">
        <v>72</v>
      </c>
    </row>
    <row r="39" spans="1:5">
      <c r="D39" s="5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5"/>
  <sheetViews>
    <sheetView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5"/>
  <cols>
    <col min="1" max="1" width="5.5703125" bestFit="1" customWidth="1"/>
    <col min="2" max="2" width="3" customWidth="1"/>
    <col min="3" max="3" width="22" bestFit="1" customWidth="1"/>
    <col min="4" max="4" width="8.42578125" bestFit="1" customWidth="1"/>
    <col min="5" max="5" width="13.28515625" bestFit="1" customWidth="1"/>
    <col min="6" max="6" width="10.7109375" bestFit="1" customWidth="1"/>
    <col min="7" max="7" width="16" bestFit="1" customWidth="1"/>
    <col min="8" max="8" width="2.42578125" customWidth="1"/>
    <col min="9" max="9" width="12.5703125" bestFit="1" customWidth="1"/>
    <col min="10" max="10" width="2.42578125" customWidth="1"/>
    <col min="11" max="11" width="10" bestFit="1" customWidth="1"/>
    <col min="12" max="12" width="16" bestFit="1" customWidth="1"/>
    <col min="13" max="13" width="2.42578125" customWidth="1"/>
    <col min="14" max="14" width="11.5703125" bestFit="1" customWidth="1"/>
    <col min="15" max="15" width="7.85546875" bestFit="1" customWidth="1"/>
    <col min="16" max="16" width="2.42578125" customWidth="1"/>
    <col min="17" max="17" width="14.85546875" bestFit="1" customWidth="1"/>
  </cols>
  <sheetData>
    <row r="1" spans="1:17">
      <c r="A1" s="63"/>
      <c r="B1" s="135" t="s">
        <v>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>
      <c r="A2" s="63"/>
      <c r="B2" s="135" t="s">
        <v>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>
      <c r="A3" s="63"/>
      <c r="B3" s="135" t="s">
        <v>146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>
      <c r="A4" s="63"/>
      <c r="B4" s="135" t="s">
        <v>70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63"/>
      <c r="B5" s="124"/>
      <c r="C5" s="124"/>
      <c r="D5" s="124"/>
      <c r="E5" s="124"/>
      <c r="F5" s="124"/>
      <c r="G5" s="124"/>
      <c r="H5" s="123"/>
      <c r="I5" s="123"/>
      <c r="J5" s="123"/>
      <c r="K5" s="123"/>
      <c r="L5" s="123"/>
      <c r="M5" s="123"/>
      <c r="N5" s="123"/>
      <c r="O5" s="123"/>
      <c r="P5" s="123"/>
      <c r="Q5" s="122"/>
    </row>
    <row r="6" spans="1:17">
      <c r="A6" s="121" t="s">
        <v>145</v>
      </c>
      <c r="B6" s="63"/>
      <c r="C6" s="99"/>
      <c r="D6" s="99"/>
      <c r="E6" s="102" t="s">
        <v>144</v>
      </c>
      <c r="F6" s="118" t="s">
        <v>143</v>
      </c>
      <c r="G6" s="119"/>
      <c r="H6" s="120"/>
      <c r="I6" s="103" t="s">
        <v>142</v>
      </c>
      <c r="J6" s="103"/>
      <c r="K6" s="118" t="s">
        <v>141</v>
      </c>
      <c r="L6" s="119"/>
      <c r="M6" s="111"/>
      <c r="N6" s="118" t="s">
        <v>140</v>
      </c>
      <c r="O6" s="118"/>
      <c r="P6" s="117"/>
      <c r="Q6" s="99" t="s">
        <v>139</v>
      </c>
    </row>
    <row r="7" spans="1:17">
      <c r="A7" s="48" t="s">
        <v>138</v>
      </c>
      <c r="B7" s="116"/>
      <c r="C7" s="107" t="s">
        <v>137</v>
      </c>
      <c r="D7" s="107" t="s">
        <v>136</v>
      </c>
      <c r="E7" s="113" t="s">
        <v>135</v>
      </c>
      <c r="F7" s="107" t="s">
        <v>133</v>
      </c>
      <c r="G7" s="112" t="s">
        <v>132</v>
      </c>
      <c r="H7" s="115"/>
      <c r="I7" s="114" t="s">
        <v>134</v>
      </c>
      <c r="J7" s="103"/>
      <c r="K7" s="113" t="s">
        <v>133</v>
      </c>
      <c r="L7" s="112" t="s">
        <v>132</v>
      </c>
      <c r="M7" s="111"/>
      <c r="N7" s="110" t="s">
        <v>131</v>
      </c>
      <c r="O7" s="109" t="s">
        <v>130</v>
      </c>
      <c r="P7" s="108"/>
      <c r="Q7" s="107" t="s">
        <v>129</v>
      </c>
    </row>
    <row r="8" spans="1:17">
      <c r="A8" s="106"/>
      <c r="B8" s="66"/>
      <c r="C8" s="99" t="s">
        <v>37</v>
      </c>
      <c r="D8" s="99" t="s">
        <v>36</v>
      </c>
      <c r="E8" s="105" t="s">
        <v>35</v>
      </c>
      <c r="F8" s="99" t="s">
        <v>34</v>
      </c>
      <c r="G8" s="105" t="s">
        <v>33</v>
      </c>
      <c r="H8" s="104"/>
      <c r="I8" s="103" t="s">
        <v>32</v>
      </c>
      <c r="J8" s="103"/>
      <c r="K8" s="102" t="s">
        <v>31</v>
      </c>
      <c r="L8" s="101" t="s">
        <v>30</v>
      </c>
      <c r="M8" s="100"/>
      <c r="N8" s="99" t="s">
        <v>128</v>
      </c>
      <c r="O8" s="99" t="s">
        <v>28</v>
      </c>
      <c r="P8" s="99"/>
      <c r="Q8" s="99" t="s">
        <v>27</v>
      </c>
    </row>
    <row r="9" spans="1:17">
      <c r="A9" s="3">
        <v>1</v>
      </c>
      <c r="B9" s="87" t="s">
        <v>127</v>
      </c>
      <c r="C9" s="67"/>
      <c r="D9" s="71"/>
      <c r="E9" s="84"/>
      <c r="F9" s="84"/>
      <c r="G9" s="89"/>
      <c r="H9" s="95"/>
      <c r="I9" s="64"/>
      <c r="J9" s="95"/>
      <c r="K9" s="84"/>
      <c r="L9" s="89"/>
      <c r="M9" s="67"/>
      <c r="N9" s="67"/>
      <c r="O9" s="68"/>
      <c r="P9" s="67"/>
      <c r="Q9" s="67"/>
    </row>
    <row r="10" spans="1:17">
      <c r="A10" s="3">
        <f t="shared" ref="A10:A41" si="0">A9+1</f>
        <v>2</v>
      </c>
      <c r="B10" s="67"/>
      <c r="C10" s="72" t="s">
        <v>125</v>
      </c>
      <c r="D10" s="72" t="s">
        <v>99</v>
      </c>
      <c r="E10" s="77">
        <v>202815693</v>
      </c>
      <c r="F10" s="76">
        <v>0.30537999999999998</v>
      </c>
      <c r="G10" s="98">
        <f>ROUND($E10*F10,2)</f>
        <v>61935856.329999998</v>
      </c>
      <c r="H10" s="95"/>
      <c r="I10" s="64">
        <f>'JAP-23 Page 3'!$E$42</f>
        <v>4.8210000000000003E-2</v>
      </c>
      <c r="J10" s="95"/>
      <c r="K10" s="83">
        <f>ROUND(F10*(1+I10),5)</f>
        <v>0.3201</v>
      </c>
      <c r="L10" s="98">
        <f>ROUND($E10*K10,2)</f>
        <v>64921303.329999998</v>
      </c>
      <c r="M10" s="67"/>
      <c r="N10" s="61">
        <f>L10-G10</f>
        <v>2985447</v>
      </c>
      <c r="O10" s="60">
        <f>IF(G10&lt;&gt;0,N10/G10,0)</f>
        <v>4.820223981554822E-2</v>
      </c>
      <c r="P10" s="74"/>
      <c r="Q10" s="82">
        <f>K10-F10</f>
        <v>1.4720000000000011E-2</v>
      </c>
    </row>
    <row r="11" spans="1:17">
      <c r="A11" s="3">
        <f t="shared" si="0"/>
        <v>3</v>
      </c>
      <c r="B11" s="67"/>
      <c r="C11" s="72"/>
      <c r="D11" s="72"/>
      <c r="E11" s="84"/>
      <c r="F11" s="77"/>
      <c r="G11" s="98"/>
      <c r="H11" s="95"/>
      <c r="I11" s="64"/>
      <c r="J11" s="95"/>
      <c r="K11" s="77"/>
      <c r="L11" s="98"/>
      <c r="M11" s="67"/>
      <c r="N11" s="67"/>
      <c r="O11" s="68"/>
      <c r="P11" s="67"/>
      <c r="Q11" s="67"/>
    </row>
    <row r="12" spans="1:17">
      <c r="A12" s="3">
        <f t="shared" si="0"/>
        <v>4</v>
      </c>
      <c r="B12" s="94" t="s">
        <v>126</v>
      </c>
      <c r="C12" s="67"/>
      <c r="D12" s="71"/>
      <c r="E12" s="84"/>
      <c r="F12" s="84"/>
      <c r="G12" s="89"/>
      <c r="H12" s="95"/>
      <c r="I12" s="64"/>
      <c r="J12" s="95"/>
      <c r="K12" s="84"/>
      <c r="L12" s="89"/>
      <c r="M12" s="67"/>
      <c r="N12" s="72"/>
      <c r="O12" s="68"/>
      <c r="P12" s="67"/>
      <c r="Q12" s="67"/>
    </row>
    <row r="13" spans="1:17">
      <c r="A13" s="3">
        <f t="shared" si="0"/>
        <v>5</v>
      </c>
      <c r="B13" s="72"/>
      <c r="C13" s="72" t="s">
        <v>125</v>
      </c>
      <c r="D13" s="72" t="s">
        <v>99</v>
      </c>
      <c r="E13" s="77">
        <v>0</v>
      </c>
      <c r="F13" s="76">
        <f>F10</f>
        <v>0.30537999999999998</v>
      </c>
      <c r="G13" s="98">
        <f>ROUND($E13*F13,2)</f>
        <v>0</v>
      </c>
      <c r="H13" s="95"/>
      <c r="I13" s="64">
        <f>'JAP-23 Page 3'!$E$42</f>
        <v>4.8210000000000003E-2</v>
      </c>
      <c r="J13" s="95"/>
      <c r="K13" s="83">
        <f>ROUND(F13*(1+I13),5)</f>
        <v>0.3201</v>
      </c>
      <c r="L13" s="98">
        <f>ROUND($E13*K13,2)</f>
        <v>0</v>
      </c>
      <c r="M13" s="67"/>
      <c r="N13" s="61">
        <f>L13-G13</f>
        <v>0</v>
      </c>
      <c r="O13" s="60">
        <f>IF(G13&lt;&gt;0,N13/G13,0)</f>
        <v>0</v>
      </c>
      <c r="P13" s="74"/>
      <c r="Q13" s="82">
        <f>K13-F13</f>
        <v>1.4720000000000011E-2</v>
      </c>
    </row>
    <row r="14" spans="1:17">
      <c r="A14" s="3">
        <f t="shared" si="0"/>
        <v>6</v>
      </c>
      <c r="B14" s="72"/>
      <c r="C14" s="81" t="s">
        <v>110</v>
      </c>
      <c r="D14" s="72"/>
      <c r="E14" s="77"/>
      <c r="F14" s="76">
        <f>-F80</f>
        <v>-5.3699999999999998E-3</v>
      </c>
      <c r="G14" s="98">
        <f>ROUND($E14*F14,2)</f>
        <v>0</v>
      </c>
      <c r="H14" s="95"/>
      <c r="I14" s="64">
        <f>'JAP-23 Page 3'!$E$42</f>
        <v>4.8210000000000003E-2</v>
      </c>
      <c r="J14" s="95"/>
      <c r="K14" s="83">
        <f>ROUND(F14*(1+I14),5)</f>
        <v>-5.6299999999999996E-3</v>
      </c>
      <c r="L14" s="98">
        <f>ROUND($E14*K14,2)</f>
        <v>0</v>
      </c>
      <c r="M14" s="67"/>
      <c r="N14" s="61">
        <f>L14-G14</f>
        <v>0</v>
      </c>
      <c r="O14" s="60">
        <f>IF(G14&lt;&gt;0,N14/G14,0)</f>
        <v>0</v>
      </c>
      <c r="P14" s="74"/>
      <c r="Q14" s="82">
        <f>K14-F14</f>
        <v>-2.5999999999999981E-4</v>
      </c>
    </row>
    <row r="15" spans="1:17">
      <c r="A15" s="3">
        <f t="shared" si="0"/>
        <v>7</v>
      </c>
      <c r="B15" s="67"/>
      <c r="C15" s="78" t="s">
        <v>97</v>
      </c>
      <c r="D15" s="71"/>
      <c r="E15" s="77"/>
      <c r="F15" s="77"/>
      <c r="G15" s="97">
        <f>SUM(G13:G14)</f>
        <v>0</v>
      </c>
      <c r="H15" s="95"/>
      <c r="I15" s="64"/>
      <c r="J15" s="95"/>
      <c r="K15" s="77"/>
      <c r="L15" s="97">
        <f>SUM(L13:L14)</f>
        <v>0</v>
      </c>
      <c r="M15" s="67"/>
      <c r="N15" s="61">
        <f>L15-G15</f>
        <v>0</v>
      </c>
      <c r="O15" s="60">
        <f>IF(G15&lt;&gt;0,N15/G15,0)</f>
        <v>0</v>
      </c>
      <c r="P15" s="74"/>
      <c r="Q15" s="67"/>
    </row>
    <row r="16" spans="1:17">
      <c r="A16" s="3">
        <f t="shared" si="0"/>
        <v>8</v>
      </c>
      <c r="B16" s="72"/>
      <c r="C16" s="72"/>
      <c r="D16" s="72"/>
      <c r="E16" s="84"/>
      <c r="F16" s="96"/>
      <c r="G16" s="62"/>
      <c r="H16" s="95"/>
      <c r="I16" s="64"/>
      <c r="J16" s="95"/>
      <c r="K16" s="96"/>
      <c r="L16" s="62"/>
      <c r="M16" s="67"/>
      <c r="N16" s="67"/>
      <c r="O16" s="68"/>
      <c r="P16" s="67"/>
      <c r="Q16" s="67"/>
    </row>
    <row r="17" spans="1:17">
      <c r="A17" s="3">
        <f t="shared" si="0"/>
        <v>9</v>
      </c>
      <c r="B17" s="94" t="s">
        <v>124</v>
      </c>
      <c r="C17" s="67"/>
      <c r="D17" s="71"/>
      <c r="E17" s="84"/>
      <c r="F17" s="84"/>
      <c r="G17" s="89"/>
      <c r="H17" s="95"/>
      <c r="I17" s="64"/>
      <c r="J17" s="95"/>
      <c r="K17" s="84"/>
      <c r="L17" s="89"/>
      <c r="M17" s="67"/>
      <c r="N17" s="67"/>
      <c r="O17" s="68"/>
      <c r="P17" s="67"/>
      <c r="Q17" s="67"/>
    </row>
    <row r="18" spans="1:17">
      <c r="A18" s="3">
        <f t="shared" si="0"/>
        <v>10</v>
      </c>
      <c r="B18" s="67"/>
      <c r="C18" s="84" t="s">
        <v>108</v>
      </c>
      <c r="D18" s="72" t="s">
        <v>107</v>
      </c>
      <c r="E18" s="77">
        <v>4308674.33</v>
      </c>
      <c r="F18" s="69">
        <f>F39</f>
        <v>1.1499999999999999</v>
      </c>
      <c r="G18" s="89">
        <f>ROUND($E18*F18,2)</f>
        <v>4954975.4800000004</v>
      </c>
      <c r="H18" s="95"/>
      <c r="I18" s="64">
        <f>'JAP-23 Page 3'!$E$42</f>
        <v>4.8210000000000003E-2</v>
      </c>
      <c r="J18" s="95"/>
      <c r="K18" s="86">
        <f>ROUND(F18*(1+I18),2)</f>
        <v>1.21</v>
      </c>
      <c r="L18" s="89">
        <f>ROUND($E18*K18,2)</f>
        <v>5213495.9400000004</v>
      </c>
      <c r="M18" s="67"/>
      <c r="N18" s="61">
        <f>L18-G18</f>
        <v>258520.45999999996</v>
      </c>
      <c r="O18" s="60">
        <f>IF(G18&lt;&gt;0,N18/G18,0)</f>
        <v>5.2173913078576918E-2</v>
      </c>
      <c r="P18" s="74"/>
      <c r="Q18" s="85">
        <f>K18-F18</f>
        <v>6.0000000000000053E-2</v>
      </c>
    </row>
    <row r="19" spans="1:17">
      <c r="A19" s="3">
        <f t="shared" si="0"/>
        <v>11</v>
      </c>
      <c r="B19" s="67"/>
      <c r="C19" s="84"/>
      <c r="D19" s="72"/>
      <c r="E19" s="77"/>
      <c r="F19" s="69"/>
      <c r="G19" s="62"/>
      <c r="H19" s="95"/>
      <c r="I19" s="64"/>
      <c r="J19" s="95"/>
      <c r="K19" s="69"/>
      <c r="L19" s="62"/>
      <c r="M19" s="67"/>
      <c r="N19" s="67"/>
      <c r="O19" s="68"/>
      <c r="P19" s="67"/>
      <c r="Q19" s="67"/>
    </row>
    <row r="20" spans="1:17">
      <c r="A20" s="3">
        <f t="shared" si="0"/>
        <v>12</v>
      </c>
      <c r="B20" s="67"/>
      <c r="C20" s="84" t="s">
        <v>106</v>
      </c>
      <c r="D20" s="72"/>
      <c r="E20" s="77"/>
      <c r="F20" s="69"/>
      <c r="G20" s="62"/>
      <c r="H20" s="95"/>
      <c r="I20" s="64"/>
      <c r="J20" s="95"/>
      <c r="K20" s="69"/>
      <c r="L20" s="62"/>
      <c r="M20" s="67"/>
      <c r="N20" s="67"/>
      <c r="O20" s="68"/>
      <c r="P20" s="67"/>
      <c r="Q20" s="67"/>
    </row>
    <row r="21" spans="1:17">
      <c r="A21" s="3">
        <f t="shared" si="0"/>
        <v>13</v>
      </c>
      <c r="B21" s="67"/>
      <c r="C21" s="84" t="s">
        <v>122</v>
      </c>
      <c r="D21" s="72" t="s">
        <v>99</v>
      </c>
      <c r="E21" s="77">
        <v>18457758</v>
      </c>
      <c r="F21" s="76">
        <v>0.13761999999999999</v>
      </c>
      <c r="G21" s="89" t="s">
        <v>121</v>
      </c>
      <c r="H21" s="95"/>
      <c r="I21" s="64"/>
      <c r="J21" s="95"/>
      <c r="K21" s="83">
        <f>ROUND(F21*(1+I21),5)</f>
        <v>0.13761999999999999</v>
      </c>
      <c r="L21" s="89" t="s">
        <v>121</v>
      </c>
      <c r="M21" s="67"/>
      <c r="N21" s="67"/>
      <c r="O21" s="68"/>
      <c r="P21" s="67"/>
      <c r="Q21" s="82">
        <f>K21-F21</f>
        <v>0</v>
      </c>
    </row>
    <row r="22" spans="1:17">
      <c r="A22" s="3">
        <f t="shared" si="0"/>
        <v>14</v>
      </c>
      <c r="B22" s="67"/>
      <c r="C22" s="84" t="s">
        <v>120</v>
      </c>
      <c r="D22" s="72" t="s">
        <v>99</v>
      </c>
      <c r="E22" s="77">
        <v>32519670</v>
      </c>
      <c r="F22" s="76">
        <v>0.13761999999999999</v>
      </c>
      <c r="G22" s="89">
        <f>ROUND($E22*F22,2)</f>
        <v>4475356.99</v>
      </c>
      <c r="H22" s="95"/>
      <c r="I22" s="64">
        <f>'JAP-23 Page 3'!$E$42</f>
        <v>4.8210000000000003E-2</v>
      </c>
      <c r="J22" s="95"/>
      <c r="K22" s="83">
        <f>ROUND(F22*(1+I22),5)</f>
        <v>0.14424999999999999</v>
      </c>
      <c r="L22" s="89">
        <f>ROUND($E22*K22,2)</f>
        <v>4690962.4000000004</v>
      </c>
      <c r="M22" s="67"/>
      <c r="N22" s="61">
        <f>L22-G22</f>
        <v>215605.41000000015</v>
      </c>
      <c r="O22" s="60">
        <f>IF(G22&lt;&gt;0,N22/G22,0)</f>
        <v>4.8176136670607841E-2</v>
      </c>
      <c r="P22" s="74"/>
      <c r="Q22" s="82">
        <f>K22-F22</f>
        <v>6.629999999999997E-3</v>
      </c>
    </row>
    <row r="23" spans="1:17">
      <c r="A23" s="3">
        <f t="shared" si="0"/>
        <v>15</v>
      </c>
      <c r="B23" s="67"/>
      <c r="C23" s="84" t="s">
        <v>119</v>
      </c>
      <c r="D23" s="72" t="s">
        <v>99</v>
      </c>
      <c r="E23" s="77">
        <v>26996599</v>
      </c>
      <c r="F23" s="76">
        <v>0.11078</v>
      </c>
      <c r="G23" s="89">
        <f>ROUND($E23*F23,2)</f>
        <v>2990683.24</v>
      </c>
      <c r="H23" s="95"/>
      <c r="I23" s="64">
        <f>'JAP-23 Page 3'!$E$42</f>
        <v>4.8210000000000003E-2</v>
      </c>
      <c r="J23" s="95"/>
      <c r="K23" s="83">
        <f>ROUND(F23*(1+I23),5)</f>
        <v>0.11612</v>
      </c>
      <c r="L23" s="89">
        <f>ROUND($E23*K23,2)</f>
        <v>3134845.08</v>
      </c>
      <c r="M23" s="67"/>
      <c r="N23" s="61">
        <f>L23-G23</f>
        <v>144161.83999999985</v>
      </c>
      <c r="O23" s="60">
        <f>IF(G23&lt;&gt;0,N23/G23,0)</f>
        <v>4.8203647270915875E-2</v>
      </c>
      <c r="P23" s="74"/>
      <c r="Q23" s="82">
        <f>K23-F23</f>
        <v>5.3399999999999975E-3</v>
      </c>
    </row>
    <row r="24" spans="1:17">
      <c r="A24" s="3">
        <f t="shared" si="0"/>
        <v>16</v>
      </c>
      <c r="B24" s="67"/>
      <c r="C24" s="81" t="s">
        <v>98</v>
      </c>
      <c r="D24" s="71"/>
      <c r="E24" s="80">
        <f>SUM(E21:E23)</f>
        <v>77974027</v>
      </c>
      <c r="F24" s="77"/>
      <c r="G24" s="67"/>
      <c r="H24" s="95"/>
      <c r="I24" s="64"/>
      <c r="J24" s="95"/>
      <c r="K24" s="77"/>
      <c r="L24" s="67"/>
      <c r="M24" s="67"/>
      <c r="N24" s="67"/>
      <c r="O24" s="68"/>
      <c r="P24" s="67"/>
      <c r="Q24" s="67"/>
    </row>
    <row r="25" spans="1:17">
      <c r="A25" s="3">
        <f t="shared" si="0"/>
        <v>17</v>
      </c>
      <c r="B25" s="67"/>
      <c r="C25" s="78" t="s">
        <v>97</v>
      </c>
      <c r="D25" s="71"/>
      <c r="E25" s="77"/>
      <c r="F25" s="77"/>
      <c r="G25" s="88">
        <f>SUM(G18:G18,G22:G23)</f>
        <v>12421015.710000001</v>
      </c>
      <c r="H25" s="95"/>
      <c r="I25" s="64"/>
      <c r="J25" s="95"/>
      <c r="K25" s="77"/>
      <c r="L25" s="88">
        <f>SUM(L18:L18,L22:L23)</f>
        <v>13039303.42</v>
      </c>
      <c r="M25" s="67"/>
      <c r="N25" s="61">
        <f>L25-G25</f>
        <v>618287.70999999903</v>
      </c>
      <c r="O25" s="60">
        <f>IF(G25&lt;&gt;0,N25/G25,0)</f>
        <v>4.9777548345118307E-2</v>
      </c>
      <c r="P25" s="74"/>
      <c r="Q25" s="67"/>
    </row>
    <row r="26" spans="1:17">
      <c r="A26" s="3">
        <f t="shared" si="0"/>
        <v>18</v>
      </c>
      <c r="B26" s="67"/>
      <c r="C26" s="81"/>
      <c r="D26" s="71"/>
      <c r="E26" s="77"/>
      <c r="F26" s="77"/>
      <c r="G26" s="62"/>
      <c r="H26" s="95"/>
      <c r="I26" s="64"/>
      <c r="J26" s="95"/>
      <c r="K26" s="77"/>
      <c r="L26" s="62"/>
      <c r="M26" s="67"/>
      <c r="N26" s="67"/>
      <c r="O26" s="68"/>
      <c r="P26" s="67"/>
      <c r="Q26" s="67"/>
    </row>
    <row r="27" spans="1:17">
      <c r="A27" s="3">
        <f t="shared" si="0"/>
        <v>19</v>
      </c>
      <c r="B27" s="94" t="s">
        <v>123</v>
      </c>
      <c r="C27" s="79"/>
      <c r="D27" s="71"/>
      <c r="E27" s="84"/>
      <c r="F27" s="84"/>
      <c r="G27" s="89"/>
      <c r="H27" s="92"/>
      <c r="I27" s="64"/>
      <c r="J27" s="92"/>
      <c r="K27" s="84"/>
      <c r="L27" s="89"/>
      <c r="M27" s="79"/>
      <c r="N27" s="79"/>
      <c r="O27" s="91"/>
      <c r="P27" s="79"/>
      <c r="Q27" s="79"/>
    </row>
    <row r="28" spans="1:17">
      <c r="A28" s="3">
        <f t="shared" si="0"/>
        <v>20</v>
      </c>
      <c r="B28" s="84"/>
      <c r="C28" s="84" t="s">
        <v>108</v>
      </c>
      <c r="D28" s="72" t="s">
        <v>107</v>
      </c>
      <c r="E28" s="77">
        <v>512366</v>
      </c>
      <c r="F28" s="69">
        <f>F18</f>
        <v>1.1499999999999999</v>
      </c>
      <c r="G28" s="89">
        <f>ROUND($E28*F28,2)</f>
        <v>589220.9</v>
      </c>
      <c r="H28" s="92"/>
      <c r="I28" s="64">
        <f>'JAP-23 Page 3'!$E$42</f>
        <v>4.8210000000000003E-2</v>
      </c>
      <c r="J28" s="92"/>
      <c r="K28" s="86">
        <f>ROUND(F28*(1+I28),2)</f>
        <v>1.21</v>
      </c>
      <c r="L28" s="89">
        <f>ROUND($E28*K28,2)</f>
        <v>619962.86</v>
      </c>
      <c r="M28" s="79"/>
      <c r="N28" s="61">
        <f>L28-G28</f>
        <v>30741.959999999963</v>
      </c>
      <c r="O28" s="60">
        <f>IF(G28&lt;&gt;0,N28/G28,0)</f>
        <v>5.2173913043478196E-2</v>
      </c>
      <c r="P28" s="74"/>
      <c r="Q28" s="85">
        <f>K28-F28</f>
        <v>6.0000000000000053E-2</v>
      </c>
    </row>
    <row r="29" spans="1:17">
      <c r="A29" s="3">
        <f t="shared" si="0"/>
        <v>21</v>
      </c>
      <c r="B29" s="84"/>
      <c r="C29" s="84"/>
      <c r="D29" s="72"/>
      <c r="E29" s="77"/>
      <c r="F29" s="69"/>
      <c r="G29" s="62"/>
      <c r="H29" s="92"/>
      <c r="I29" s="64"/>
      <c r="J29" s="92"/>
      <c r="K29" s="69"/>
      <c r="L29" s="62"/>
      <c r="M29" s="79"/>
      <c r="N29" s="79"/>
      <c r="O29" s="91"/>
      <c r="P29" s="79"/>
      <c r="Q29" s="79"/>
    </row>
    <row r="30" spans="1:17">
      <c r="A30" s="3">
        <f t="shared" si="0"/>
        <v>22</v>
      </c>
      <c r="B30" s="84"/>
      <c r="C30" s="84" t="s">
        <v>106</v>
      </c>
      <c r="D30" s="72"/>
      <c r="E30" s="77"/>
      <c r="F30" s="69"/>
      <c r="G30" s="62"/>
      <c r="H30" s="92"/>
      <c r="I30" s="64"/>
      <c r="J30" s="92"/>
      <c r="K30" s="69"/>
      <c r="L30" s="62"/>
      <c r="M30" s="79"/>
      <c r="N30" s="79"/>
      <c r="O30" s="91"/>
      <c r="P30" s="79"/>
      <c r="Q30" s="79"/>
    </row>
    <row r="31" spans="1:17">
      <c r="A31" s="3">
        <f t="shared" si="0"/>
        <v>23</v>
      </c>
      <c r="B31" s="84"/>
      <c r="C31" s="84" t="s">
        <v>122</v>
      </c>
      <c r="D31" s="72" t="s">
        <v>99</v>
      </c>
      <c r="E31" s="77">
        <v>665953</v>
      </c>
      <c r="F31" s="76">
        <f>F21</f>
        <v>0.13761999999999999</v>
      </c>
      <c r="G31" s="89" t="s">
        <v>121</v>
      </c>
      <c r="H31" s="92"/>
      <c r="I31" s="64"/>
      <c r="J31" s="92"/>
      <c r="K31" s="83">
        <f>ROUND(F31*(1+I31),5)</f>
        <v>0.13761999999999999</v>
      </c>
      <c r="L31" s="89" t="s">
        <v>121</v>
      </c>
      <c r="M31" s="79"/>
      <c r="N31" s="79"/>
      <c r="O31" s="91"/>
      <c r="P31" s="79"/>
      <c r="Q31" s="82">
        <f>K31-F31</f>
        <v>0</v>
      </c>
    </row>
    <row r="32" spans="1:17">
      <c r="A32" s="3">
        <f t="shared" si="0"/>
        <v>24</v>
      </c>
      <c r="B32" s="84"/>
      <c r="C32" s="84" t="s">
        <v>120</v>
      </c>
      <c r="D32" s="72" t="s">
        <v>99</v>
      </c>
      <c r="E32" s="77">
        <v>2690154</v>
      </c>
      <c r="F32" s="76">
        <f>F22</f>
        <v>0.13761999999999999</v>
      </c>
      <c r="G32" s="89">
        <f>ROUND($E32*F32,2)</f>
        <v>370218.99</v>
      </c>
      <c r="H32" s="92"/>
      <c r="I32" s="64">
        <f>'JAP-23 Page 3'!$E$42</f>
        <v>4.8210000000000003E-2</v>
      </c>
      <c r="J32" s="92"/>
      <c r="K32" s="83">
        <f>ROUND(F32*(1+I32),5)</f>
        <v>0.14424999999999999</v>
      </c>
      <c r="L32" s="89">
        <f>ROUND($E32*K32,2)</f>
        <v>388054.71</v>
      </c>
      <c r="M32" s="79"/>
      <c r="N32" s="61">
        <f>L32-G32</f>
        <v>17835.72000000003</v>
      </c>
      <c r="O32" s="60">
        <f>IF(G32&lt;&gt;0,N32/G32,0)</f>
        <v>4.8176134887084075E-2</v>
      </c>
      <c r="P32" s="74"/>
      <c r="Q32" s="82">
        <f>K32-F32</f>
        <v>6.629999999999997E-3</v>
      </c>
    </row>
    <row r="33" spans="1:17">
      <c r="A33" s="3">
        <f t="shared" si="0"/>
        <v>25</v>
      </c>
      <c r="B33" s="84"/>
      <c r="C33" s="84" t="s">
        <v>119</v>
      </c>
      <c r="D33" s="72" t="s">
        <v>99</v>
      </c>
      <c r="E33" s="77">
        <v>7533376</v>
      </c>
      <c r="F33" s="76">
        <f>F23</f>
        <v>0.11078</v>
      </c>
      <c r="G33" s="89">
        <f>ROUND($E33*F33,2)</f>
        <v>834547.39</v>
      </c>
      <c r="H33" s="92"/>
      <c r="I33" s="64">
        <f>'JAP-23 Page 3'!$E$42</f>
        <v>4.8210000000000003E-2</v>
      </c>
      <c r="J33" s="92"/>
      <c r="K33" s="83">
        <f>ROUND(F33*(1+I33),5)</f>
        <v>0.11612</v>
      </c>
      <c r="L33" s="89">
        <f>ROUND($E33*K33,2)</f>
        <v>874775.62</v>
      </c>
      <c r="M33" s="79"/>
      <c r="N33" s="61">
        <f>L33-G33</f>
        <v>40228.229999999981</v>
      </c>
      <c r="O33" s="60">
        <f>IF(G33&lt;&gt;0,N33/G33,0)</f>
        <v>4.8203649645348456E-2</v>
      </c>
      <c r="P33" s="74"/>
      <c r="Q33" s="82">
        <f>K33-F33</f>
        <v>5.3399999999999975E-3</v>
      </c>
    </row>
    <row r="34" spans="1:17">
      <c r="A34" s="3">
        <f t="shared" si="0"/>
        <v>26</v>
      </c>
      <c r="B34" s="84"/>
      <c r="C34" s="81" t="s">
        <v>98</v>
      </c>
      <c r="D34" s="71"/>
      <c r="E34" s="80">
        <f>SUM(E31:E33)</f>
        <v>10889483</v>
      </c>
      <c r="F34" s="77"/>
      <c r="G34" s="84"/>
      <c r="H34" s="92"/>
      <c r="I34" s="64"/>
      <c r="J34" s="92"/>
      <c r="K34" s="77"/>
      <c r="L34" s="84"/>
      <c r="M34" s="79"/>
      <c r="N34" s="79"/>
      <c r="O34" s="91"/>
      <c r="P34" s="79"/>
      <c r="Q34" s="79"/>
    </row>
    <row r="35" spans="1:17">
      <c r="A35" s="3">
        <f t="shared" si="0"/>
        <v>27</v>
      </c>
      <c r="B35" s="84"/>
      <c r="C35" s="81" t="s">
        <v>110</v>
      </c>
      <c r="D35" s="72" t="s">
        <v>99</v>
      </c>
      <c r="E35" s="77">
        <f>E34</f>
        <v>10889483</v>
      </c>
      <c r="F35" s="93">
        <f>-F80</f>
        <v>-5.3699999999999998E-3</v>
      </c>
      <c r="G35" s="89">
        <f>ROUND($E35*F35,2)</f>
        <v>-58476.52</v>
      </c>
      <c r="H35" s="92"/>
      <c r="I35" s="64">
        <f>'JAP-23 Page 3'!$E$42</f>
        <v>4.8210000000000003E-2</v>
      </c>
      <c r="J35" s="92"/>
      <c r="K35" s="83">
        <f>ROUND(F35*(1+I35),5)</f>
        <v>-5.6299999999999996E-3</v>
      </c>
      <c r="L35" s="89">
        <f>ROUND($E35*K35,2)</f>
        <v>-61307.79</v>
      </c>
      <c r="M35" s="79"/>
      <c r="N35" s="61">
        <f>L35-G35</f>
        <v>-2831.2700000000041</v>
      </c>
      <c r="O35" s="60">
        <f>IF(G35&lt;&gt;0,N35/G35,0)</f>
        <v>4.8417210873697755E-2</v>
      </c>
      <c r="P35" s="74"/>
      <c r="Q35" s="82">
        <f>K35-F35</f>
        <v>-2.5999999999999981E-4</v>
      </c>
    </row>
    <row r="36" spans="1:17">
      <c r="A36" s="3">
        <f t="shared" si="0"/>
        <v>28</v>
      </c>
      <c r="B36" s="79"/>
      <c r="C36" s="78" t="s">
        <v>97</v>
      </c>
      <c r="D36" s="71"/>
      <c r="E36" s="77"/>
      <c r="F36" s="77"/>
      <c r="G36" s="88">
        <f>SUM(G28:G35)</f>
        <v>1735510.76</v>
      </c>
      <c r="H36" s="92"/>
      <c r="I36" s="64"/>
      <c r="J36" s="92"/>
      <c r="K36" s="77"/>
      <c r="L36" s="88">
        <f>SUM(L28:L35)</f>
        <v>1821485.4</v>
      </c>
      <c r="M36" s="79"/>
      <c r="N36" s="61">
        <f>L36-G36</f>
        <v>85974.639999999898</v>
      </c>
      <c r="O36" s="60">
        <f>IF(G36&lt;&gt;0,N36/G36,0)</f>
        <v>4.9538523172279206E-2</v>
      </c>
      <c r="P36" s="74"/>
      <c r="Q36" s="79"/>
    </row>
    <row r="37" spans="1:17">
      <c r="A37" s="3">
        <f t="shared" si="0"/>
        <v>29</v>
      </c>
      <c r="B37" s="84"/>
      <c r="C37" s="81"/>
      <c r="D37" s="71"/>
      <c r="E37" s="77"/>
      <c r="F37" s="77"/>
      <c r="G37" s="62"/>
      <c r="H37" s="92"/>
      <c r="I37" s="64"/>
      <c r="J37" s="92"/>
      <c r="K37" s="77"/>
      <c r="L37" s="62"/>
      <c r="M37" s="79"/>
      <c r="N37" s="79"/>
      <c r="O37" s="91"/>
      <c r="P37" s="79"/>
      <c r="Q37" s="79"/>
    </row>
    <row r="38" spans="1:17">
      <c r="A38" s="3">
        <f t="shared" si="0"/>
        <v>30</v>
      </c>
      <c r="B38" s="87" t="s">
        <v>118</v>
      </c>
      <c r="C38" s="67"/>
      <c r="D38" s="71"/>
      <c r="E38" s="77"/>
      <c r="F38" s="69"/>
      <c r="G38" s="90"/>
      <c r="H38" s="70"/>
      <c r="I38" s="64"/>
      <c r="J38" s="70"/>
      <c r="K38" s="69"/>
      <c r="L38" s="90"/>
      <c r="M38" s="67"/>
      <c r="N38" s="67"/>
      <c r="O38" s="68"/>
      <c r="P38" s="67"/>
      <c r="Q38" s="67"/>
    </row>
    <row r="39" spans="1:17">
      <c r="A39" s="3">
        <f t="shared" si="0"/>
        <v>31</v>
      </c>
      <c r="B39" s="67"/>
      <c r="C39" s="72" t="s">
        <v>108</v>
      </c>
      <c r="D39" s="72" t="s">
        <v>107</v>
      </c>
      <c r="E39" s="77">
        <v>101408</v>
      </c>
      <c r="F39" s="69">
        <v>1.1499999999999999</v>
      </c>
      <c r="G39" s="89">
        <f>ROUND($E39*F39,2)</f>
        <v>116619.2</v>
      </c>
      <c r="H39" s="70"/>
      <c r="I39" s="64">
        <f>'JAP-23 Page 3'!$E$42</f>
        <v>4.8210000000000003E-2</v>
      </c>
      <c r="J39" s="70"/>
      <c r="K39" s="86">
        <f>ROUND(F39*(1+I39),2)</f>
        <v>1.21</v>
      </c>
      <c r="L39" s="89">
        <f>ROUND($E39*K39,2)</f>
        <v>122703.67999999999</v>
      </c>
      <c r="M39" s="67"/>
      <c r="N39" s="61">
        <f>L39-G39</f>
        <v>6084.4799999999959</v>
      </c>
      <c r="O39" s="60">
        <f>IF(G39&lt;&gt;0,N39/G39,0)</f>
        <v>5.217391304347823E-2</v>
      </c>
      <c r="P39" s="74"/>
      <c r="Q39" s="85">
        <f>K39-F39</f>
        <v>6.0000000000000053E-2</v>
      </c>
    </row>
    <row r="40" spans="1:17">
      <c r="A40" s="3">
        <f t="shared" si="0"/>
        <v>32</v>
      </c>
      <c r="B40" s="67"/>
      <c r="C40" s="72" t="s">
        <v>110</v>
      </c>
      <c r="D40" s="72" t="s">
        <v>99</v>
      </c>
      <c r="E40" s="77">
        <v>17344756</v>
      </c>
      <c r="F40" s="76">
        <v>6.7999999999999996E-3</v>
      </c>
      <c r="G40" s="89">
        <f>ROUND($E40*F40,2)</f>
        <v>117944.34</v>
      </c>
      <c r="H40" s="70"/>
      <c r="I40" s="64">
        <f>'JAP-23 Page 3'!$E$42</f>
        <v>4.8210000000000003E-2</v>
      </c>
      <c r="J40" s="70"/>
      <c r="K40" s="83">
        <f>ROUND(F40*(1+I40),5)</f>
        <v>7.1300000000000001E-3</v>
      </c>
      <c r="L40" s="89">
        <f>ROUND($E40*K40,2)</f>
        <v>123668.11</v>
      </c>
      <c r="M40" s="67"/>
      <c r="N40" s="61">
        <f>L40-G40</f>
        <v>5723.7700000000041</v>
      </c>
      <c r="O40" s="60">
        <f>IF(G40&lt;&gt;0,N40/G40,0)</f>
        <v>4.8529416502733444E-2</v>
      </c>
      <c r="P40" s="74"/>
      <c r="Q40" s="82">
        <f>K40-F40</f>
        <v>3.3000000000000043E-4</v>
      </c>
    </row>
    <row r="41" spans="1:17">
      <c r="A41" s="3">
        <f t="shared" si="0"/>
        <v>33</v>
      </c>
      <c r="B41" s="67"/>
      <c r="C41" s="72"/>
      <c r="D41" s="72"/>
      <c r="E41" s="77"/>
      <c r="F41" s="76"/>
      <c r="G41" s="62"/>
      <c r="H41" s="70"/>
      <c r="I41" s="64"/>
      <c r="J41" s="70"/>
      <c r="K41" s="76"/>
      <c r="L41" s="62"/>
      <c r="M41" s="67"/>
      <c r="N41" s="67"/>
      <c r="O41" s="68"/>
      <c r="P41" s="67"/>
      <c r="Q41" s="67"/>
    </row>
    <row r="42" spans="1:17">
      <c r="A42" s="3">
        <f t="shared" ref="A42:A73" si="1">A41+1</f>
        <v>34</v>
      </c>
      <c r="B42" s="67"/>
      <c r="C42" s="72" t="s">
        <v>106</v>
      </c>
      <c r="D42" s="72"/>
      <c r="E42" s="77"/>
      <c r="F42" s="76"/>
      <c r="G42" s="62"/>
      <c r="H42" s="70"/>
      <c r="I42" s="64"/>
      <c r="J42" s="70"/>
      <c r="K42" s="76"/>
      <c r="L42" s="62"/>
      <c r="M42" s="67"/>
      <c r="N42" s="67"/>
      <c r="O42" s="68"/>
      <c r="P42" s="67"/>
      <c r="Q42" s="67"/>
    </row>
    <row r="43" spans="1:17">
      <c r="A43" s="3">
        <f t="shared" si="1"/>
        <v>35</v>
      </c>
      <c r="B43" s="67"/>
      <c r="C43" s="72" t="s">
        <v>105</v>
      </c>
      <c r="D43" s="72" t="s">
        <v>99</v>
      </c>
      <c r="E43" s="77">
        <v>8755957</v>
      </c>
      <c r="F43" s="76">
        <v>0.10172</v>
      </c>
      <c r="G43" s="89">
        <f>ROUND($E43*F43,2)</f>
        <v>890655.95</v>
      </c>
      <c r="H43" s="70"/>
      <c r="I43" s="64">
        <f>'JAP-23 Page 3'!$E$42</f>
        <v>4.8210000000000003E-2</v>
      </c>
      <c r="J43" s="70"/>
      <c r="K43" s="83">
        <f>ROUND(F43*(1+I43),5)</f>
        <v>0.10662000000000001</v>
      </c>
      <c r="L43" s="89">
        <f>ROUND($E43*K43,2)</f>
        <v>933560.14</v>
      </c>
      <c r="M43" s="67"/>
      <c r="N43" s="61">
        <f>L43-G43</f>
        <v>42904.190000000061</v>
      </c>
      <c r="O43" s="60">
        <f>IF(G43&lt;&gt;0,N43/G43,0)</f>
        <v>4.8171451613835917E-2</v>
      </c>
      <c r="P43" s="74"/>
      <c r="Q43" s="82">
        <f>K43-F43</f>
        <v>4.9000000000000016E-3</v>
      </c>
    </row>
    <row r="44" spans="1:17">
      <c r="A44" s="3">
        <f t="shared" si="1"/>
        <v>36</v>
      </c>
      <c r="B44" s="67"/>
      <c r="C44" s="72" t="s">
        <v>104</v>
      </c>
      <c r="D44" s="72" t="s">
        <v>99</v>
      </c>
      <c r="E44" s="77">
        <v>4051604</v>
      </c>
      <c r="F44" s="76">
        <v>5.033E-2</v>
      </c>
      <c r="G44" s="89">
        <f>ROUND($E44*F44,2)</f>
        <v>203917.23</v>
      </c>
      <c r="H44" s="70"/>
      <c r="I44" s="64">
        <f>'JAP-23 Page 3'!$E$42</f>
        <v>4.8210000000000003E-2</v>
      </c>
      <c r="J44" s="70"/>
      <c r="K44" s="83">
        <f>ROUND(F44*(1+I44),5)</f>
        <v>5.2760000000000001E-2</v>
      </c>
      <c r="L44" s="89">
        <f>ROUND($E44*K44,2)</f>
        <v>213762.63</v>
      </c>
      <c r="M44" s="67"/>
      <c r="N44" s="61">
        <f>L44-G44</f>
        <v>9845.3999999999942</v>
      </c>
      <c r="O44" s="60">
        <f>IF(G44&lt;&gt;0,N44/G44,0)</f>
        <v>4.8281354155310922E-2</v>
      </c>
      <c r="P44" s="74"/>
      <c r="Q44" s="82">
        <f>K44-F44</f>
        <v>2.4300000000000016E-3</v>
      </c>
    </row>
    <row r="45" spans="1:17">
      <c r="A45" s="3">
        <f t="shared" si="1"/>
        <v>37</v>
      </c>
      <c r="B45" s="67"/>
      <c r="C45" s="72" t="s">
        <v>117</v>
      </c>
      <c r="D45" s="72" t="s">
        <v>99</v>
      </c>
      <c r="E45" s="77">
        <v>4537195</v>
      </c>
      <c r="F45" s="76">
        <v>4.8160000000000001E-2</v>
      </c>
      <c r="G45" s="89">
        <f>ROUND($E45*F45,2)</f>
        <v>218511.31</v>
      </c>
      <c r="H45" s="70"/>
      <c r="I45" s="64">
        <f>'JAP-23 Page 3'!$E$42</f>
        <v>4.8210000000000003E-2</v>
      </c>
      <c r="J45" s="70"/>
      <c r="K45" s="83">
        <f>ROUND(F45*(1+I45),5)</f>
        <v>5.0479999999999997E-2</v>
      </c>
      <c r="L45" s="89">
        <f>ROUND($E45*K45,2)</f>
        <v>229037.6</v>
      </c>
      <c r="M45" s="67"/>
      <c r="N45" s="61">
        <f>L45-G45</f>
        <v>10526.290000000008</v>
      </c>
      <c r="O45" s="60">
        <f>IF(G45&lt;&gt;0,N45/G45,0)</f>
        <v>4.8172746756220575E-2</v>
      </c>
      <c r="P45" s="74"/>
      <c r="Q45" s="82">
        <f>K45-F45</f>
        <v>2.3199999999999957E-3</v>
      </c>
    </row>
    <row r="46" spans="1:17">
      <c r="A46" s="3">
        <f t="shared" si="1"/>
        <v>38</v>
      </c>
      <c r="B46" s="67"/>
      <c r="C46" s="81" t="s">
        <v>98</v>
      </c>
      <c r="D46" s="71"/>
      <c r="E46" s="80">
        <f>SUM(E43:E45)</f>
        <v>17344756</v>
      </c>
      <c r="F46" s="69"/>
      <c r="G46" s="67"/>
      <c r="H46" s="70"/>
      <c r="I46" s="64"/>
      <c r="J46" s="70"/>
      <c r="K46" s="69"/>
      <c r="L46" s="67"/>
      <c r="M46" s="67"/>
      <c r="N46" s="67"/>
      <c r="O46" s="68"/>
      <c r="P46" s="67"/>
      <c r="Q46" s="67"/>
    </row>
    <row r="47" spans="1:17">
      <c r="A47" s="3">
        <f t="shared" si="1"/>
        <v>39</v>
      </c>
      <c r="B47" s="67"/>
      <c r="C47" s="72"/>
      <c r="D47" s="71"/>
      <c r="E47" s="77"/>
      <c r="F47" s="69"/>
      <c r="G47" s="88">
        <f>SUM(G39:G45)</f>
        <v>1547648.03</v>
      </c>
      <c r="H47" s="70"/>
      <c r="I47" s="64"/>
      <c r="J47" s="70"/>
      <c r="K47" s="69"/>
      <c r="L47" s="88">
        <f>SUM(L39:L45)</f>
        <v>1622732.1600000001</v>
      </c>
      <c r="M47" s="67"/>
      <c r="N47" s="61">
        <f>L47-G47</f>
        <v>75084.130000000121</v>
      </c>
      <c r="O47" s="60">
        <f>IF(G47&lt;&gt;0,N47/G47,0)</f>
        <v>4.8514990840650064E-2</v>
      </c>
      <c r="P47" s="74"/>
      <c r="Q47" s="67"/>
    </row>
    <row r="48" spans="1:17">
      <c r="A48" s="3">
        <f t="shared" si="1"/>
        <v>40</v>
      </c>
      <c r="B48" s="67"/>
      <c r="C48" s="71"/>
      <c r="D48" s="71"/>
      <c r="E48" s="77"/>
      <c r="F48" s="69"/>
      <c r="G48" s="62"/>
      <c r="H48" s="70"/>
      <c r="I48" s="64"/>
      <c r="J48" s="70"/>
      <c r="K48" s="69"/>
      <c r="L48" s="62"/>
      <c r="M48" s="67"/>
      <c r="N48" s="67"/>
      <c r="O48" s="68"/>
      <c r="P48" s="67"/>
      <c r="Q48" s="67"/>
    </row>
    <row r="49" spans="1:17">
      <c r="A49" s="3">
        <f t="shared" si="1"/>
        <v>41</v>
      </c>
      <c r="B49" s="87" t="s">
        <v>116</v>
      </c>
      <c r="C49" s="67"/>
      <c r="D49" s="71"/>
      <c r="E49" s="77"/>
      <c r="F49" s="69"/>
      <c r="G49" s="90"/>
      <c r="H49" s="70"/>
      <c r="I49" s="64"/>
      <c r="J49" s="70"/>
      <c r="K49" s="69"/>
      <c r="L49" s="90"/>
      <c r="M49" s="67"/>
      <c r="N49" s="67"/>
      <c r="O49" s="68"/>
      <c r="P49" s="67"/>
      <c r="Q49" s="67"/>
    </row>
    <row r="50" spans="1:17">
      <c r="A50" s="3">
        <f t="shared" si="1"/>
        <v>42</v>
      </c>
      <c r="B50" s="67"/>
      <c r="C50" s="72"/>
      <c r="D50" s="72" t="s">
        <v>107</v>
      </c>
      <c r="E50" s="77">
        <v>665050</v>
      </c>
      <c r="F50" s="69">
        <f>F39</f>
        <v>1.1499999999999999</v>
      </c>
      <c r="G50" s="89">
        <f>ROUND($E50*F50,2)</f>
        <v>764807.5</v>
      </c>
      <c r="H50" s="70"/>
      <c r="I50" s="64">
        <f>'JAP-23 Page 3'!$E$42</f>
        <v>4.8210000000000003E-2</v>
      </c>
      <c r="J50" s="70"/>
      <c r="K50" s="86">
        <f>ROUND(F50*(1+I50),2)</f>
        <v>1.21</v>
      </c>
      <c r="L50" s="89">
        <f>ROUND($E50*K50,2)</f>
        <v>804710.5</v>
      </c>
      <c r="M50" s="67"/>
      <c r="N50" s="61">
        <f>L50-G50</f>
        <v>39903</v>
      </c>
      <c r="O50" s="60">
        <f>IF(G50&lt;&gt;0,N50/G50,0)</f>
        <v>5.2173913043478258E-2</v>
      </c>
      <c r="P50" s="74"/>
      <c r="Q50" s="85">
        <f>K50-F50</f>
        <v>6.0000000000000053E-2</v>
      </c>
    </row>
    <row r="51" spans="1:17">
      <c r="A51" s="3">
        <f t="shared" si="1"/>
        <v>43</v>
      </c>
      <c r="B51" s="67"/>
      <c r="C51" s="72"/>
      <c r="D51" s="72"/>
      <c r="E51" s="77"/>
      <c r="F51" s="76"/>
      <c r="G51" s="62"/>
      <c r="H51" s="70"/>
      <c r="I51" s="64"/>
      <c r="J51" s="70"/>
      <c r="K51" s="76"/>
      <c r="L51" s="62"/>
      <c r="M51" s="67"/>
      <c r="N51" s="67"/>
      <c r="O51" s="68"/>
      <c r="P51" s="67"/>
      <c r="Q51" s="67"/>
    </row>
    <row r="52" spans="1:17">
      <c r="A52" s="3">
        <f t="shared" si="1"/>
        <v>44</v>
      </c>
      <c r="B52" s="67"/>
      <c r="C52" s="72" t="s">
        <v>106</v>
      </c>
      <c r="D52" s="72"/>
      <c r="E52" s="77"/>
      <c r="F52" s="76"/>
      <c r="G52" s="62"/>
      <c r="H52" s="70"/>
      <c r="I52" s="64"/>
      <c r="J52" s="70"/>
      <c r="K52" s="76"/>
      <c r="L52" s="62"/>
      <c r="M52" s="67"/>
      <c r="N52" s="67"/>
      <c r="O52" s="68"/>
      <c r="P52" s="67"/>
      <c r="Q52" s="67"/>
    </row>
    <row r="53" spans="1:17">
      <c r="A53" s="3">
        <f t="shared" si="1"/>
        <v>45</v>
      </c>
      <c r="B53" s="67"/>
      <c r="C53" s="72" t="s">
        <v>105</v>
      </c>
      <c r="D53" s="72" t="s">
        <v>99</v>
      </c>
      <c r="E53" s="77">
        <v>27027671</v>
      </c>
      <c r="F53" s="76">
        <f>F43</f>
        <v>0.10172</v>
      </c>
      <c r="G53" s="89">
        <f>ROUND($E53*F53,2)</f>
        <v>2749254.69</v>
      </c>
      <c r="H53" s="70"/>
      <c r="I53" s="64">
        <f>'JAP-23 Page 3'!$E$42</f>
        <v>4.8210000000000003E-2</v>
      </c>
      <c r="J53" s="70"/>
      <c r="K53" s="83">
        <f>ROUND(F53*(1+I53),5)</f>
        <v>0.10662000000000001</v>
      </c>
      <c r="L53" s="89">
        <f>ROUND($E53*K53,2)</f>
        <v>2881690.28</v>
      </c>
      <c r="M53" s="67"/>
      <c r="N53" s="61">
        <f>L53-G53</f>
        <v>132435.58999999985</v>
      </c>
      <c r="O53" s="60">
        <f>IF(G53&lt;&gt;0,N53/G53,0)</f>
        <v>4.817145187810877E-2</v>
      </c>
      <c r="P53" s="74"/>
      <c r="Q53" s="82">
        <f>K53-F53</f>
        <v>4.9000000000000016E-3</v>
      </c>
    </row>
    <row r="54" spans="1:17">
      <c r="A54" s="3">
        <f t="shared" si="1"/>
        <v>46</v>
      </c>
      <c r="B54" s="67"/>
      <c r="C54" s="72" t="s">
        <v>104</v>
      </c>
      <c r="D54" s="72" t="s">
        <v>99</v>
      </c>
      <c r="E54" s="77">
        <v>18099259</v>
      </c>
      <c r="F54" s="76">
        <f>F44</f>
        <v>5.033E-2</v>
      </c>
      <c r="G54" s="89">
        <f>ROUND($E54*F54,2)</f>
        <v>910935.71</v>
      </c>
      <c r="H54" s="70"/>
      <c r="I54" s="64">
        <f>'JAP-23 Page 3'!$E$42</f>
        <v>4.8210000000000003E-2</v>
      </c>
      <c r="J54" s="70"/>
      <c r="K54" s="83">
        <f>ROUND(F54*(1+I54),5)</f>
        <v>5.2760000000000001E-2</v>
      </c>
      <c r="L54" s="89">
        <f>ROUND($E54*K54,2)</f>
        <v>954916.9</v>
      </c>
      <c r="M54" s="67"/>
      <c r="N54" s="61">
        <f>L54-G54</f>
        <v>43981.190000000061</v>
      </c>
      <c r="O54" s="60">
        <f>IF(G54&lt;&gt;0,N54/G54,0)</f>
        <v>4.8281332609081781E-2</v>
      </c>
      <c r="P54" s="74"/>
      <c r="Q54" s="82">
        <f>K54-F54</f>
        <v>2.4300000000000016E-3</v>
      </c>
    </row>
    <row r="55" spans="1:17">
      <c r="A55" s="3">
        <f t="shared" si="1"/>
        <v>47</v>
      </c>
      <c r="B55" s="67"/>
      <c r="C55" s="72" t="s">
        <v>103</v>
      </c>
      <c r="D55" s="72" t="s">
        <v>99</v>
      </c>
      <c r="E55" s="77">
        <v>31440202</v>
      </c>
      <c r="F55" s="76">
        <f>F45</f>
        <v>4.8160000000000001E-2</v>
      </c>
      <c r="G55" s="89">
        <f>ROUND($E55*F55,2)</f>
        <v>1514160.13</v>
      </c>
      <c r="H55" s="70"/>
      <c r="I55" s="64">
        <f>'JAP-23 Page 3'!$E$42</f>
        <v>4.8210000000000003E-2</v>
      </c>
      <c r="J55" s="70"/>
      <c r="K55" s="83">
        <f>ROUND(F55*(1+I55),5)</f>
        <v>5.0479999999999997E-2</v>
      </c>
      <c r="L55" s="89">
        <f>ROUND($E55*K55,2)</f>
        <v>1587101.4</v>
      </c>
      <c r="M55" s="67"/>
      <c r="N55" s="61">
        <f>L55-G55</f>
        <v>72941.270000000019</v>
      </c>
      <c r="O55" s="60">
        <f>IF(G55&lt;&gt;0,N55/G55,0)</f>
        <v>4.8172758319821846E-2</v>
      </c>
      <c r="P55" s="74"/>
      <c r="Q55" s="82">
        <f>K55-F55</f>
        <v>2.3199999999999957E-3</v>
      </c>
    </row>
    <row r="56" spans="1:17">
      <c r="A56" s="3">
        <f t="shared" si="1"/>
        <v>48</v>
      </c>
      <c r="B56" s="67"/>
      <c r="C56" s="81" t="s">
        <v>98</v>
      </c>
      <c r="D56" s="71"/>
      <c r="E56" s="80">
        <f>SUM(E53:E55)</f>
        <v>76567132</v>
      </c>
      <c r="F56" s="69"/>
      <c r="G56" s="67"/>
      <c r="H56" s="70"/>
      <c r="I56" s="64"/>
      <c r="J56" s="70"/>
      <c r="K56" s="69"/>
      <c r="L56" s="67"/>
      <c r="M56" s="67"/>
      <c r="N56" s="67"/>
      <c r="O56" s="68"/>
      <c r="P56" s="67"/>
      <c r="Q56" s="67"/>
    </row>
    <row r="57" spans="1:17">
      <c r="A57" s="3">
        <f t="shared" si="1"/>
        <v>49</v>
      </c>
      <c r="B57" s="67"/>
      <c r="C57" s="78" t="s">
        <v>97</v>
      </c>
      <c r="D57" s="71"/>
      <c r="E57" s="77"/>
      <c r="F57" s="69"/>
      <c r="G57" s="88">
        <f>SUM(G50:G55)</f>
        <v>5939158.0300000003</v>
      </c>
      <c r="H57" s="70"/>
      <c r="I57" s="64"/>
      <c r="J57" s="70"/>
      <c r="K57" s="69"/>
      <c r="L57" s="88">
        <f>SUM(L50:L55)</f>
        <v>6228419.0800000001</v>
      </c>
      <c r="M57" s="67"/>
      <c r="N57" s="61">
        <f>L57-G57</f>
        <v>289261.04999999981</v>
      </c>
      <c r="O57" s="60">
        <f>IF(G57&lt;&gt;0,N57/G57,0)</f>
        <v>4.8704050058758885E-2</v>
      </c>
      <c r="P57" s="74"/>
      <c r="Q57" s="67"/>
    </row>
    <row r="58" spans="1:17">
      <c r="A58" s="3">
        <f t="shared" si="1"/>
        <v>50</v>
      </c>
      <c r="B58" s="67"/>
      <c r="C58" s="71"/>
      <c r="D58" s="71"/>
      <c r="E58" s="77"/>
      <c r="F58" s="69"/>
      <c r="G58" s="62"/>
      <c r="H58" s="70"/>
      <c r="I58" s="64"/>
      <c r="J58" s="70"/>
      <c r="K58" s="69"/>
      <c r="L58" s="62"/>
      <c r="M58" s="67"/>
      <c r="N58" s="67"/>
      <c r="O58" s="68"/>
      <c r="P58" s="67"/>
      <c r="Q58" s="67"/>
    </row>
    <row r="59" spans="1:17">
      <c r="A59" s="3">
        <f t="shared" si="1"/>
        <v>51</v>
      </c>
      <c r="B59" s="87" t="s">
        <v>115</v>
      </c>
      <c r="C59" s="67"/>
      <c r="D59" s="71"/>
      <c r="E59" s="77"/>
      <c r="F59" s="69"/>
      <c r="G59" s="62"/>
      <c r="H59" s="70"/>
      <c r="I59" s="64"/>
      <c r="J59" s="70"/>
      <c r="K59" s="69"/>
      <c r="L59" s="62"/>
      <c r="M59" s="67"/>
      <c r="N59" s="67"/>
      <c r="O59" s="68"/>
      <c r="P59" s="67"/>
      <c r="Q59" s="67"/>
    </row>
    <row r="60" spans="1:17">
      <c r="A60" s="3">
        <f t="shared" si="1"/>
        <v>52</v>
      </c>
      <c r="B60" s="67"/>
      <c r="C60" s="72" t="s">
        <v>108</v>
      </c>
      <c r="D60" s="72" t="s">
        <v>107</v>
      </c>
      <c r="E60" s="77">
        <v>93477</v>
      </c>
      <c r="F60" s="69">
        <f>F39</f>
        <v>1.1499999999999999</v>
      </c>
      <c r="G60" s="62">
        <f>ROUND($E60*F60,2)</f>
        <v>107498.55</v>
      </c>
      <c r="H60" s="70"/>
      <c r="I60" s="64">
        <f>'JAP-23 Page 3'!$E$42</f>
        <v>4.8210000000000003E-2</v>
      </c>
      <c r="J60" s="70"/>
      <c r="K60" s="86">
        <f>ROUND(F60*(1+I60),2)</f>
        <v>1.21</v>
      </c>
      <c r="L60" s="62">
        <f>ROUND($E60*K60,2)</f>
        <v>113107.17</v>
      </c>
      <c r="M60" s="67"/>
      <c r="N60" s="61">
        <f>L60-G60</f>
        <v>5608.6199999999953</v>
      </c>
      <c r="O60" s="60">
        <f>IF(G60&lt;&gt;0,N60/G60,0)</f>
        <v>5.2173913043478216E-2</v>
      </c>
      <c r="P60" s="74"/>
      <c r="Q60" s="85">
        <f>K60-F60</f>
        <v>6.0000000000000053E-2</v>
      </c>
    </row>
    <row r="61" spans="1:17">
      <c r="A61" s="3">
        <f t="shared" si="1"/>
        <v>53</v>
      </c>
      <c r="B61" s="67"/>
      <c r="C61" s="72" t="s">
        <v>110</v>
      </c>
      <c r="D61" s="72" t="s">
        <v>99</v>
      </c>
      <c r="E61" s="77">
        <v>12317849</v>
      </c>
      <c r="F61" s="76">
        <v>6.79E-3</v>
      </c>
      <c r="G61" s="62">
        <f>ROUND($E61*F61,2)</f>
        <v>83638.19</v>
      </c>
      <c r="H61" s="70"/>
      <c r="I61" s="64">
        <f>'JAP-23 Page 3'!$E$42</f>
        <v>4.8210000000000003E-2</v>
      </c>
      <c r="J61" s="70"/>
      <c r="K61" s="83">
        <f>ROUND(F61*(1+I61),5)</f>
        <v>7.1199999999999996E-3</v>
      </c>
      <c r="L61" s="62">
        <f>ROUND($E61*K61,2)</f>
        <v>87703.08</v>
      </c>
      <c r="M61" s="67"/>
      <c r="N61" s="61">
        <f>L61-G61</f>
        <v>4064.8899999999994</v>
      </c>
      <c r="O61" s="60">
        <f>IF(G61&lt;&gt;0,N61/G61,0)</f>
        <v>4.8600884356775287E-2</v>
      </c>
      <c r="P61" s="74"/>
      <c r="Q61" s="82">
        <f>K61-F61</f>
        <v>3.2999999999999956E-4</v>
      </c>
    </row>
    <row r="62" spans="1:17">
      <c r="A62" s="3">
        <f t="shared" si="1"/>
        <v>54</v>
      </c>
      <c r="B62" s="67"/>
      <c r="C62" s="72"/>
      <c r="D62" s="72"/>
      <c r="E62" s="77"/>
      <c r="F62" s="76"/>
      <c r="G62" s="62"/>
      <c r="H62" s="70"/>
      <c r="I62" s="64"/>
      <c r="J62" s="70"/>
      <c r="K62" s="76"/>
      <c r="L62" s="62"/>
      <c r="M62" s="67"/>
      <c r="N62" s="67"/>
      <c r="O62" s="68"/>
      <c r="P62" s="67"/>
      <c r="Q62" s="67"/>
    </row>
    <row r="63" spans="1:17">
      <c r="A63" s="3">
        <f t="shared" si="1"/>
        <v>55</v>
      </c>
      <c r="B63" s="67"/>
      <c r="C63" s="72" t="s">
        <v>106</v>
      </c>
      <c r="D63" s="72"/>
      <c r="E63" s="77"/>
      <c r="F63" s="76"/>
      <c r="G63" s="62"/>
      <c r="H63" s="70"/>
      <c r="I63" s="64"/>
      <c r="J63" s="70"/>
      <c r="K63" s="76"/>
      <c r="L63" s="62"/>
      <c r="M63" s="67"/>
      <c r="N63" s="67"/>
      <c r="O63" s="68"/>
      <c r="P63" s="67"/>
      <c r="Q63" s="67"/>
    </row>
    <row r="64" spans="1:17">
      <c r="A64" s="3">
        <f t="shared" si="1"/>
        <v>56</v>
      </c>
      <c r="B64" s="67"/>
      <c r="C64" s="84" t="s">
        <v>113</v>
      </c>
      <c r="D64" s="84" t="s">
        <v>99</v>
      </c>
      <c r="E64" s="77">
        <v>2903910</v>
      </c>
      <c r="F64" s="76">
        <v>0.19853999999999999</v>
      </c>
      <c r="G64" s="62">
        <f>ROUND($E64*F64,2)</f>
        <v>576542.29</v>
      </c>
      <c r="H64" s="70"/>
      <c r="I64" s="64">
        <f>'JAP-23 Page 3'!$E$42</f>
        <v>4.8210000000000003E-2</v>
      </c>
      <c r="J64" s="70"/>
      <c r="K64" s="83">
        <f>ROUND(F64*(1+I64),5)</f>
        <v>0.20810999999999999</v>
      </c>
      <c r="L64" s="62">
        <f>ROUND($E64*K64,2)</f>
        <v>604332.71</v>
      </c>
      <c r="M64" s="67"/>
      <c r="N64" s="61">
        <f>L64-G64</f>
        <v>27790.419999999925</v>
      </c>
      <c r="O64" s="60">
        <f>IF(G64&lt;&gt;0,N64/G64,0)</f>
        <v>4.8201876049716881E-2</v>
      </c>
      <c r="P64" s="74"/>
      <c r="Q64" s="82">
        <f>K64-F64</f>
        <v>9.5699999999999952E-3</v>
      </c>
    </row>
    <row r="65" spans="1:17">
      <c r="A65" s="3">
        <f t="shared" si="1"/>
        <v>57</v>
      </c>
      <c r="B65" s="67"/>
      <c r="C65" s="84" t="s">
        <v>112</v>
      </c>
      <c r="D65" s="84" t="s">
        <v>99</v>
      </c>
      <c r="E65" s="77">
        <v>9413939</v>
      </c>
      <c r="F65" s="76">
        <v>0.14076</v>
      </c>
      <c r="G65" s="62">
        <f>ROUND($E65*F65,2)</f>
        <v>1325106.05</v>
      </c>
      <c r="H65" s="70"/>
      <c r="I65" s="64">
        <f>'JAP-23 Page 3'!$E$42</f>
        <v>4.8210000000000003E-2</v>
      </c>
      <c r="J65" s="70"/>
      <c r="K65" s="83">
        <f>ROUND(F65*(1+I65),5)</f>
        <v>0.14754999999999999</v>
      </c>
      <c r="L65" s="62">
        <f>ROUND($E65*K65,2)</f>
        <v>1389026.7</v>
      </c>
      <c r="M65" s="67"/>
      <c r="N65" s="61">
        <f>L65-G65</f>
        <v>63920.649999999907</v>
      </c>
      <c r="O65" s="60">
        <f>IF(G65&lt;&gt;0,N65/G65,0)</f>
        <v>4.8238139128562507E-2</v>
      </c>
      <c r="P65" s="74"/>
      <c r="Q65" s="82">
        <f>K65-F65</f>
        <v>6.7899999999999905E-3</v>
      </c>
    </row>
    <row r="66" spans="1:17">
      <c r="A66" s="3">
        <f t="shared" si="1"/>
        <v>58</v>
      </c>
      <c r="B66" s="67"/>
      <c r="C66" s="81" t="s">
        <v>98</v>
      </c>
      <c r="D66" s="72" t="s">
        <v>99</v>
      </c>
      <c r="E66" s="80">
        <f>SUM(E64:E65)</f>
        <v>12317849</v>
      </c>
      <c r="F66" s="69"/>
      <c r="G66" s="67"/>
      <c r="H66" s="70"/>
      <c r="I66" s="64"/>
      <c r="J66" s="70"/>
      <c r="K66" s="69"/>
      <c r="L66" s="67"/>
      <c r="M66" s="67"/>
      <c r="N66" s="67"/>
      <c r="O66" s="68"/>
      <c r="P66" s="67"/>
      <c r="Q66" s="67"/>
    </row>
    <row r="67" spans="1:17">
      <c r="A67" s="3">
        <f t="shared" si="1"/>
        <v>59</v>
      </c>
      <c r="B67" s="67"/>
      <c r="C67" s="78" t="s">
        <v>97</v>
      </c>
      <c r="D67" s="72"/>
      <c r="E67" s="77"/>
      <c r="F67" s="69"/>
      <c r="G67" s="88">
        <f>SUM(G60:G65)</f>
        <v>2092785.08</v>
      </c>
      <c r="H67" s="70"/>
      <c r="I67" s="64"/>
      <c r="J67" s="70"/>
      <c r="K67" s="69"/>
      <c r="L67" s="88">
        <f>SUM(L60:L65)</f>
        <v>2194169.66</v>
      </c>
      <c r="M67" s="67"/>
      <c r="N67" s="61">
        <f>L67-G67</f>
        <v>101384.58000000007</v>
      </c>
      <c r="O67" s="60">
        <f>IF(G67&lt;&gt;0,N67/G67,0)</f>
        <v>4.8444812116110875E-2</v>
      </c>
      <c r="P67" s="74"/>
      <c r="Q67" s="67"/>
    </row>
    <row r="68" spans="1:17">
      <c r="A68" s="3">
        <f t="shared" si="1"/>
        <v>60</v>
      </c>
      <c r="B68" s="67"/>
      <c r="C68" s="71"/>
      <c r="D68" s="71"/>
      <c r="E68" s="77"/>
      <c r="F68" s="69"/>
      <c r="G68" s="62"/>
      <c r="H68" s="70"/>
      <c r="I68" s="64"/>
      <c r="J68" s="70"/>
      <c r="K68" s="69"/>
      <c r="L68" s="62"/>
      <c r="M68" s="67"/>
      <c r="N68" s="67"/>
      <c r="O68" s="68"/>
      <c r="P68" s="67"/>
      <c r="Q68" s="67"/>
    </row>
    <row r="69" spans="1:17">
      <c r="A69" s="3">
        <f t="shared" si="1"/>
        <v>61</v>
      </c>
      <c r="B69" s="87" t="s">
        <v>114</v>
      </c>
      <c r="C69" s="67"/>
      <c r="D69" s="71"/>
      <c r="E69" s="77"/>
      <c r="F69" s="69"/>
      <c r="G69" s="62"/>
      <c r="H69" s="70"/>
      <c r="I69" s="64"/>
      <c r="J69" s="70"/>
      <c r="K69" s="69"/>
      <c r="L69" s="62"/>
      <c r="M69" s="67"/>
      <c r="N69" s="67"/>
      <c r="O69" s="68"/>
      <c r="P69" s="67"/>
      <c r="Q69" s="67"/>
    </row>
    <row r="70" spans="1:17">
      <c r="A70" s="3">
        <f t="shared" si="1"/>
        <v>62</v>
      </c>
      <c r="B70" s="72"/>
      <c r="C70" s="72" t="s">
        <v>108</v>
      </c>
      <c r="D70" s="72" t="s">
        <v>107</v>
      </c>
      <c r="E70" s="77">
        <v>0</v>
      </c>
      <c r="F70" s="69">
        <f>F60</f>
        <v>1.1499999999999999</v>
      </c>
      <c r="G70" s="62">
        <f>ROUND($E70*F70,2)</f>
        <v>0</v>
      </c>
      <c r="H70" s="70"/>
      <c r="I70" s="64">
        <f>'JAP-23 Page 3'!$E$42</f>
        <v>4.8210000000000003E-2</v>
      </c>
      <c r="J70" s="70"/>
      <c r="K70" s="86">
        <f>ROUND(F70*(1+I70),2)</f>
        <v>1.21</v>
      </c>
      <c r="L70" s="62">
        <f>ROUND($E70*K70,2)</f>
        <v>0</v>
      </c>
      <c r="M70" s="67"/>
      <c r="N70" s="61">
        <f>L70-G70</f>
        <v>0</v>
      </c>
      <c r="O70" s="60">
        <f>IF(G70&lt;&gt;0,N70/G70,0)</f>
        <v>0</v>
      </c>
      <c r="P70" s="74"/>
      <c r="Q70" s="85">
        <f>K70-F70</f>
        <v>6.0000000000000053E-2</v>
      </c>
    </row>
    <row r="71" spans="1:17">
      <c r="A71" s="3">
        <f t="shared" si="1"/>
        <v>63</v>
      </c>
      <c r="B71" s="72"/>
      <c r="C71" s="72"/>
      <c r="D71" s="72"/>
      <c r="E71" s="77"/>
      <c r="F71" s="76"/>
      <c r="G71" s="62"/>
      <c r="H71" s="70"/>
      <c r="I71" s="64"/>
      <c r="J71" s="70"/>
      <c r="K71" s="76"/>
      <c r="L71" s="62"/>
      <c r="M71" s="67"/>
      <c r="N71" s="67"/>
      <c r="O71" s="68"/>
      <c r="P71" s="67"/>
      <c r="Q71" s="67"/>
    </row>
    <row r="72" spans="1:17">
      <c r="A72" s="3">
        <f t="shared" si="1"/>
        <v>64</v>
      </c>
      <c r="B72" s="72"/>
      <c r="C72" s="72" t="s">
        <v>106</v>
      </c>
      <c r="D72" s="72"/>
      <c r="E72" s="77"/>
      <c r="F72" s="76"/>
      <c r="G72" s="62"/>
      <c r="H72" s="70"/>
      <c r="I72" s="64"/>
      <c r="J72" s="70"/>
      <c r="K72" s="76"/>
      <c r="L72" s="62"/>
      <c r="M72" s="67"/>
      <c r="N72" s="67"/>
      <c r="O72" s="68"/>
      <c r="P72" s="67"/>
      <c r="Q72" s="67"/>
    </row>
    <row r="73" spans="1:17">
      <c r="A73" s="3">
        <f t="shared" si="1"/>
        <v>65</v>
      </c>
      <c r="B73" s="72"/>
      <c r="C73" s="84" t="s">
        <v>113</v>
      </c>
      <c r="D73" s="84" t="s">
        <v>99</v>
      </c>
      <c r="E73" s="77">
        <v>5459</v>
      </c>
      <c r="F73" s="76">
        <f>F64</f>
        <v>0.19853999999999999</v>
      </c>
      <c r="G73" s="62">
        <f>ROUND($E73*F73,2)</f>
        <v>1083.83</v>
      </c>
      <c r="H73" s="70"/>
      <c r="I73" s="64">
        <f>'JAP-23 Page 3'!$E$42</f>
        <v>4.8210000000000003E-2</v>
      </c>
      <c r="J73" s="70"/>
      <c r="K73" s="83">
        <f>ROUND(F73*(1+I73),5)</f>
        <v>0.20810999999999999</v>
      </c>
      <c r="L73" s="62">
        <f>ROUND($E73*K73,2)</f>
        <v>1136.07</v>
      </c>
      <c r="M73" s="67"/>
      <c r="N73" s="61">
        <f>L73-G73</f>
        <v>52.240000000000009</v>
      </c>
      <c r="O73" s="60">
        <f>IF(G73&lt;&gt;0,N73/G73,0)</f>
        <v>4.819944087172344E-2</v>
      </c>
      <c r="P73" s="74"/>
      <c r="Q73" s="82">
        <f>K73-F73</f>
        <v>9.5699999999999952E-3</v>
      </c>
    </row>
    <row r="74" spans="1:17">
      <c r="A74" s="3">
        <f t="shared" ref="A74:A105" si="2">A73+1</f>
        <v>66</v>
      </c>
      <c r="B74" s="72"/>
      <c r="C74" s="84" t="s">
        <v>112</v>
      </c>
      <c r="D74" s="84" t="s">
        <v>99</v>
      </c>
      <c r="E74" s="77">
        <v>21114</v>
      </c>
      <c r="F74" s="76">
        <f>F65</f>
        <v>0.14076</v>
      </c>
      <c r="G74" s="62">
        <f>ROUND($E74*F74,2)</f>
        <v>2972.01</v>
      </c>
      <c r="H74" s="70"/>
      <c r="I74" s="64">
        <f>'JAP-23 Page 3'!$E$42</f>
        <v>4.8210000000000003E-2</v>
      </c>
      <c r="J74" s="70"/>
      <c r="K74" s="83">
        <f>ROUND(F74*(1+I74),5)</f>
        <v>0.14754999999999999</v>
      </c>
      <c r="L74" s="62">
        <f>ROUND($E74*K74,2)</f>
        <v>3115.37</v>
      </c>
      <c r="M74" s="67"/>
      <c r="N74" s="61">
        <f>L74-G74</f>
        <v>143.35999999999967</v>
      </c>
      <c r="O74" s="60">
        <f>IF(G74&lt;&gt;0,N74/G74,0)</f>
        <v>4.8236715219666035E-2</v>
      </c>
      <c r="P74" s="74"/>
      <c r="Q74" s="82">
        <f>K74-F74</f>
        <v>6.7899999999999905E-3</v>
      </c>
    </row>
    <row r="75" spans="1:17">
      <c r="A75" s="3">
        <f t="shared" si="2"/>
        <v>67</v>
      </c>
      <c r="B75" s="67"/>
      <c r="C75" s="81" t="s">
        <v>98</v>
      </c>
      <c r="D75" s="72" t="s">
        <v>99</v>
      </c>
      <c r="E75" s="80">
        <f>SUM(E73:E74)</f>
        <v>26573</v>
      </c>
      <c r="F75" s="69"/>
      <c r="G75" s="67"/>
      <c r="H75" s="70"/>
      <c r="I75" s="64"/>
      <c r="J75" s="70"/>
      <c r="K75" s="69"/>
      <c r="L75" s="67"/>
      <c r="M75" s="67"/>
      <c r="N75" s="67"/>
      <c r="O75" s="68"/>
      <c r="P75" s="67"/>
      <c r="Q75" s="67"/>
    </row>
    <row r="76" spans="1:17">
      <c r="A76" s="3">
        <f t="shared" si="2"/>
        <v>68</v>
      </c>
      <c r="B76" s="67"/>
      <c r="C76" s="78" t="s">
        <v>97</v>
      </c>
      <c r="D76" s="72"/>
      <c r="E76" s="77"/>
      <c r="F76" s="69"/>
      <c r="G76" s="88">
        <f>SUM(G70:G74)</f>
        <v>4055.84</v>
      </c>
      <c r="H76" s="70"/>
      <c r="I76" s="64"/>
      <c r="J76" s="70"/>
      <c r="K76" s="69"/>
      <c r="L76" s="88">
        <f>SUM(L70:L74)</f>
        <v>4251.4399999999996</v>
      </c>
      <c r="M76" s="67"/>
      <c r="N76" s="61">
        <f>L76-G76</f>
        <v>195.59999999999945</v>
      </c>
      <c r="O76" s="60">
        <f>IF(G76&lt;&gt;0,N76/G76,0)</f>
        <v>4.8226754507081013E-2</v>
      </c>
      <c r="P76" s="74"/>
      <c r="Q76" s="67"/>
    </row>
    <row r="77" spans="1:17">
      <c r="A77" s="3">
        <f t="shared" si="2"/>
        <v>69</v>
      </c>
      <c r="B77" s="72"/>
      <c r="C77" s="71"/>
      <c r="D77" s="71"/>
      <c r="E77" s="77"/>
      <c r="F77" s="69"/>
      <c r="G77" s="62"/>
      <c r="H77" s="70"/>
      <c r="I77" s="64"/>
      <c r="J77" s="70"/>
      <c r="K77" s="69"/>
      <c r="L77" s="62"/>
      <c r="M77" s="67"/>
      <c r="N77" s="67"/>
      <c r="O77" s="68"/>
      <c r="P77" s="67"/>
      <c r="Q77" s="67"/>
    </row>
    <row r="78" spans="1:17">
      <c r="A78" s="3">
        <f t="shared" si="2"/>
        <v>70</v>
      </c>
      <c r="B78" s="87" t="s">
        <v>111</v>
      </c>
      <c r="C78" s="67"/>
      <c r="D78" s="71"/>
      <c r="E78" s="77"/>
      <c r="F78" s="69"/>
      <c r="G78" s="62"/>
      <c r="H78" s="70"/>
      <c r="I78" s="64"/>
      <c r="J78" s="70"/>
      <c r="K78" s="69"/>
      <c r="L78" s="62"/>
      <c r="M78" s="67"/>
      <c r="N78" s="67"/>
      <c r="O78" s="68"/>
      <c r="P78" s="67"/>
      <c r="Q78" s="67"/>
    </row>
    <row r="79" spans="1:17">
      <c r="A79" s="3">
        <f t="shared" si="2"/>
        <v>71</v>
      </c>
      <c r="B79" s="67"/>
      <c r="C79" s="72" t="s">
        <v>108</v>
      </c>
      <c r="D79" s="72" t="s">
        <v>107</v>
      </c>
      <c r="E79" s="77">
        <v>2184</v>
      </c>
      <c r="F79" s="69">
        <f>F39</f>
        <v>1.1499999999999999</v>
      </c>
      <c r="G79" s="62">
        <f>ROUND($E79*F79,2)</f>
        <v>2511.6</v>
      </c>
      <c r="H79" s="70"/>
      <c r="I79" s="64">
        <f>'JAP-23 Page 3'!$E$42</f>
        <v>4.8210000000000003E-2</v>
      </c>
      <c r="J79" s="70"/>
      <c r="K79" s="86">
        <f>ROUND(F79*(1+I79),2)</f>
        <v>1.21</v>
      </c>
      <c r="L79" s="62">
        <f>ROUND($E79*K79,2)</f>
        <v>2642.64</v>
      </c>
      <c r="M79" s="67"/>
      <c r="N79" s="61">
        <f>L79-G79</f>
        <v>131.03999999999996</v>
      </c>
      <c r="O79" s="60">
        <f>IF(G79&lt;&gt;0,N79/G79,0)</f>
        <v>5.2173913043478251E-2</v>
      </c>
      <c r="P79" s="74"/>
      <c r="Q79" s="85">
        <f>K79-F79</f>
        <v>6.0000000000000053E-2</v>
      </c>
    </row>
    <row r="80" spans="1:17">
      <c r="A80" s="3">
        <f t="shared" si="2"/>
        <v>72</v>
      </c>
      <c r="B80" s="67"/>
      <c r="C80" s="72" t="s">
        <v>110</v>
      </c>
      <c r="D80" s="72"/>
      <c r="E80" s="77">
        <f>E89</f>
        <v>26567234</v>
      </c>
      <c r="F80" s="76">
        <v>5.3699999999999998E-3</v>
      </c>
      <c r="G80" s="62">
        <f>ROUND($E80*F80,2)</f>
        <v>142666.04999999999</v>
      </c>
      <c r="H80" s="70"/>
      <c r="I80" s="64">
        <f>'JAP-23 Page 3'!$E$42</f>
        <v>4.8210000000000003E-2</v>
      </c>
      <c r="J80" s="70"/>
      <c r="K80" s="83">
        <f>ROUND(F80*(1+I80),5)</f>
        <v>5.6299999999999996E-3</v>
      </c>
      <c r="L80" s="62">
        <f>ROUND($E80*K80,2)</f>
        <v>149573.53</v>
      </c>
      <c r="M80" s="67"/>
      <c r="N80" s="61">
        <f>L80-G80</f>
        <v>6907.4800000000105</v>
      </c>
      <c r="O80" s="60">
        <f>IF(G80&lt;&gt;0,N80/G80,0)</f>
        <v>4.8417125167480354E-2</v>
      </c>
      <c r="P80" s="74"/>
      <c r="Q80" s="82">
        <f>K80-F80</f>
        <v>2.5999999999999981E-4</v>
      </c>
    </row>
    <row r="81" spans="1:17">
      <c r="A81" s="3">
        <f t="shared" si="2"/>
        <v>73</v>
      </c>
      <c r="B81" s="67"/>
      <c r="C81" s="72"/>
      <c r="D81" s="72"/>
      <c r="E81" s="77"/>
      <c r="F81" s="76"/>
      <c r="G81" s="62"/>
      <c r="H81" s="70"/>
      <c r="I81" s="64"/>
      <c r="J81" s="70"/>
      <c r="K81" s="76"/>
      <c r="L81" s="62"/>
      <c r="M81" s="67"/>
      <c r="N81" s="67"/>
      <c r="O81" s="68"/>
      <c r="P81" s="67"/>
      <c r="Q81" s="67"/>
    </row>
    <row r="82" spans="1:17">
      <c r="A82" s="3">
        <f t="shared" si="2"/>
        <v>74</v>
      </c>
      <c r="B82" s="67"/>
      <c r="C82" s="72" t="s">
        <v>106</v>
      </c>
      <c r="D82" s="72"/>
      <c r="E82" s="77"/>
      <c r="F82" s="76"/>
      <c r="G82" s="62"/>
      <c r="H82" s="70"/>
      <c r="I82" s="64"/>
      <c r="J82" s="70"/>
      <c r="K82" s="76"/>
      <c r="L82" s="62"/>
      <c r="M82" s="67"/>
      <c r="N82" s="67"/>
      <c r="O82" s="68"/>
      <c r="P82" s="67"/>
      <c r="Q82" s="67"/>
    </row>
    <row r="83" spans="1:17">
      <c r="A83" s="3">
        <f t="shared" si="2"/>
        <v>75</v>
      </c>
      <c r="B83" s="67"/>
      <c r="C83" s="72" t="s">
        <v>105</v>
      </c>
      <c r="D83" s="72" t="s">
        <v>99</v>
      </c>
      <c r="E83" s="77">
        <v>2100000</v>
      </c>
      <c r="F83" s="76">
        <v>0.14394999999999999</v>
      </c>
      <c r="G83" s="62">
        <f t="shared" ref="G83:G88" si="3">ROUND($E83*F83,2)</f>
        <v>302295</v>
      </c>
      <c r="H83" s="70"/>
      <c r="I83" s="64">
        <f>'JAP-23 Page 3'!$E$42</f>
        <v>4.8210000000000003E-2</v>
      </c>
      <c r="J83" s="70"/>
      <c r="K83" s="83">
        <f t="shared" ref="K83:K88" si="4">ROUND(F83*(1+I83),5)</f>
        <v>0.15089</v>
      </c>
      <c r="L83" s="62">
        <f t="shared" ref="L83:L88" si="5">ROUND($E83*K83,2)</f>
        <v>316869</v>
      </c>
      <c r="M83" s="67"/>
      <c r="N83" s="61">
        <f t="shared" ref="N83:N88" si="6">L83-G83</f>
        <v>14574</v>
      </c>
      <c r="O83" s="60">
        <f t="shared" ref="O83:O88" si="7">IF(G83&lt;&gt;0,N83/G83,0)</f>
        <v>4.8211184439041335E-2</v>
      </c>
      <c r="P83" s="74"/>
      <c r="Q83" s="82">
        <f t="shared" ref="Q83:Q88" si="8">K83-F83</f>
        <v>6.9400000000000017E-3</v>
      </c>
    </row>
    <row r="84" spans="1:17">
      <c r="A84" s="3">
        <f t="shared" si="2"/>
        <v>76</v>
      </c>
      <c r="B84" s="67"/>
      <c r="C84" s="72" t="s">
        <v>104</v>
      </c>
      <c r="D84" s="72" t="s">
        <v>99</v>
      </c>
      <c r="E84" s="77">
        <v>2055807</v>
      </c>
      <c r="F84" s="76">
        <v>8.6989999999999998E-2</v>
      </c>
      <c r="G84" s="62">
        <f t="shared" si="3"/>
        <v>178834.65</v>
      </c>
      <c r="H84" s="70"/>
      <c r="I84" s="64">
        <f>'JAP-23 Page 3'!$E$42</f>
        <v>4.8210000000000003E-2</v>
      </c>
      <c r="J84" s="70"/>
      <c r="K84" s="83">
        <f t="shared" si="4"/>
        <v>9.1179999999999997E-2</v>
      </c>
      <c r="L84" s="62">
        <f t="shared" si="5"/>
        <v>187448.48</v>
      </c>
      <c r="M84" s="67"/>
      <c r="N84" s="61">
        <f t="shared" si="6"/>
        <v>8613.8300000000163</v>
      </c>
      <c r="O84" s="60">
        <f t="shared" si="7"/>
        <v>4.8166448727917192E-2</v>
      </c>
      <c r="P84" s="74"/>
      <c r="Q84" s="82">
        <f t="shared" si="8"/>
        <v>4.1899999999999993E-3</v>
      </c>
    </row>
    <row r="85" spans="1:17">
      <c r="A85" s="3">
        <f t="shared" si="2"/>
        <v>77</v>
      </c>
      <c r="B85" s="67"/>
      <c r="C85" s="72" t="s">
        <v>103</v>
      </c>
      <c r="D85" s="72" t="s">
        <v>99</v>
      </c>
      <c r="E85" s="77">
        <v>3801695</v>
      </c>
      <c r="F85" s="76">
        <v>5.5350000000000003E-2</v>
      </c>
      <c r="G85" s="62">
        <f t="shared" si="3"/>
        <v>210423.82</v>
      </c>
      <c r="H85" s="70"/>
      <c r="I85" s="64">
        <f>'JAP-23 Page 3'!$E$42</f>
        <v>4.8210000000000003E-2</v>
      </c>
      <c r="J85" s="70"/>
      <c r="K85" s="83">
        <f t="shared" si="4"/>
        <v>5.8020000000000002E-2</v>
      </c>
      <c r="L85" s="62">
        <f t="shared" si="5"/>
        <v>220574.34</v>
      </c>
      <c r="M85" s="67"/>
      <c r="N85" s="61">
        <f t="shared" si="6"/>
        <v>10150.51999999999</v>
      </c>
      <c r="O85" s="60">
        <f t="shared" si="7"/>
        <v>4.823845513307376E-2</v>
      </c>
      <c r="P85" s="74"/>
      <c r="Q85" s="82">
        <f t="shared" si="8"/>
        <v>2.6699999999999988E-3</v>
      </c>
    </row>
    <row r="86" spans="1:17">
      <c r="A86" s="3">
        <f t="shared" si="2"/>
        <v>78</v>
      </c>
      <c r="B86" s="67"/>
      <c r="C86" s="72" t="s">
        <v>102</v>
      </c>
      <c r="D86" s="72" t="s">
        <v>99</v>
      </c>
      <c r="E86" s="77">
        <v>5152762</v>
      </c>
      <c r="F86" s="76">
        <v>3.5490000000000001E-2</v>
      </c>
      <c r="G86" s="62">
        <f t="shared" si="3"/>
        <v>182871.52</v>
      </c>
      <c r="H86" s="70"/>
      <c r="I86" s="64">
        <f>'JAP-23 Page 3'!$E$42</f>
        <v>4.8210000000000003E-2</v>
      </c>
      <c r="J86" s="70"/>
      <c r="K86" s="83">
        <f t="shared" si="4"/>
        <v>3.7199999999999997E-2</v>
      </c>
      <c r="L86" s="62">
        <f t="shared" si="5"/>
        <v>191682.75</v>
      </c>
      <c r="M86" s="67"/>
      <c r="N86" s="61">
        <f t="shared" si="6"/>
        <v>8811.2300000000105</v>
      </c>
      <c r="O86" s="60">
        <f t="shared" si="7"/>
        <v>4.8182625703554118E-2</v>
      </c>
      <c r="P86" s="74"/>
      <c r="Q86" s="82">
        <f t="shared" si="8"/>
        <v>1.7099999999999962E-3</v>
      </c>
    </row>
    <row r="87" spans="1:17">
      <c r="A87" s="3">
        <f t="shared" si="2"/>
        <v>79</v>
      </c>
      <c r="B87" s="67"/>
      <c r="C87" s="72" t="s">
        <v>101</v>
      </c>
      <c r="D87" s="72" t="s">
        <v>99</v>
      </c>
      <c r="E87" s="77">
        <v>4864411</v>
      </c>
      <c r="F87" s="76">
        <v>2.5530000000000001E-2</v>
      </c>
      <c r="G87" s="62">
        <f t="shared" si="3"/>
        <v>124188.41</v>
      </c>
      <c r="H87" s="70"/>
      <c r="I87" s="64">
        <f>'JAP-23 Page 3'!$E$42</f>
        <v>4.8210000000000003E-2</v>
      </c>
      <c r="J87" s="70"/>
      <c r="K87" s="83">
        <f t="shared" si="4"/>
        <v>2.6759999999999999E-2</v>
      </c>
      <c r="L87" s="62">
        <f t="shared" si="5"/>
        <v>130171.64</v>
      </c>
      <c r="M87" s="67"/>
      <c r="N87" s="61">
        <f t="shared" si="6"/>
        <v>5983.2299999999959</v>
      </c>
      <c r="O87" s="60">
        <f t="shared" si="7"/>
        <v>4.8178650487593774E-2</v>
      </c>
      <c r="P87" s="74"/>
      <c r="Q87" s="82">
        <f t="shared" si="8"/>
        <v>1.2299999999999985E-3</v>
      </c>
    </row>
    <row r="88" spans="1:17">
      <c r="A88" s="3">
        <f t="shared" si="2"/>
        <v>80</v>
      </c>
      <c r="B88" s="67"/>
      <c r="C88" s="72" t="s">
        <v>100</v>
      </c>
      <c r="D88" s="72" t="s">
        <v>99</v>
      </c>
      <c r="E88" s="77">
        <v>8592559</v>
      </c>
      <c r="F88" s="76">
        <v>1.9689999999999999E-2</v>
      </c>
      <c r="G88" s="62">
        <f t="shared" si="3"/>
        <v>169187.49</v>
      </c>
      <c r="H88" s="70"/>
      <c r="I88" s="64">
        <f>'JAP-23 Page 3'!$E$42</f>
        <v>4.8210000000000003E-2</v>
      </c>
      <c r="J88" s="70"/>
      <c r="K88" s="83">
        <f t="shared" si="4"/>
        <v>2.0639999999999999E-2</v>
      </c>
      <c r="L88" s="62">
        <f t="shared" si="5"/>
        <v>177350.42</v>
      </c>
      <c r="M88" s="67"/>
      <c r="N88" s="61">
        <f t="shared" si="6"/>
        <v>8162.9300000000221</v>
      </c>
      <c r="O88" s="60">
        <f t="shared" si="7"/>
        <v>4.8247834399576604E-2</v>
      </c>
      <c r="P88" s="74"/>
      <c r="Q88" s="82">
        <f t="shared" si="8"/>
        <v>9.4999999999999946E-4</v>
      </c>
    </row>
    <row r="89" spans="1:17">
      <c r="A89" s="3">
        <f t="shared" si="2"/>
        <v>81</v>
      </c>
      <c r="B89" s="67"/>
      <c r="C89" s="81" t="s">
        <v>98</v>
      </c>
      <c r="D89" s="72" t="s">
        <v>99</v>
      </c>
      <c r="E89" s="80">
        <f>SUM(E83:E88)</f>
        <v>26567234</v>
      </c>
      <c r="F89" s="69"/>
      <c r="G89" s="67"/>
      <c r="H89" s="70"/>
      <c r="I89" s="64"/>
      <c r="J89" s="70"/>
      <c r="K89" s="69"/>
      <c r="L89" s="67"/>
      <c r="M89" s="67"/>
      <c r="N89" s="67"/>
      <c r="O89" s="68"/>
      <c r="P89" s="67"/>
      <c r="Q89" s="67"/>
    </row>
    <row r="90" spans="1:17">
      <c r="A90" s="3">
        <f t="shared" si="2"/>
        <v>82</v>
      </c>
      <c r="B90" s="67"/>
      <c r="C90" s="78" t="s">
        <v>97</v>
      </c>
      <c r="D90" s="72"/>
      <c r="E90" s="77"/>
      <c r="F90" s="69"/>
      <c r="G90" s="88">
        <f>SUM(G79:G88)</f>
        <v>1312978.54</v>
      </c>
      <c r="H90" s="70"/>
      <c r="I90" s="64"/>
      <c r="J90" s="70"/>
      <c r="K90" s="69"/>
      <c r="L90" s="88">
        <f>SUM(L79:L88)</f>
        <v>1376312.7999999998</v>
      </c>
      <c r="M90" s="67"/>
      <c r="N90" s="61">
        <f>L90-G90</f>
        <v>63334.259999999776</v>
      </c>
      <c r="O90" s="60">
        <f>IF(G90&lt;&gt;0,N90/G90,0)</f>
        <v>4.8237086951931275E-2</v>
      </c>
      <c r="P90" s="74"/>
      <c r="Q90" s="67"/>
    </row>
    <row r="91" spans="1:17">
      <c r="A91" s="3">
        <f t="shared" si="2"/>
        <v>83</v>
      </c>
      <c r="B91" s="67"/>
      <c r="C91" s="71"/>
      <c r="D91" s="71"/>
      <c r="E91" s="77"/>
      <c r="F91" s="69"/>
      <c r="G91" s="62"/>
      <c r="H91" s="70"/>
      <c r="I91" s="64"/>
      <c r="J91" s="70"/>
      <c r="K91" s="69"/>
      <c r="L91" s="62"/>
      <c r="M91" s="67"/>
      <c r="N91" s="67"/>
      <c r="O91" s="68"/>
      <c r="P91" s="67"/>
      <c r="Q91" s="67"/>
    </row>
    <row r="92" spans="1:17">
      <c r="A92" s="3">
        <f t="shared" si="2"/>
        <v>84</v>
      </c>
      <c r="B92" s="87" t="s">
        <v>109</v>
      </c>
      <c r="C92" s="67"/>
      <c r="D92" s="71"/>
      <c r="E92" s="77"/>
      <c r="F92" s="69"/>
      <c r="G92" s="62"/>
      <c r="H92" s="70"/>
      <c r="I92" s="64"/>
      <c r="J92" s="70"/>
      <c r="K92" s="69"/>
      <c r="L92" s="62"/>
      <c r="M92" s="67"/>
      <c r="N92" s="67"/>
      <c r="O92" s="68"/>
      <c r="P92" s="67"/>
      <c r="Q92" s="67"/>
    </row>
    <row r="93" spans="1:17">
      <c r="A93" s="3">
        <f t="shared" si="2"/>
        <v>85</v>
      </c>
      <c r="B93" s="72"/>
      <c r="C93" s="72" t="s">
        <v>108</v>
      </c>
      <c r="D93" s="72" t="s">
        <v>107</v>
      </c>
      <c r="E93" s="77">
        <v>332988</v>
      </c>
      <c r="F93" s="69">
        <f>F79</f>
        <v>1.1499999999999999</v>
      </c>
      <c r="G93" s="62">
        <f>ROUND($E93*F93,2)</f>
        <v>382936.2</v>
      </c>
      <c r="H93" s="70"/>
      <c r="I93" s="64">
        <f>'JAP-23 Page 3'!$E$42</f>
        <v>4.8210000000000003E-2</v>
      </c>
      <c r="J93" s="70"/>
      <c r="K93" s="86">
        <f>ROUND(F93*(1+I93),2)</f>
        <v>1.21</v>
      </c>
      <c r="L93" s="62">
        <f>ROUND($E93*K93,2)</f>
        <v>402915.48</v>
      </c>
      <c r="M93" s="67"/>
      <c r="N93" s="61">
        <f>L93-G93</f>
        <v>19979.27999999997</v>
      </c>
      <c r="O93" s="60">
        <f>IF(G93&lt;&gt;0,N93/G93,0)</f>
        <v>5.2173913043478182E-2</v>
      </c>
      <c r="P93" s="74"/>
      <c r="Q93" s="85">
        <f>K93-F93</f>
        <v>6.0000000000000053E-2</v>
      </c>
    </row>
    <row r="94" spans="1:17">
      <c r="A94" s="3">
        <f t="shared" si="2"/>
        <v>86</v>
      </c>
      <c r="B94" s="72"/>
      <c r="C94" s="84"/>
      <c r="D94" s="72"/>
      <c r="E94" s="77"/>
      <c r="F94" s="76"/>
      <c r="G94" s="62"/>
      <c r="H94" s="70"/>
      <c r="I94" s="64"/>
      <c r="J94" s="70"/>
      <c r="K94" s="76"/>
      <c r="L94" s="62"/>
      <c r="M94" s="67"/>
      <c r="N94" s="67"/>
      <c r="O94" s="68"/>
      <c r="P94" s="67"/>
      <c r="Q94" s="67"/>
    </row>
    <row r="95" spans="1:17">
      <c r="A95" s="3">
        <f t="shared" si="2"/>
        <v>87</v>
      </c>
      <c r="B95" s="72"/>
      <c r="C95" s="72" t="s">
        <v>106</v>
      </c>
      <c r="D95" s="72"/>
      <c r="E95" s="77"/>
      <c r="F95" s="76"/>
      <c r="G95" s="65"/>
      <c r="H95" s="70"/>
      <c r="I95" s="64"/>
      <c r="J95" s="70"/>
      <c r="K95" s="76"/>
      <c r="L95" s="62"/>
      <c r="M95" s="67"/>
      <c r="N95" s="67"/>
      <c r="O95" s="68"/>
      <c r="P95" s="67"/>
      <c r="Q95" s="67"/>
    </row>
    <row r="96" spans="1:17">
      <c r="A96" s="3">
        <f t="shared" si="2"/>
        <v>88</v>
      </c>
      <c r="B96" s="72"/>
      <c r="C96" s="72" t="s">
        <v>105</v>
      </c>
      <c r="D96" s="72" t="s">
        <v>99</v>
      </c>
      <c r="E96" s="77">
        <v>2925980</v>
      </c>
      <c r="F96" s="76">
        <f t="shared" ref="F96:F101" si="9">F83</f>
        <v>0.14394999999999999</v>
      </c>
      <c r="G96" s="65">
        <f t="shared" ref="G96:G101" si="10">ROUND($E96*F96,2)</f>
        <v>421194.82</v>
      </c>
      <c r="H96" s="70"/>
      <c r="I96" s="64">
        <f>'JAP-23 Page 3'!$E$42</f>
        <v>4.8210000000000003E-2</v>
      </c>
      <c r="J96" s="70"/>
      <c r="K96" s="83">
        <f t="shared" ref="K96:K101" si="11">ROUND(F96*(1+I96),5)</f>
        <v>0.15089</v>
      </c>
      <c r="L96" s="62">
        <f t="shared" ref="L96:L101" si="12">ROUND($E96*K96,2)</f>
        <v>441501.12</v>
      </c>
      <c r="M96" s="67"/>
      <c r="N96" s="61">
        <f t="shared" ref="N96:N101" si="13">L96-G96</f>
        <v>20306.299999999988</v>
      </c>
      <c r="O96" s="60">
        <f t="shared" ref="O96:O101" si="14">IF(G96&lt;&gt;0,N96/G96,0)</f>
        <v>4.8211181704466324E-2</v>
      </c>
      <c r="P96" s="74"/>
      <c r="Q96" s="82">
        <f t="shared" ref="Q96:Q101" si="15">K96-F96</f>
        <v>6.9400000000000017E-3</v>
      </c>
    </row>
    <row r="97" spans="1:17">
      <c r="A97" s="3">
        <f t="shared" si="2"/>
        <v>89</v>
      </c>
      <c r="B97" s="72"/>
      <c r="C97" s="72" t="s">
        <v>104</v>
      </c>
      <c r="D97" s="72" t="s">
        <v>99</v>
      </c>
      <c r="E97" s="77">
        <v>2885234</v>
      </c>
      <c r="F97" s="76">
        <f t="shared" si="9"/>
        <v>8.6989999999999998E-2</v>
      </c>
      <c r="G97" s="65">
        <f t="shared" si="10"/>
        <v>250986.51</v>
      </c>
      <c r="H97" s="70"/>
      <c r="I97" s="64">
        <f>'JAP-23 Page 3'!$E$42</f>
        <v>4.8210000000000003E-2</v>
      </c>
      <c r="J97" s="70"/>
      <c r="K97" s="83">
        <f t="shared" si="11"/>
        <v>9.1179999999999997E-2</v>
      </c>
      <c r="L97" s="62">
        <f t="shared" si="12"/>
        <v>263075.64</v>
      </c>
      <c r="M97" s="67"/>
      <c r="N97" s="61">
        <f t="shared" si="13"/>
        <v>12089.130000000005</v>
      </c>
      <c r="O97" s="60">
        <f t="shared" si="14"/>
        <v>4.8166453248822037E-2</v>
      </c>
      <c r="P97" s="74"/>
      <c r="Q97" s="82">
        <f t="shared" si="15"/>
        <v>4.1899999999999993E-3</v>
      </c>
    </row>
    <row r="98" spans="1:17">
      <c r="A98" s="3">
        <f t="shared" si="2"/>
        <v>90</v>
      </c>
      <c r="B98" s="72"/>
      <c r="C98" s="72" t="s">
        <v>103</v>
      </c>
      <c r="D98" s="72" t="s">
        <v>99</v>
      </c>
      <c r="E98" s="77">
        <v>5700000</v>
      </c>
      <c r="F98" s="76">
        <f t="shared" si="9"/>
        <v>5.5350000000000003E-2</v>
      </c>
      <c r="G98" s="65">
        <f t="shared" si="10"/>
        <v>315495</v>
      </c>
      <c r="H98" s="70"/>
      <c r="I98" s="64">
        <f>'JAP-23 Page 3'!$E$42</f>
        <v>4.8210000000000003E-2</v>
      </c>
      <c r="J98" s="70"/>
      <c r="K98" s="83">
        <f t="shared" si="11"/>
        <v>5.8020000000000002E-2</v>
      </c>
      <c r="L98" s="62">
        <f t="shared" si="12"/>
        <v>330714</v>
      </c>
      <c r="M98" s="67"/>
      <c r="N98" s="61">
        <f t="shared" si="13"/>
        <v>15219</v>
      </c>
      <c r="O98" s="60">
        <f t="shared" si="14"/>
        <v>4.8238482384823846E-2</v>
      </c>
      <c r="P98" s="74"/>
      <c r="Q98" s="82">
        <f t="shared" si="15"/>
        <v>2.6699999999999988E-3</v>
      </c>
    </row>
    <row r="99" spans="1:17">
      <c r="A99" s="3">
        <f t="shared" si="2"/>
        <v>91</v>
      </c>
      <c r="B99" s="72"/>
      <c r="C99" s="72" t="s">
        <v>102</v>
      </c>
      <c r="D99" s="72" t="s">
        <v>99</v>
      </c>
      <c r="E99" s="77">
        <v>11216700</v>
      </c>
      <c r="F99" s="76">
        <f t="shared" si="9"/>
        <v>3.5490000000000001E-2</v>
      </c>
      <c r="G99" s="65">
        <f t="shared" si="10"/>
        <v>398080.68</v>
      </c>
      <c r="H99" s="70"/>
      <c r="I99" s="64">
        <f>'JAP-23 Page 3'!$E$42</f>
        <v>4.8210000000000003E-2</v>
      </c>
      <c r="J99" s="70"/>
      <c r="K99" s="83">
        <f t="shared" si="11"/>
        <v>3.7199999999999997E-2</v>
      </c>
      <c r="L99" s="62">
        <f t="shared" si="12"/>
        <v>417261.24</v>
      </c>
      <c r="M99" s="67"/>
      <c r="N99" s="61">
        <f t="shared" si="13"/>
        <v>19180.559999999998</v>
      </c>
      <c r="O99" s="60">
        <f t="shared" si="14"/>
        <v>4.8182594543397579E-2</v>
      </c>
      <c r="P99" s="74"/>
      <c r="Q99" s="82">
        <f t="shared" si="15"/>
        <v>1.7099999999999962E-3</v>
      </c>
    </row>
    <row r="100" spans="1:17">
      <c r="A100" s="3">
        <f t="shared" si="2"/>
        <v>92</v>
      </c>
      <c r="B100" s="72"/>
      <c r="C100" s="72" t="s">
        <v>101</v>
      </c>
      <c r="D100" s="72" t="s">
        <v>99</v>
      </c>
      <c r="E100" s="77">
        <v>28237241</v>
      </c>
      <c r="F100" s="76">
        <f t="shared" si="9"/>
        <v>2.5530000000000001E-2</v>
      </c>
      <c r="G100" s="65">
        <f t="shared" si="10"/>
        <v>720896.76</v>
      </c>
      <c r="H100" s="70"/>
      <c r="I100" s="64">
        <f>'JAP-23 Page 3'!$E$42</f>
        <v>4.8210000000000003E-2</v>
      </c>
      <c r="J100" s="70"/>
      <c r="K100" s="83">
        <f t="shared" si="11"/>
        <v>2.6759999999999999E-2</v>
      </c>
      <c r="L100" s="62">
        <f t="shared" si="12"/>
        <v>755628.57</v>
      </c>
      <c r="M100" s="67"/>
      <c r="N100" s="61">
        <f t="shared" si="13"/>
        <v>34731.809999999939</v>
      </c>
      <c r="O100" s="60">
        <f t="shared" si="14"/>
        <v>4.8178618530620027E-2</v>
      </c>
      <c r="P100" s="74"/>
      <c r="Q100" s="82">
        <f t="shared" si="15"/>
        <v>1.2299999999999985E-3</v>
      </c>
    </row>
    <row r="101" spans="1:17">
      <c r="A101" s="3">
        <f t="shared" si="2"/>
        <v>93</v>
      </c>
      <c r="B101" s="72"/>
      <c r="C101" s="72" t="s">
        <v>100</v>
      </c>
      <c r="D101" s="72" t="s">
        <v>99</v>
      </c>
      <c r="E101" s="77">
        <v>36815683</v>
      </c>
      <c r="F101" s="76">
        <f t="shared" si="9"/>
        <v>1.9689999999999999E-2</v>
      </c>
      <c r="G101" s="65">
        <f t="shared" si="10"/>
        <v>724900.8</v>
      </c>
      <c r="H101" s="70"/>
      <c r="I101" s="64">
        <f>'JAP-23 Page 3'!$E$42</f>
        <v>4.8210000000000003E-2</v>
      </c>
      <c r="J101" s="70"/>
      <c r="K101" s="83">
        <f t="shared" si="11"/>
        <v>2.0639999999999999E-2</v>
      </c>
      <c r="L101" s="62">
        <f t="shared" si="12"/>
        <v>759875.7</v>
      </c>
      <c r="M101" s="67"/>
      <c r="N101" s="61">
        <f t="shared" si="13"/>
        <v>34974.899999999907</v>
      </c>
      <c r="O101" s="60">
        <f t="shared" si="14"/>
        <v>4.8247843015209672E-2</v>
      </c>
      <c r="P101" s="74"/>
      <c r="Q101" s="82">
        <f t="shared" si="15"/>
        <v>9.4999999999999946E-4</v>
      </c>
    </row>
    <row r="102" spans="1:17">
      <c r="A102" s="3">
        <f t="shared" si="2"/>
        <v>94</v>
      </c>
      <c r="B102" s="67"/>
      <c r="C102" s="81" t="s">
        <v>98</v>
      </c>
      <c r="D102" s="72"/>
      <c r="E102" s="80">
        <f>SUM(E96:E101)</f>
        <v>87780838</v>
      </c>
      <c r="F102" s="76"/>
      <c r="G102" s="79"/>
      <c r="H102" s="70"/>
      <c r="I102" s="64"/>
      <c r="J102" s="70"/>
      <c r="K102" s="76"/>
      <c r="L102" s="67"/>
      <c r="M102" s="67"/>
      <c r="N102" s="67"/>
      <c r="O102" s="68"/>
      <c r="P102" s="67"/>
      <c r="Q102" s="73"/>
    </row>
    <row r="103" spans="1:17">
      <c r="A103" s="3">
        <f t="shared" si="2"/>
        <v>95</v>
      </c>
      <c r="B103" s="67"/>
      <c r="C103" s="78" t="s">
        <v>97</v>
      </c>
      <c r="D103" s="72"/>
      <c r="E103" s="77"/>
      <c r="F103" s="76"/>
      <c r="G103" s="75">
        <f>SUM(G93:G101)</f>
        <v>3214490.7699999996</v>
      </c>
      <c r="H103" s="70"/>
      <c r="I103" s="64"/>
      <c r="J103" s="70"/>
      <c r="K103" s="76"/>
      <c r="L103" s="75">
        <f>SUM(L93:L101)</f>
        <v>3370971.75</v>
      </c>
      <c r="M103" s="67"/>
      <c r="N103" s="61">
        <f>L103-G103</f>
        <v>156480.98000000045</v>
      </c>
      <c r="O103" s="60">
        <f>IF(G103&lt;&gt;0,N103/G103,0)</f>
        <v>4.8679866018094202E-2</v>
      </c>
      <c r="P103" s="74"/>
      <c r="Q103" s="73"/>
    </row>
    <row r="104" spans="1:17">
      <c r="A104" s="3">
        <f t="shared" si="2"/>
        <v>96</v>
      </c>
      <c r="B104" s="72"/>
      <c r="C104" s="72"/>
      <c r="D104" s="71"/>
      <c r="E104" s="67"/>
      <c r="F104" s="69"/>
      <c r="G104" s="62"/>
      <c r="H104" s="70"/>
      <c r="I104" s="64"/>
      <c r="J104" s="70"/>
      <c r="K104" s="69"/>
      <c r="L104" s="62"/>
      <c r="M104" s="67"/>
      <c r="N104" s="67"/>
      <c r="O104" s="68"/>
      <c r="P104" s="67"/>
      <c r="Q104" s="67"/>
    </row>
    <row r="105" spans="1:17">
      <c r="A105" s="3">
        <f t="shared" si="2"/>
        <v>97</v>
      </c>
      <c r="B105" s="59" t="s">
        <v>96</v>
      </c>
      <c r="C105" s="66"/>
      <c r="D105" s="66"/>
      <c r="E105" s="59">
        <f>SUM(E10,E24,E34,E46,E56,E66,E75,E89,E102)</f>
        <v>512283585</v>
      </c>
      <c r="F105" s="59"/>
      <c r="G105" s="65">
        <f>SUM(G10,G25,G36,G47,G57,G67,G76,G90,G103)</f>
        <v>90203499.090000004</v>
      </c>
      <c r="H105" s="59"/>
      <c r="I105" s="64"/>
      <c r="J105" s="59"/>
      <c r="K105" s="63"/>
      <c r="L105" s="62">
        <f>SUM(L10,L25,L36,L47,L57,L67,L76,L90,L103)</f>
        <v>94578949.039999992</v>
      </c>
      <c r="M105" s="59"/>
      <c r="N105" s="61">
        <f>SUM(N10,N25,N36,N47,N57,N67,N76,N90,N103)</f>
        <v>4375449.9499999993</v>
      </c>
      <c r="O105" s="60">
        <f>IF(G105&lt;&gt;0,N105/G105,0)</f>
        <v>4.8506432612269508E-2</v>
      </c>
      <c r="P105" s="59"/>
      <c r="Q105" s="59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21.710937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>
      <c r="A4" s="131" t="s">
        <v>148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7"/>
    </row>
    <row r="5" spans="1:21">
      <c r="A5" s="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41640</v>
      </c>
      <c r="E7" s="26">
        <f t="shared" ref="E7:O7" si="0">EDATE(D7,1)</f>
        <v>41671</v>
      </c>
      <c r="F7" s="26">
        <f t="shared" si="0"/>
        <v>41699</v>
      </c>
      <c r="G7" s="26">
        <f t="shared" si="0"/>
        <v>41730</v>
      </c>
      <c r="H7" s="26">
        <f t="shared" si="0"/>
        <v>41760</v>
      </c>
      <c r="I7" s="26">
        <f t="shared" si="0"/>
        <v>41791</v>
      </c>
      <c r="J7" s="26">
        <f t="shared" si="0"/>
        <v>41821</v>
      </c>
      <c r="K7" s="26">
        <f t="shared" si="0"/>
        <v>41852</v>
      </c>
      <c r="L7" s="26">
        <f t="shared" si="0"/>
        <v>41883</v>
      </c>
      <c r="M7" s="26">
        <f t="shared" si="0"/>
        <v>41913</v>
      </c>
      <c r="N7" s="26">
        <f t="shared" si="0"/>
        <v>41944</v>
      </c>
      <c r="O7" s="26">
        <f t="shared" si="0"/>
        <v>41974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723467.28306724841</v>
      </c>
      <c r="E10" s="21">
        <v>724846.94750516803</v>
      </c>
      <c r="F10" s="21">
        <v>725797.34981247014</v>
      </c>
      <c r="G10" s="21">
        <v>726566.54167779768</v>
      </c>
      <c r="H10" s="21">
        <v>726991.82389007497</v>
      </c>
      <c r="I10" s="21">
        <v>727451.4815786453</v>
      </c>
      <c r="J10" s="21">
        <v>727539.57717650302</v>
      </c>
      <c r="K10" s="21">
        <v>727972.92263377295</v>
      </c>
      <c r="L10" s="21">
        <v>729036.4750589045</v>
      </c>
      <c r="M10" s="21">
        <v>731136.53053029836</v>
      </c>
      <c r="N10" s="21">
        <v>733242.45051256381</v>
      </c>
      <c r="O10" s="21">
        <v>735028.97574289236</v>
      </c>
      <c r="P10" s="33"/>
      <c r="Q10" s="20"/>
      <c r="R10" s="20"/>
    </row>
    <row r="11" spans="1:21">
      <c r="A11" s="3">
        <f t="shared" ref="A11:A38" si="1">A10+1</f>
        <v>2</v>
      </c>
      <c r="B11" s="7" t="s">
        <v>21</v>
      </c>
      <c r="C11" s="19" t="s">
        <v>20</v>
      </c>
      <c r="D11" s="6">
        <v>45.609304854542152</v>
      </c>
      <c r="E11" s="6">
        <v>42.314975068462999</v>
      </c>
      <c r="F11" s="6">
        <v>35.927884512918283</v>
      </c>
      <c r="G11" s="6">
        <v>25.695289620143082</v>
      </c>
      <c r="H11" s="6">
        <v>16.086177851382093</v>
      </c>
      <c r="I11" s="6">
        <v>10.385938124337523</v>
      </c>
      <c r="J11" s="6">
        <v>8.207450035741088</v>
      </c>
      <c r="K11" s="6">
        <v>7.5817641165247869</v>
      </c>
      <c r="L11" s="6">
        <v>10.503458956947874</v>
      </c>
      <c r="M11" s="6">
        <v>21.985645614216242</v>
      </c>
      <c r="N11" s="6">
        <v>37.017311072455392</v>
      </c>
      <c r="O11" s="6">
        <v>46.574800172328409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32996839.865701474</v>
      </c>
      <c r="E12" s="5">
        <f t="shared" si="2"/>
        <v>30671880.512132693</v>
      </c>
      <c r="F12" s="5">
        <f t="shared" si="2"/>
        <v>26076363.363844581</v>
      </c>
      <c r="G12" s="5">
        <f t="shared" si="2"/>
        <v>18669337.71671677</v>
      </c>
      <c r="H12" s="5">
        <f t="shared" si="2"/>
        <v>11694519.775596395</v>
      </c>
      <c r="I12" s="5">
        <f t="shared" si="2"/>
        <v>7555266.0761334673</v>
      </c>
      <c r="J12" s="5">
        <f t="shared" si="2"/>
        <v>5971244.7287003454</v>
      </c>
      <c r="K12" s="5">
        <f t="shared" si="2"/>
        <v>5519318.9826264149</v>
      </c>
      <c r="L12" s="5">
        <f t="shared" si="2"/>
        <v>7657404.6938991556</v>
      </c>
      <c r="M12" s="5">
        <f t="shared" si="2"/>
        <v>16074508.655846734</v>
      </c>
      <c r="N12" s="5">
        <f t="shared" si="2"/>
        <v>27142663.882153053</v>
      </c>
      <c r="O12" s="5">
        <f t="shared" si="2"/>
        <v>34233827.666096434</v>
      </c>
      <c r="P12" s="5">
        <f>SUM(D12:O12)</f>
        <v>224263175.91944754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91022220.526877031</v>
      </c>
      <c r="E14" s="21">
        <v>82579383.028177455</v>
      </c>
      <c r="F14" s="21">
        <v>70324381.874001592</v>
      </c>
      <c r="G14" s="21">
        <v>52554454.61793264</v>
      </c>
      <c r="H14" s="21">
        <v>37603682.215031497</v>
      </c>
      <c r="I14" s="21">
        <v>24193368.202756993</v>
      </c>
      <c r="J14" s="21">
        <v>16164040.669708069</v>
      </c>
      <c r="K14" s="21">
        <v>12812194.50744937</v>
      </c>
      <c r="L14" s="21">
        <v>15003820.505151745</v>
      </c>
      <c r="M14" s="21">
        <v>25623860.288577631</v>
      </c>
      <c r="N14" s="21">
        <v>52804496.791929215</v>
      </c>
      <c r="O14" s="21">
        <v>80770328.728546351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147</v>
      </c>
      <c r="D15" s="18">
        <v>0.38490999999999997</v>
      </c>
      <c r="E15" s="18">
        <f>$D$15</f>
        <v>0.38490999999999997</v>
      </c>
      <c r="F15" s="18">
        <f>$D$15</f>
        <v>0.38490999999999997</v>
      </c>
      <c r="G15" s="18">
        <f>$D$15</f>
        <v>0.38490999999999997</v>
      </c>
      <c r="H15" s="18">
        <f>'JAP-23 Page 3'!D32</f>
        <v>0.41615000000000002</v>
      </c>
      <c r="I15" s="18">
        <f t="shared" ref="I15:O15" si="3">$H$15</f>
        <v>0.41615000000000002</v>
      </c>
      <c r="J15" s="18">
        <f t="shared" si="3"/>
        <v>0.41615000000000002</v>
      </c>
      <c r="K15" s="18">
        <f t="shared" si="3"/>
        <v>0.41615000000000002</v>
      </c>
      <c r="L15" s="18">
        <f t="shared" si="3"/>
        <v>0.41615000000000002</v>
      </c>
      <c r="M15" s="18">
        <f t="shared" si="3"/>
        <v>0.41615000000000002</v>
      </c>
      <c r="N15" s="18">
        <f t="shared" si="3"/>
        <v>0.41615000000000002</v>
      </c>
      <c r="O15" s="18">
        <f t="shared" si="3"/>
        <v>0.41615000000000002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35035362.903000236</v>
      </c>
      <c r="E16" s="5">
        <f t="shared" si="4"/>
        <v>31785630.321375784</v>
      </c>
      <c r="F16" s="5">
        <f t="shared" si="4"/>
        <v>27068557.827121951</v>
      </c>
      <c r="G16" s="5">
        <f t="shared" si="4"/>
        <v>20228735.126988452</v>
      </c>
      <c r="H16" s="5">
        <f t="shared" si="4"/>
        <v>15648772.353785358</v>
      </c>
      <c r="I16" s="5">
        <f t="shared" si="4"/>
        <v>10068070.177577324</v>
      </c>
      <c r="J16" s="5">
        <f t="shared" si="4"/>
        <v>6726665.5246990137</v>
      </c>
      <c r="K16" s="5">
        <f t="shared" si="4"/>
        <v>5331794.7442750558</v>
      </c>
      <c r="L16" s="5">
        <f t="shared" si="4"/>
        <v>6243839.9032188989</v>
      </c>
      <c r="M16" s="5">
        <f t="shared" si="4"/>
        <v>10663369.459091581</v>
      </c>
      <c r="N16" s="5">
        <f t="shared" si="4"/>
        <v>21974591.339961343</v>
      </c>
      <c r="O16" s="5">
        <f t="shared" si="4"/>
        <v>33612572.300384566</v>
      </c>
      <c r="P16" s="5">
        <f>SUM(D16:O16)</f>
        <v>224387961.98147953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-2038523.0372987613</v>
      </c>
      <c r="E18" s="5">
        <f t="shared" si="5"/>
        <v>-1113749.8092430905</v>
      </c>
      <c r="F18" s="5">
        <f t="shared" si="5"/>
        <v>-992194.46327736974</v>
      </c>
      <c r="G18" s="5">
        <f t="shared" si="5"/>
        <v>-1559397.4102716818</v>
      </c>
      <c r="H18" s="5">
        <f t="shared" si="5"/>
        <v>-3954252.5781889632</v>
      </c>
      <c r="I18" s="5">
        <f t="shared" si="5"/>
        <v>-2512804.101443857</v>
      </c>
      <c r="J18" s="5">
        <f t="shared" si="5"/>
        <v>-755420.7959986683</v>
      </c>
      <c r="K18" s="5">
        <f t="shared" si="5"/>
        <v>187524.23835135903</v>
      </c>
      <c r="L18" s="5">
        <f t="shared" si="5"/>
        <v>1413564.7906802567</v>
      </c>
      <c r="M18" s="5">
        <f t="shared" si="5"/>
        <v>5411139.1967551522</v>
      </c>
      <c r="N18" s="5">
        <f t="shared" si="5"/>
        <v>5168072.5421917103</v>
      </c>
      <c r="O18" s="5">
        <f t="shared" si="5"/>
        <v>621255.36571186781</v>
      </c>
      <c r="P18" s="5">
        <f>SUM(D18:O18)</f>
        <v>-124786.06203204766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23080.523383910608</v>
      </c>
      <c r="E20" s="15">
        <v>18811.820570885186</v>
      </c>
      <c r="F20" s="15">
        <v>15960.021035180393</v>
      </c>
      <c r="G20" s="15">
        <v>12504.740373082721</v>
      </c>
      <c r="H20" s="15">
        <v>4180.6995955577195</v>
      </c>
      <c r="I20" s="15">
        <v>-5986.1989795628951</v>
      </c>
      <c r="J20" s="15">
        <v>-11332.365110802732</v>
      </c>
      <c r="K20" s="15">
        <v>-12762.262381951901</v>
      </c>
      <c r="L20" s="15">
        <v>-11228.530141976284</v>
      </c>
      <c r="M20" s="15">
        <v>-2913.3525903395494</v>
      </c>
      <c r="N20" s="15">
        <v>9623.9215470000909</v>
      </c>
      <c r="O20" s="15">
        <v>14417.150721527374</v>
      </c>
      <c r="P20" s="5">
        <f>SUM(D20:O20)</f>
        <v>54356.168022510741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1'!O22+D18+D20</f>
        <v>7502838.555237147</v>
      </c>
      <c r="E22" s="5">
        <f t="shared" ref="E22:O22" si="6">D22+E18+E20</f>
        <v>6407900.5665649418</v>
      </c>
      <c r="F22" s="5">
        <f t="shared" si="6"/>
        <v>5431666.1243227525</v>
      </c>
      <c r="G22" s="5">
        <f t="shared" si="6"/>
        <v>3884773.4544241535</v>
      </c>
      <c r="H22" s="5">
        <f t="shared" si="6"/>
        <v>-65298.424169251964</v>
      </c>
      <c r="I22" s="5">
        <f t="shared" si="6"/>
        <v>-2584088.7245926722</v>
      </c>
      <c r="J22" s="5">
        <f t="shared" si="6"/>
        <v>-3350841.8857021434</v>
      </c>
      <c r="K22" s="5">
        <f t="shared" si="6"/>
        <v>-3176079.9097327362</v>
      </c>
      <c r="L22" s="5">
        <f t="shared" si="6"/>
        <v>-1773743.6491944557</v>
      </c>
      <c r="M22" s="5">
        <f t="shared" si="6"/>
        <v>3634482.1949703568</v>
      </c>
      <c r="N22" s="5">
        <f t="shared" si="6"/>
        <v>8812178.658709066</v>
      </c>
      <c r="O22" s="5">
        <f t="shared" si="6"/>
        <v>9447851.1751424614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13">
        <f>'JAP-23 Page 1'!O22/'JAP-23 Page 3'!D30</f>
        <v>1.6842339181184815E-2</v>
      </c>
      <c r="I24" s="13">
        <f t="shared" ref="I24:O24" si="7">$H$24</f>
        <v>1.6842339181184815E-2</v>
      </c>
      <c r="J24" s="13">
        <f t="shared" si="7"/>
        <v>1.6842339181184815E-2</v>
      </c>
      <c r="K24" s="13">
        <f t="shared" si="7"/>
        <v>1.6842339181184815E-2</v>
      </c>
      <c r="L24" s="13">
        <f t="shared" si="7"/>
        <v>1.6842339181184815E-2</v>
      </c>
      <c r="M24" s="13">
        <f t="shared" si="7"/>
        <v>1.6842339181184815E-2</v>
      </c>
      <c r="N24" s="13">
        <f t="shared" si="7"/>
        <v>1.6842339181184815E-2</v>
      </c>
      <c r="O24" s="13">
        <f t="shared" si="7"/>
        <v>1.6842339181184815E-2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8">H14*H24</f>
        <v>633333.97032704763</v>
      </c>
      <c r="I26" s="5">
        <f t="shared" si="8"/>
        <v>407472.91320612497</v>
      </c>
      <c r="J26" s="5">
        <f t="shared" si="8"/>
        <v>272240.25549768907</v>
      </c>
      <c r="K26" s="5">
        <f t="shared" si="8"/>
        <v>215787.32554977541</v>
      </c>
      <c r="L26" s="5">
        <f t="shared" si="8"/>
        <v>252699.43396138138</v>
      </c>
      <c r="M26" s="5">
        <f t="shared" si="8"/>
        <v>431565.74611151667</v>
      </c>
      <c r="N26" s="5">
        <f t="shared" si="8"/>
        <v>889351.24526145728</v>
      </c>
      <c r="O26" s="5">
        <f t="shared" si="8"/>
        <v>1360361.2722219736</v>
      </c>
      <c r="P26" s="5">
        <f>SUM(D26:O26)</f>
        <v>4462812.1621369664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f>G22+H18+H20-H26</f>
        <v>-698632.39449629956</v>
      </c>
      <c r="I28" s="5">
        <f t="shared" ref="I28:O28" si="9">H28+I18+I20-I26</f>
        <v>-3624895.6081258445</v>
      </c>
      <c r="J28" s="5">
        <f t="shared" si="9"/>
        <v>-4663889.0247330051</v>
      </c>
      <c r="K28" s="5">
        <f t="shared" si="9"/>
        <v>-4704914.374313374</v>
      </c>
      <c r="L28" s="5">
        <f t="shared" si="9"/>
        <v>-3555277.5477364748</v>
      </c>
      <c r="M28" s="5">
        <f t="shared" si="9"/>
        <v>1421382.5503168213</v>
      </c>
      <c r="N28" s="5">
        <f t="shared" si="9"/>
        <v>5709727.7687940747</v>
      </c>
      <c r="O28" s="5">
        <f t="shared" si="9"/>
        <v>4985039.0130054969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147</v>
      </c>
      <c r="D30" s="127">
        <v>2.1059999999999968E-2</v>
      </c>
      <c r="E30" s="127">
        <f>$D$30</f>
        <v>2.1059999999999968E-2</v>
      </c>
      <c r="F30" s="127">
        <f>$D$30</f>
        <v>2.1059999999999968E-2</v>
      </c>
      <c r="G30" s="127">
        <f>$D$30</f>
        <v>2.1059999999999968E-2</v>
      </c>
      <c r="H30" s="127">
        <f>'JAP-23 Page 3'!D34</f>
        <v>5.2300000000000013E-2</v>
      </c>
      <c r="I30" s="127">
        <f t="shared" ref="I30:O30" si="10">$H$30</f>
        <v>5.2300000000000013E-2</v>
      </c>
      <c r="J30" s="127">
        <f t="shared" si="10"/>
        <v>5.2300000000000013E-2</v>
      </c>
      <c r="K30" s="127">
        <f t="shared" si="10"/>
        <v>5.2300000000000013E-2</v>
      </c>
      <c r="L30" s="127">
        <f t="shared" si="10"/>
        <v>5.2300000000000013E-2</v>
      </c>
      <c r="M30" s="127">
        <f t="shared" si="10"/>
        <v>5.2300000000000013E-2</v>
      </c>
      <c r="N30" s="127">
        <f t="shared" si="10"/>
        <v>5.2300000000000013E-2</v>
      </c>
      <c r="O30" s="127">
        <f t="shared" si="10"/>
        <v>5.2300000000000013E-2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1916927.9642960273</v>
      </c>
      <c r="E32" s="126">
        <f t="shared" si="11"/>
        <v>1739121.8065734145</v>
      </c>
      <c r="F32" s="126">
        <f t="shared" si="11"/>
        <v>1481031.4822664713</v>
      </c>
      <c r="G32" s="126">
        <f t="shared" si="11"/>
        <v>1106796.8142536597</v>
      </c>
      <c r="H32" s="126">
        <f t="shared" si="11"/>
        <v>1966672.5798461477</v>
      </c>
      <c r="I32" s="126">
        <f t="shared" si="11"/>
        <v>1265313.1570041911</v>
      </c>
      <c r="J32" s="126">
        <f t="shared" si="11"/>
        <v>845379.32702573226</v>
      </c>
      <c r="K32" s="126">
        <f t="shared" si="11"/>
        <v>670077.77273960225</v>
      </c>
      <c r="L32" s="126">
        <f t="shared" si="11"/>
        <v>784699.81241943641</v>
      </c>
      <c r="M32" s="126">
        <f t="shared" si="11"/>
        <v>1340127.8930926104</v>
      </c>
      <c r="N32" s="126">
        <f t="shared" si="11"/>
        <v>2761675.1822178988</v>
      </c>
      <c r="O32" s="126">
        <f t="shared" si="11"/>
        <v>4224288.1925029755</v>
      </c>
      <c r="P32" s="5">
        <f>SUM(D32:O32)</f>
        <v>20102111.984238166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95442469.985342741</v>
      </c>
      <c r="E34" s="5">
        <v>87296229.367972493</v>
      </c>
      <c r="F34" s="5">
        <v>75471746.40434283</v>
      </c>
      <c r="G34" s="5">
        <v>58326076.692779571</v>
      </c>
      <c r="H34" s="5">
        <v>45075263.956789926</v>
      </c>
      <c r="I34" s="5">
        <v>31717116.066023175</v>
      </c>
      <c r="J34" s="5">
        <v>23719022.617077809</v>
      </c>
      <c r="K34" s="5">
        <v>20380215.136390295</v>
      </c>
      <c r="L34" s="5">
        <v>22563315.708961606</v>
      </c>
      <c r="M34" s="5">
        <v>33142043.537629969</v>
      </c>
      <c r="N34" s="5">
        <v>60216947.364983514</v>
      </c>
      <c r="O34" s="5">
        <v>88073992.215367213</v>
      </c>
      <c r="P34" s="5">
        <f>SUM(D34:O34)</f>
        <v>641424439.05366111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2.0084643289202522E-2</v>
      </c>
      <c r="E36" s="125">
        <f t="shared" si="12"/>
        <v>1.9922072455645704E-2</v>
      </c>
      <c r="F36" s="125">
        <f t="shared" si="12"/>
        <v>1.9623654583687346E-2</v>
      </c>
      <c r="G36" s="125">
        <f t="shared" si="12"/>
        <v>1.8976020281348267E-2</v>
      </c>
      <c r="H36" s="125">
        <f t="shared" si="12"/>
        <v>4.3630861080069111E-2</v>
      </c>
      <c r="I36" s="125">
        <f t="shared" si="12"/>
        <v>3.9893701380991964E-2</v>
      </c>
      <c r="J36" s="125">
        <f t="shared" si="12"/>
        <v>3.5641406506229947E-2</v>
      </c>
      <c r="K36" s="125">
        <f t="shared" si="12"/>
        <v>3.2878837061103033E-2</v>
      </c>
      <c r="L36" s="125">
        <f t="shared" si="12"/>
        <v>3.4777681726439372E-2</v>
      </c>
      <c r="M36" s="125">
        <f t="shared" si="12"/>
        <v>4.0435885963730912E-2</v>
      </c>
      <c r="N36" s="125">
        <f t="shared" si="12"/>
        <v>4.5862092036632003E-2</v>
      </c>
      <c r="O36" s="125">
        <f t="shared" si="12"/>
        <v>4.7962946679802242E-2</v>
      </c>
      <c r="P36" s="125">
        <f t="shared" si="12"/>
        <v>3.1339797426328558E-2</v>
      </c>
    </row>
    <row r="37" spans="1:16">
      <c r="A37" s="3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>
      <c r="A38" s="3">
        <f t="shared" si="1"/>
        <v>29</v>
      </c>
      <c r="B38" s="7" t="s">
        <v>1</v>
      </c>
      <c r="C38" s="3" t="s">
        <v>0</v>
      </c>
      <c r="D38" s="6">
        <f t="shared" ref="D38:O38" si="13">D30*68</f>
        <v>1.4320799999999978</v>
      </c>
      <c r="E38" s="6">
        <f t="shared" si="13"/>
        <v>1.4320799999999978</v>
      </c>
      <c r="F38" s="6">
        <f t="shared" si="13"/>
        <v>1.4320799999999978</v>
      </c>
      <c r="G38" s="6">
        <f t="shared" si="13"/>
        <v>1.4320799999999978</v>
      </c>
      <c r="H38" s="6">
        <f t="shared" si="13"/>
        <v>3.5564000000000009</v>
      </c>
      <c r="I38" s="6">
        <f t="shared" si="13"/>
        <v>3.5564000000000009</v>
      </c>
      <c r="J38" s="6">
        <f t="shared" si="13"/>
        <v>3.5564000000000009</v>
      </c>
      <c r="K38" s="6">
        <f t="shared" si="13"/>
        <v>3.5564000000000009</v>
      </c>
      <c r="L38" s="6">
        <f t="shared" si="13"/>
        <v>3.5564000000000009</v>
      </c>
      <c r="M38" s="6">
        <f t="shared" si="13"/>
        <v>3.5564000000000009</v>
      </c>
      <c r="N38" s="6">
        <f t="shared" si="13"/>
        <v>3.5564000000000009</v>
      </c>
      <c r="O38" s="6">
        <f t="shared" si="13"/>
        <v>3.5564000000000009</v>
      </c>
      <c r="P38" s="7"/>
    </row>
    <row r="39" spans="1:16">
      <c r="A39" s="4"/>
    </row>
    <row r="40" spans="1:16">
      <c r="C40" s="3"/>
    </row>
    <row r="43" spans="1:16">
      <c r="C43" s="3"/>
    </row>
    <row r="46" spans="1:16">
      <c r="C46" s="3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22.285156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148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41640</v>
      </c>
      <c r="E7" s="26">
        <f t="shared" ref="E7:O7" si="0">EDATE(D7,1)</f>
        <v>41671</v>
      </c>
      <c r="F7" s="26">
        <f t="shared" si="0"/>
        <v>41699</v>
      </c>
      <c r="G7" s="26">
        <f t="shared" si="0"/>
        <v>41730</v>
      </c>
      <c r="H7" s="26">
        <f t="shared" si="0"/>
        <v>41760</v>
      </c>
      <c r="I7" s="26">
        <f t="shared" si="0"/>
        <v>41791</v>
      </c>
      <c r="J7" s="26">
        <f t="shared" si="0"/>
        <v>41821</v>
      </c>
      <c r="K7" s="26">
        <f t="shared" si="0"/>
        <v>41852</v>
      </c>
      <c r="L7" s="26">
        <f t="shared" si="0"/>
        <v>41883</v>
      </c>
      <c r="M7" s="26">
        <f t="shared" si="0"/>
        <v>41913</v>
      </c>
      <c r="N7" s="26">
        <f t="shared" si="0"/>
        <v>41944</v>
      </c>
      <c r="O7" s="26">
        <f t="shared" si="0"/>
        <v>41974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58154.615079541691</v>
      </c>
      <c r="E10" s="21">
        <v>58249.383939007297</v>
      </c>
      <c r="F10" s="21">
        <v>58321.521800306509</v>
      </c>
      <c r="G10" s="21">
        <v>58361.382418193505</v>
      </c>
      <c r="H10" s="21">
        <v>58352.224684615037</v>
      </c>
      <c r="I10" s="21">
        <v>58343.126005488564</v>
      </c>
      <c r="J10" s="21">
        <v>58317.160988826538</v>
      </c>
      <c r="K10" s="21">
        <v>58301.67948342918</v>
      </c>
      <c r="L10" s="21">
        <v>58362.242143121432</v>
      </c>
      <c r="M10" s="21">
        <v>58481.883806382655</v>
      </c>
      <c r="N10" s="21">
        <v>58687.128417724045</v>
      </c>
      <c r="O10" s="21">
        <v>58829.753576719784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194.1186075172196</v>
      </c>
      <c r="E11" s="6">
        <v>182.30366974133037</v>
      </c>
      <c r="F11" s="6">
        <v>175.3266512202444</v>
      </c>
      <c r="G11" s="6">
        <v>144.53256898534752</v>
      </c>
      <c r="H11" s="6">
        <v>120.81085446894417</v>
      </c>
      <c r="I11" s="6">
        <v>97.958280465614081</v>
      </c>
      <c r="J11" s="6">
        <v>90.866006404279076</v>
      </c>
      <c r="K11" s="6">
        <v>92.482520418507505</v>
      </c>
      <c r="L11" s="6">
        <v>97.347915230802272</v>
      </c>
      <c r="M11" s="6">
        <v>130.88853484855687</v>
      </c>
      <c r="N11" s="6">
        <v>166.16028386925166</v>
      </c>
      <c r="O11" s="6">
        <v>194.28410682990267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11288892.899940534</v>
      </c>
      <c r="E12" s="5">
        <f t="shared" si="2"/>
        <v>10619076.45225274</v>
      </c>
      <c r="F12" s="5">
        <f t="shared" si="2"/>
        <v>10225317.111316219</v>
      </c>
      <c r="G12" s="5">
        <f t="shared" si="2"/>
        <v>8435120.530437801</v>
      </c>
      <c r="H12" s="5">
        <f t="shared" si="2"/>
        <v>7049582.1243121587</v>
      </c>
      <c r="I12" s="5">
        <f t="shared" si="2"/>
        <v>5715192.3004863113</v>
      </c>
      <c r="J12" s="5">
        <f t="shared" si="2"/>
        <v>5299047.5238900864</v>
      </c>
      <c r="K12" s="5">
        <f t="shared" si="2"/>
        <v>5391886.2632595189</v>
      </c>
      <c r="L12" s="5">
        <f t="shared" si="2"/>
        <v>5681442.600828141</v>
      </c>
      <c r="M12" s="5">
        <f t="shared" si="2"/>
        <v>7654608.0866009695</v>
      </c>
      <c r="N12" s="5">
        <f t="shared" si="2"/>
        <v>9751469.9173602536</v>
      </c>
      <c r="O12" s="5">
        <f t="shared" si="2"/>
        <v>11429686.128676275</v>
      </c>
      <c r="P12" s="5">
        <f>SUM(D12:O12)</f>
        <v>98541321.939361021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65781404.765929684</v>
      </c>
      <c r="E14" s="21">
        <v>64168787.614647448</v>
      </c>
      <c r="F14" s="21">
        <v>56872553.539310493</v>
      </c>
      <c r="G14" s="21">
        <v>51120004.630007938</v>
      </c>
      <c r="H14" s="21">
        <v>42880028.402475961</v>
      </c>
      <c r="I14" s="21">
        <v>36468270.518119805</v>
      </c>
      <c r="J14" s="21">
        <v>30528576.530354973</v>
      </c>
      <c r="K14" s="21">
        <v>28582555.24765683</v>
      </c>
      <c r="L14" s="21">
        <v>29975200.23979158</v>
      </c>
      <c r="M14" s="21">
        <v>33522860.470682297</v>
      </c>
      <c r="N14" s="21">
        <v>45414605.554004095</v>
      </c>
      <c r="O14" s="21">
        <v>60631691.591007262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147</v>
      </c>
      <c r="D15" s="18">
        <v>0.17383000000000001</v>
      </c>
      <c r="E15" s="18">
        <f>$D$15</f>
        <v>0.17383000000000001</v>
      </c>
      <c r="F15" s="18">
        <f>$D$15</f>
        <v>0.17383000000000001</v>
      </c>
      <c r="G15" s="18">
        <f>$D$15</f>
        <v>0.17383000000000001</v>
      </c>
      <c r="H15" s="18">
        <f>'JAP-23 Page 3'!E32</f>
        <v>0.185</v>
      </c>
      <c r="I15" s="18">
        <f t="shared" ref="I15:O15" si="3">$H$15</f>
        <v>0.185</v>
      </c>
      <c r="J15" s="18">
        <f t="shared" si="3"/>
        <v>0.185</v>
      </c>
      <c r="K15" s="18">
        <f t="shared" si="3"/>
        <v>0.185</v>
      </c>
      <c r="L15" s="18">
        <f t="shared" si="3"/>
        <v>0.185</v>
      </c>
      <c r="M15" s="18">
        <f t="shared" si="3"/>
        <v>0.185</v>
      </c>
      <c r="N15" s="18">
        <f t="shared" si="3"/>
        <v>0.185</v>
      </c>
      <c r="O15" s="18">
        <f t="shared" si="3"/>
        <v>0.185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11434781.590461558</v>
      </c>
      <c r="E16" s="5">
        <f t="shared" si="4"/>
        <v>11154460.351054167</v>
      </c>
      <c r="F16" s="5">
        <f t="shared" si="4"/>
        <v>9886155.9817383438</v>
      </c>
      <c r="G16" s="5">
        <f t="shared" si="4"/>
        <v>8886190.4048342798</v>
      </c>
      <c r="H16" s="5">
        <f t="shared" si="4"/>
        <v>7932805.254458053</v>
      </c>
      <c r="I16" s="5">
        <f t="shared" si="4"/>
        <v>6746630.0458521638</v>
      </c>
      <c r="J16" s="5">
        <f t="shared" si="4"/>
        <v>5647786.6581156701</v>
      </c>
      <c r="K16" s="5">
        <f t="shared" si="4"/>
        <v>5287772.7208165135</v>
      </c>
      <c r="L16" s="5">
        <f t="shared" si="4"/>
        <v>5545412.0443614423</v>
      </c>
      <c r="M16" s="5">
        <f t="shared" si="4"/>
        <v>6201729.1870762249</v>
      </c>
      <c r="N16" s="5">
        <f t="shared" si="4"/>
        <v>8401702.0274907574</v>
      </c>
      <c r="O16" s="5">
        <f t="shared" si="4"/>
        <v>11216862.944336344</v>
      </c>
      <c r="P16" s="5">
        <f>SUM(D16:O16)</f>
        <v>98342289.210595503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-145888.69052102417</v>
      </c>
      <c r="E18" s="5">
        <f t="shared" si="5"/>
        <v>-535383.89880142733</v>
      </c>
      <c r="F18" s="5">
        <f t="shared" si="5"/>
        <v>339161.12957787514</v>
      </c>
      <c r="G18" s="5">
        <f t="shared" si="5"/>
        <v>-451069.87439647876</v>
      </c>
      <c r="H18" s="5">
        <f t="shared" si="5"/>
        <v>-883223.13014589436</v>
      </c>
      <c r="I18" s="5">
        <f t="shared" si="5"/>
        <v>-1031437.7453658525</v>
      </c>
      <c r="J18" s="5">
        <f t="shared" si="5"/>
        <v>-348739.13422558364</v>
      </c>
      <c r="K18" s="5">
        <f t="shared" si="5"/>
        <v>104113.54244300537</v>
      </c>
      <c r="L18" s="5">
        <f t="shared" si="5"/>
        <v>136030.55646669865</v>
      </c>
      <c r="M18" s="5">
        <f t="shared" si="5"/>
        <v>1452878.8995247446</v>
      </c>
      <c r="N18" s="5">
        <f t="shared" si="5"/>
        <v>1349767.8898694962</v>
      </c>
      <c r="O18" s="5">
        <f t="shared" si="5"/>
        <v>212823.18433993123</v>
      </c>
      <c r="P18" s="5">
        <f>SUM(D18:O18)</f>
        <v>199032.72876549046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5467.0097909637561</v>
      </c>
      <c r="E20" s="15">
        <v>4544.4531595896033</v>
      </c>
      <c r="F20" s="15">
        <v>4278.7348262660435</v>
      </c>
      <c r="G20" s="15">
        <v>4127.1917343241839</v>
      </c>
      <c r="H20" s="15">
        <v>2099.152237974833</v>
      </c>
      <c r="I20" s="15">
        <v>-902.91324692353419</v>
      </c>
      <c r="J20" s="15">
        <v>-3117.4868820284428</v>
      </c>
      <c r="K20" s="15">
        <v>-3753.6586037165403</v>
      </c>
      <c r="L20" s="15">
        <v>-3730.5169356301139</v>
      </c>
      <c r="M20" s="15">
        <v>-1906.4053340680739</v>
      </c>
      <c r="N20" s="15">
        <v>1481.6691414780896</v>
      </c>
      <c r="O20" s="15">
        <v>3050.6683358324267</v>
      </c>
      <c r="P20" s="5">
        <f>SUM(D20:O20)</f>
        <v>11637.898224062232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2'!O22+D18+D20</f>
        <v>1940423.4128101645</v>
      </c>
      <c r="E22" s="5">
        <f t="shared" ref="E22:O22" si="6">D22+E18+E20</f>
        <v>1409583.9671683267</v>
      </c>
      <c r="F22" s="5">
        <f t="shared" si="6"/>
        <v>1753023.8315724679</v>
      </c>
      <c r="G22" s="5">
        <f t="shared" si="6"/>
        <v>1306081.1489103134</v>
      </c>
      <c r="H22" s="5">
        <f t="shared" si="6"/>
        <v>424957.17100239382</v>
      </c>
      <c r="I22" s="5">
        <f t="shared" si="6"/>
        <v>-607383.48761038226</v>
      </c>
      <c r="J22" s="5">
        <f t="shared" si="6"/>
        <v>-959240.1087179943</v>
      </c>
      <c r="K22" s="5">
        <f t="shared" si="6"/>
        <v>-858880.22487870546</v>
      </c>
      <c r="L22" s="5">
        <f t="shared" si="6"/>
        <v>-726580.18534763693</v>
      </c>
      <c r="M22" s="5">
        <f t="shared" si="6"/>
        <v>724392.30884303956</v>
      </c>
      <c r="N22" s="5">
        <f t="shared" si="6"/>
        <v>2075641.8678540138</v>
      </c>
      <c r="O22" s="5">
        <f t="shared" si="6"/>
        <v>2291515.7205297779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5">
        <v>0</v>
      </c>
      <c r="E24" s="5">
        <v>0</v>
      </c>
      <c r="F24" s="5">
        <v>0</v>
      </c>
      <c r="G24" s="5">
        <v>0</v>
      </c>
      <c r="H24" s="13">
        <f>'JAP-23 Page 2'!O22/'JAP-23 Page 3'!E30</f>
        <v>3.8091430457891447E-3</v>
      </c>
      <c r="I24" s="13">
        <f t="shared" ref="I24:O24" si="7">$H$24</f>
        <v>3.8091430457891447E-3</v>
      </c>
      <c r="J24" s="13">
        <f t="shared" si="7"/>
        <v>3.8091430457891447E-3</v>
      </c>
      <c r="K24" s="13">
        <f t="shared" si="7"/>
        <v>3.8091430457891447E-3</v>
      </c>
      <c r="L24" s="13">
        <f t="shared" si="7"/>
        <v>3.8091430457891447E-3</v>
      </c>
      <c r="M24" s="13">
        <f t="shared" si="7"/>
        <v>3.8091430457891447E-3</v>
      </c>
      <c r="N24" s="13">
        <f t="shared" si="7"/>
        <v>3.8091430457891447E-3</v>
      </c>
      <c r="O24" s="13">
        <f t="shared" si="7"/>
        <v>3.8091430457891447E-3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v>0</v>
      </c>
      <c r="E26" s="5">
        <v>0</v>
      </c>
      <c r="F26" s="5">
        <v>0</v>
      </c>
      <c r="G26" s="5">
        <v>0</v>
      </c>
      <c r="H26" s="5">
        <f t="shared" ref="H26:O26" si="8">H14*H24</f>
        <v>163336.16199253232</v>
      </c>
      <c r="I26" s="5">
        <f t="shared" si="8"/>
        <v>138912.85903605336</v>
      </c>
      <c r="J26" s="5">
        <f t="shared" si="8"/>
        <v>116287.71498844335</v>
      </c>
      <c r="K26" s="5">
        <f t="shared" si="8"/>
        <v>108875.04155249604</v>
      </c>
      <c r="L26" s="5">
        <f t="shared" si="8"/>
        <v>114179.8255395392</v>
      </c>
      <c r="M26" s="5">
        <f t="shared" si="8"/>
        <v>127693.37083685928</v>
      </c>
      <c r="N26" s="5">
        <f t="shared" si="8"/>
        <v>172990.72892329175</v>
      </c>
      <c r="O26" s="5">
        <f t="shared" si="8"/>
        <v>230954.78637831748</v>
      </c>
      <c r="P26" s="5">
        <f>SUM(D26:O26)</f>
        <v>1173230.4892475328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v>0</v>
      </c>
      <c r="E28" s="5">
        <v>0</v>
      </c>
      <c r="F28" s="5">
        <v>0</v>
      </c>
      <c r="G28" s="5">
        <v>0</v>
      </c>
      <c r="H28" s="5">
        <f>G22+H18+H20-H26</f>
        <v>261621.0090098615</v>
      </c>
      <c r="I28" s="5">
        <f t="shared" ref="I28:O28" si="9">H28+I18+I20-I26</f>
        <v>-909632.50863896799</v>
      </c>
      <c r="J28" s="5">
        <f t="shared" si="9"/>
        <v>-1377776.8447350233</v>
      </c>
      <c r="K28" s="5">
        <f t="shared" si="9"/>
        <v>-1386292.0024482307</v>
      </c>
      <c r="L28" s="5">
        <f t="shared" si="9"/>
        <v>-1368171.7884567012</v>
      </c>
      <c r="M28" s="5">
        <f t="shared" si="9"/>
        <v>-44892.665102883955</v>
      </c>
      <c r="N28" s="5">
        <f t="shared" si="9"/>
        <v>1133366.1649847988</v>
      </c>
      <c r="O28" s="5">
        <f t="shared" si="9"/>
        <v>1118285.2312822449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147</v>
      </c>
      <c r="D30" s="127">
        <v>-2.2499999999999742E-3</v>
      </c>
      <c r="E30" s="127">
        <f>$D$30</f>
        <v>-2.2499999999999742E-3</v>
      </c>
      <c r="F30" s="127">
        <f>$D$30</f>
        <v>-2.2499999999999742E-3</v>
      </c>
      <c r="G30" s="127">
        <f>$D$30</f>
        <v>-2.2499999999999742E-3</v>
      </c>
      <c r="H30" s="127">
        <f>'JAP-23 Page 3'!E34</f>
        <v>8.9200000000000113E-3</v>
      </c>
      <c r="I30" s="127">
        <f t="shared" ref="I30:O30" si="10">$H$30</f>
        <v>8.9200000000000113E-3</v>
      </c>
      <c r="J30" s="127">
        <f t="shared" si="10"/>
        <v>8.9200000000000113E-3</v>
      </c>
      <c r="K30" s="127">
        <f t="shared" si="10"/>
        <v>8.9200000000000113E-3</v>
      </c>
      <c r="L30" s="127">
        <f t="shared" si="10"/>
        <v>8.9200000000000113E-3</v>
      </c>
      <c r="M30" s="127">
        <f t="shared" si="10"/>
        <v>8.9200000000000113E-3</v>
      </c>
      <c r="N30" s="127">
        <f t="shared" si="10"/>
        <v>8.9200000000000113E-3</v>
      </c>
      <c r="O30" s="127">
        <f t="shared" si="10"/>
        <v>8.9200000000000113E-3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-148008.16072334009</v>
      </c>
      <c r="E32" s="126">
        <f t="shared" si="11"/>
        <v>-144379.77213295511</v>
      </c>
      <c r="F32" s="126">
        <f t="shared" si="11"/>
        <v>-127963.24546344715</v>
      </c>
      <c r="G32" s="126">
        <f t="shared" si="11"/>
        <v>-115020.01041751655</v>
      </c>
      <c r="H32" s="126">
        <f t="shared" si="11"/>
        <v>382489.85335008608</v>
      </c>
      <c r="I32" s="126">
        <f t="shared" si="11"/>
        <v>325296.97302162909</v>
      </c>
      <c r="J32" s="126">
        <f t="shared" si="11"/>
        <v>272314.90265076671</v>
      </c>
      <c r="K32" s="126">
        <f t="shared" si="11"/>
        <v>254956.39280909926</v>
      </c>
      <c r="L32" s="126">
        <f t="shared" si="11"/>
        <v>267378.78613894124</v>
      </c>
      <c r="M32" s="126">
        <f t="shared" si="11"/>
        <v>299023.91539848648</v>
      </c>
      <c r="N32" s="126">
        <f t="shared" si="11"/>
        <v>405098.28154171706</v>
      </c>
      <c r="O32" s="126">
        <f t="shared" si="11"/>
        <v>540834.68899178552</v>
      </c>
      <c r="P32" s="5">
        <f>SUM(D32:O32)</f>
        <v>2212022.6051652525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50961316.375747919</v>
      </c>
      <c r="E34" s="5">
        <v>49778723.563194342</v>
      </c>
      <c r="F34" s="5">
        <v>44428120.681821473</v>
      </c>
      <c r="G34" s="5">
        <v>40209560.195474803</v>
      </c>
      <c r="H34" s="5">
        <v>34645845.614091977</v>
      </c>
      <c r="I34" s="5">
        <v>29872243.055881992</v>
      </c>
      <c r="J34" s="5">
        <v>25450095.662550427</v>
      </c>
      <c r="K34" s="5">
        <v>24001268.002341338</v>
      </c>
      <c r="L34" s="5">
        <v>25038102.801321015</v>
      </c>
      <c r="M34" s="5">
        <v>27679362.851885181</v>
      </c>
      <c r="N34" s="5">
        <v>36532857.59937536</v>
      </c>
      <c r="O34" s="5">
        <v>47862094.003010087</v>
      </c>
      <c r="P34" s="5">
        <f>SUM(D34:O34)</f>
        <v>436459590.40669596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-2.9043237351258056E-3</v>
      </c>
      <c r="E36" s="125">
        <f t="shared" si="12"/>
        <v>-2.9004313851009912E-3</v>
      </c>
      <c r="F36" s="125">
        <f t="shared" si="12"/>
        <v>-2.8802308875469835E-3</v>
      </c>
      <c r="G36" s="125">
        <f t="shared" si="12"/>
        <v>-2.8605140135420067E-3</v>
      </c>
      <c r="H36" s="125">
        <f t="shared" si="12"/>
        <v>1.1039991853872106E-2</v>
      </c>
      <c r="I36" s="125">
        <f t="shared" si="12"/>
        <v>1.0889606529148018E-2</v>
      </c>
      <c r="J36" s="125">
        <f t="shared" si="12"/>
        <v>1.0699955955429885E-2</v>
      </c>
      <c r="K36" s="125">
        <f t="shared" si="12"/>
        <v>1.0622621804157519E-2</v>
      </c>
      <c r="L36" s="125">
        <f t="shared" si="12"/>
        <v>1.067887564248016E-2</v>
      </c>
      <c r="M36" s="125">
        <f t="shared" si="12"/>
        <v>1.0803135787430909E-2</v>
      </c>
      <c r="N36" s="125">
        <f t="shared" si="12"/>
        <v>1.1088601006362104E-2</v>
      </c>
      <c r="O36" s="125">
        <f t="shared" si="12"/>
        <v>1.1299854305533978E-2</v>
      </c>
      <c r="P36" s="125">
        <f t="shared" si="12"/>
        <v>5.0681040210482598E-3</v>
      </c>
    </row>
    <row r="37" spans="1:16">
      <c r="A37" s="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F46" sqref="F46"/>
    </sheetView>
  </sheetViews>
  <sheetFormatPr defaultRowHeight="12.75"/>
  <cols>
    <col min="1" max="1" width="6" style="35" customWidth="1"/>
    <col min="2" max="2" width="64.42578125" style="35" customWidth="1"/>
    <col min="3" max="3" width="19.42578125" style="35" bestFit="1" customWidth="1"/>
    <col min="4" max="4" width="16.42578125" style="35" customWidth="1"/>
    <col min="5" max="5" width="17.7109375" style="35" bestFit="1" customWidth="1"/>
    <col min="6" max="6" width="14.5703125" style="35" bestFit="1" customWidth="1"/>
    <col min="7" max="16384" width="9.140625" style="35"/>
  </cols>
  <sheetData>
    <row r="1" spans="1:15">
      <c r="A1" s="134" t="s">
        <v>44</v>
      </c>
      <c r="B1" s="134"/>
      <c r="C1" s="134"/>
      <c r="D1" s="134"/>
      <c r="E1" s="134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134" t="s">
        <v>43</v>
      </c>
      <c r="B2" s="134"/>
      <c r="C2" s="134"/>
      <c r="D2" s="134"/>
      <c r="E2" s="134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>
      <c r="A3" s="134" t="s">
        <v>71</v>
      </c>
      <c r="B3" s="134"/>
      <c r="C3" s="134"/>
      <c r="D3" s="134"/>
      <c r="E3" s="134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134" t="s">
        <v>153</v>
      </c>
      <c r="B4" s="134"/>
      <c r="C4" s="134"/>
      <c r="D4" s="134"/>
      <c r="E4" s="134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12"/>
      <c r="B5" s="12"/>
      <c r="C5" s="12"/>
      <c r="D5" s="12"/>
      <c r="E5" s="12"/>
    </row>
    <row r="6" spans="1:15">
      <c r="A6" s="12"/>
      <c r="B6" s="12"/>
      <c r="C6" s="12"/>
      <c r="D6" s="12"/>
      <c r="E6" s="12"/>
    </row>
    <row r="7" spans="1:1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1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15">
      <c r="A9" s="3">
        <v>1</v>
      </c>
      <c r="B9" s="47"/>
      <c r="C9" s="3"/>
      <c r="D9" s="3"/>
      <c r="E9" s="3"/>
    </row>
    <row r="10" spans="1:15">
      <c r="A10" s="3">
        <f t="shared" ref="A10:A45" si="0">A9+1</f>
        <v>2</v>
      </c>
      <c r="B10" s="7" t="s">
        <v>67</v>
      </c>
      <c r="C10" s="45" t="s">
        <v>63</v>
      </c>
      <c r="D10" s="5">
        <v>291961292.69999999</v>
      </c>
      <c r="E10" s="5">
        <v>121900413.42000002</v>
      </c>
    </row>
    <row r="11" spans="1:15">
      <c r="A11" s="3">
        <f t="shared" si="0"/>
        <v>3</v>
      </c>
      <c r="B11" s="7"/>
      <c r="C11" s="3"/>
      <c r="D11" s="7"/>
      <c r="E11" s="7"/>
    </row>
    <row r="12" spans="1:15">
      <c r="A12" s="3">
        <f t="shared" si="0"/>
        <v>4</v>
      </c>
      <c r="B12" s="7" t="s">
        <v>66</v>
      </c>
      <c r="C12" s="45" t="s">
        <v>63</v>
      </c>
      <c r="D12" s="46">
        <v>88318800.439999998</v>
      </c>
      <c r="E12" s="46">
        <v>31696914.329999998</v>
      </c>
    </row>
    <row r="13" spans="1:15">
      <c r="A13" s="3">
        <f t="shared" si="0"/>
        <v>5</v>
      </c>
      <c r="C13" s="45"/>
      <c r="D13" s="10"/>
      <c r="E13" s="10"/>
    </row>
    <row r="14" spans="1:15">
      <c r="A14" s="3">
        <f t="shared" si="0"/>
        <v>6</v>
      </c>
      <c r="B14" s="7" t="s">
        <v>65</v>
      </c>
      <c r="C14" s="3" t="str">
        <f>"("&amp;A$10&amp;") - ("&amp;A12&amp;")"</f>
        <v>(2) - (4)</v>
      </c>
      <c r="D14" s="10">
        <f>D10-D12</f>
        <v>203642492.25999999</v>
      </c>
      <c r="E14" s="10">
        <f>E10-E12</f>
        <v>90203499.090000018</v>
      </c>
    </row>
    <row r="15" spans="1:15">
      <c r="A15" s="3">
        <f t="shared" si="0"/>
        <v>7</v>
      </c>
      <c r="B15" s="7"/>
      <c r="C15" s="45"/>
      <c r="D15" s="7"/>
      <c r="E15" s="7"/>
    </row>
    <row r="16" spans="1:15">
      <c r="A16" s="3">
        <f t="shared" si="0"/>
        <v>8</v>
      </c>
      <c r="B16" s="7" t="s">
        <v>64</v>
      </c>
      <c r="C16" s="45" t="s">
        <v>63</v>
      </c>
      <c r="D16" s="39">
        <v>559688037</v>
      </c>
      <c r="E16" s="39">
        <v>512283585</v>
      </c>
    </row>
    <row r="17" spans="1:5">
      <c r="A17" s="3">
        <f t="shared" si="0"/>
        <v>9</v>
      </c>
      <c r="B17" s="7"/>
      <c r="C17" s="3"/>
      <c r="D17" s="7"/>
      <c r="E17" s="7"/>
    </row>
    <row r="18" spans="1:5" ht="13.5" thickBot="1">
      <c r="A18" s="3">
        <f t="shared" si="0"/>
        <v>10</v>
      </c>
      <c r="B18" s="7" t="s">
        <v>62</v>
      </c>
      <c r="C18" s="3" t="str">
        <f>"("&amp;A14&amp;") / ("&amp;A16&amp;")"</f>
        <v>(6) / (8)</v>
      </c>
      <c r="D18" s="38">
        <f>ROUND(D14/D16,5)</f>
        <v>0.36385000000000001</v>
      </c>
      <c r="E18" s="38">
        <f>ROUND(E14/E16,5)</f>
        <v>0.17607999999999999</v>
      </c>
    </row>
    <row r="19" spans="1:5" ht="13.5" thickTop="1">
      <c r="A19" s="3">
        <f t="shared" si="0"/>
        <v>11</v>
      </c>
      <c r="B19" s="12"/>
      <c r="C19" s="12"/>
      <c r="D19" s="12"/>
      <c r="E19" s="12"/>
    </row>
    <row r="20" spans="1:5">
      <c r="A20" s="3">
        <f t="shared" si="0"/>
        <v>12</v>
      </c>
      <c r="B20" s="7" t="s">
        <v>152</v>
      </c>
      <c r="C20" s="3" t="s">
        <v>60</v>
      </c>
      <c r="D20" s="6">
        <v>317.42999999999995</v>
      </c>
      <c r="E20" s="6">
        <v>1736.4999999999998</v>
      </c>
    </row>
    <row r="21" spans="1:5">
      <c r="A21" s="3">
        <f t="shared" si="0"/>
        <v>13</v>
      </c>
      <c r="B21" s="7"/>
      <c r="C21" s="3"/>
      <c r="D21" s="7"/>
      <c r="E21" s="7"/>
    </row>
    <row r="22" spans="1:5">
      <c r="A22" s="3">
        <f t="shared" si="0"/>
        <v>14</v>
      </c>
      <c r="B22" s="7" t="s">
        <v>59</v>
      </c>
      <c r="C22" s="3" t="s">
        <v>17</v>
      </c>
      <c r="D22" s="44">
        <v>748668.51003238896</v>
      </c>
      <c r="E22" s="44">
        <v>59572.172844697874</v>
      </c>
    </row>
    <row r="23" spans="1:5">
      <c r="A23" s="3">
        <f t="shared" si="0"/>
        <v>15</v>
      </c>
      <c r="B23" s="7"/>
      <c r="C23" s="3"/>
      <c r="D23" s="7"/>
      <c r="E23" s="7"/>
    </row>
    <row r="24" spans="1:5">
      <c r="A24" s="3">
        <f t="shared" si="0"/>
        <v>16</v>
      </c>
      <c r="B24" s="7" t="s">
        <v>58</v>
      </c>
      <c r="C24" s="3" t="str">
        <f>"("&amp;A$20&amp;") x ("&amp;A22&amp;")"</f>
        <v>(12) x (14)</v>
      </c>
      <c r="D24" s="41">
        <f>D20*D22</f>
        <v>237649845.1395812</v>
      </c>
      <c r="E24" s="41">
        <f>E20*E22</f>
        <v>103447078.14481784</v>
      </c>
    </row>
    <row r="25" spans="1:5">
      <c r="A25" s="3">
        <f t="shared" si="0"/>
        <v>17</v>
      </c>
      <c r="B25" s="7"/>
      <c r="C25" s="3"/>
      <c r="D25" s="41"/>
      <c r="E25" s="41"/>
    </row>
    <row r="26" spans="1:5">
      <c r="A26" s="3">
        <f t="shared" si="0"/>
        <v>18</v>
      </c>
      <c r="B26" s="7" t="s">
        <v>151</v>
      </c>
      <c r="C26" s="3" t="s">
        <v>150</v>
      </c>
      <c r="D26" s="43">
        <f>'JAP-23 Page 6'!O28</f>
        <v>4985039.0130054969</v>
      </c>
      <c r="E26" s="43">
        <f>'JAP-23 Page 7'!O28</f>
        <v>1118285.2312822449</v>
      </c>
    </row>
    <row r="27" spans="1:5">
      <c r="A27" s="3">
        <f t="shared" si="0"/>
        <v>19</v>
      </c>
      <c r="B27" s="7"/>
      <c r="C27" s="3"/>
      <c r="D27" s="42"/>
      <c r="E27" s="42"/>
    </row>
    <row r="28" spans="1:5">
      <c r="A28" s="3">
        <f t="shared" si="0"/>
        <v>20</v>
      </c>
      <c r="B28" s="7" t="s">
        <v>55</v>
      </c>
      <c r="C28" s="3" t="str">
        <f>"("&amp;A24&amp;") + ("&amp;A26&amp;")"</f>
        <v>(16) + (18)</v>
      </c>
      <c r="D28" s="41">
        <f>D24+D26</f>
        <v>242634884.1525867</v>
      </c>
      <c r="E28" s="41">
        <f>E24+E26</f>
        <v>104565363.37610009</v>
      </c>
    </row>
    <row r="29" spans="1:5">
      <c r="A29" s="3">
        <f t="shared" si="0"/>
        <v>21</v>
      </c>
      <c r="B29" s="12"/>
      <c r="C29" s="12"/>
      <c r="D29" s="40"/>
      <c r="E29" s="40"/>
    </row>
    <row r="30" spans="1:5">
      <c r="A30" s="3">
        <f t="shared" si="0"/>
        <v>22</v>
      </c>
      <c r="B30" s="7" t="s">
        <v>54</v>
      </c>
      <c r="C30" s="3" t="s">
        <v>17</v>
      </c>
      <c r="D30" s="39">
        <v>573473605.83761764</v>
      </c>
      <c r="E30" s="39">
        <v>546457746.06065464</v>
      </c>
    </row>
    <row r="31" spans="1:5">
      <c r="A31" s="3">
        <f t="shared" si="0"/>
        <v>23</v>
      </c>
      <c r="B31" s="12"/>
      <c r="C31" s="12"/>
      <c r="D31" s="12"/>
      <c r="E31" s="12"/>
    </row>
    <row r="32" spans="1:5" ht="13.5" thickBot="1">
      <c r="A32" s="3">
        <f t="shared" si="0"/>
        <v>24</v>
      </c>
      <c r="B32" s="7" t="s">
        <v>53</v>
      </c>
      <c r="C32" s="3" t="str">
        <f>"("&amp;A28&amp;") / ("&amp;A30&amp;")"</f>
        <v>(20) / (22)</v>
      </c>
      <c r="D32" s="38">
        <f>ROUND(D28/D30,5)</f>
        <v>0.42309999999999998</v>
      </c>
      <c r="E32" s="38">
        <f>ROUND(E28/E30,5)</f>
        <v>0.19134999999999999</v>
      </c>
    </row>
    <row r="33" spans="1:5" ht="13.5" thickTop="1">
      <c r="A33" s="3">
        <f t="shared" si="0"/>
        <v>25</v>
      </c>
      <c r="B33" s="12"/>
      <c r="C33" s="12"/>
      <c r="D33" s="12"/>
      <c r="E33" s="12"/>
    </row>
    <row r="34" spans="1:5">
      <c r="A34" s="3">
        <f t="shared" si="0"/>
        <v>26</v>
      </c>
      <c r="B34" s="7" t="s">
        <v>52</v>
      </c>
      <c r="C34" s="3" t="str">
        <f>"("&amp;A32&amp;") - ("&amp;A18&amp;")"</f>
        <v>(24) - (10)</v>
      </c>
      <c r="D34" s="13">
        <f>D32-D18</f>
        <v>5.9249999999999969E-2</v>
      </c>
      <c r="E34" s="13">
        <f>E32-E18</f>
        <v>1.5270000000000006E-2</v>
      </c>
    </row>
    <row r="35" spans="1:5">
      <c r="A35" s="3">
        <f t="shared" si="0"/>
        <v>27</v>
      </c>
      <c r="B35" s="7"/>
      <c r="C35" s="12"/>
      <c r="D35" s="12"/>
      <c r="E35" s="12"/>
    </row>
    <row r="36" spans="1:5">
      <c r="A36" s="3">
        <f t="shared" si="0"/>
        <v>28</v>
      </c>
      <c r="B36" s="7" t="s">
        <v>51</v>
      </c>
      <c r="C36" s="3" t="s">
        <v>149</v>
      </c>
      <c r="D36" s="13">
        <f>'JAP-23 Page 9'!D34</f>
        <v>5.9249999999999969E-2</v>
      </c>
      <c r="E36" s="13">
        <f>'JAP-23 Page 9'!E34</f>
        <v>1.5270000000000006E-2</v>
      </c>
    </row>
    <row r="37" spans="1:5">
      <c r="A37" s="3">
        <f t="shared" si="0"/>
        <v>29</v>
      </c>
      <c r="B37" s="7"/>
      <c r="C37" s="3"/>
      <c r="D37" s="12"/>
      <c r="E37" s="12"/>
    </row>
    <row r="38" spans="1:5">
      <c r="A38" s="3">
        <f t="shared" si="0"/>
        <v>30</v>
      </c>
      <c r="B38" s="7" t="s">
        <v>49</v>
      </c>
      <c r="C38" s="3" t="s">
        <v>10</v>
      </c>
      <c r="D38" s="37">
        <f>IF(D34=D36,D26,(D26-((D34-D36)*D30)))</f>
        <v>4985039.0130054969</v>
      </c>
      <c r="E38" s="10">
        <f>IF(E34=E36,E26,(E26-((E34-E36)*E30)))</f>
        <v>1118285.2312822449</v>
      </c>
    </row>
    <row r="39" spans="1:5">
      <c r="A39" s="3">
        <f t="shared" si="0"/>
        <v>31</v>
      </c>
      <c r="B39" s="7"/>
      <c r="C39" s="12"/>
      <c r="D39" s="12"/>
      <c r="E39" s="12"/>
    </row>
    <row r="40" spans="1:5">
      <c r="A40" s="3">
        <f t="shared" si="0"/>
        <v>32</v>
      </c>
      <c r="B40" s="7" t="s">
        <v>48</v>
      </c>
      <c r="C40" s="3" t="str">
        <f>"("&amp;A$30&amp;") x ("&amp;A36&amp;")"</f>
        <v>(22) x (28)</v>
      </c>
      <c r="D40" s="10"/>
      <c r="E40" s="10">
        <f>E30*E36</f>
        <v>8344409.7823461993</v>
      </c>
    </row>
    <row r="41" spans="1:5">
      <c r="A41" s="3">
        <f t="shared" si="0"/>
        <v>33</v>
      </c>
      <c r="B41" s="7"/>
      <c r="C41" s="12"/>
      <c r="D41" s="10"/>
      <c r="E41" s="10"/>
    </row>
    <row r="42" spans="1:5">
      <c r="A42" s="3">
        <f t="shared" si="0"/>
        <v>34</v>
      </c>
      <c r="B42" s="7" t="s">
        <v>47</v>
      </c>
      <c r="C42" s="3" t="str">
        <f>"("&amp;A40&amp;") / ("&amp;A28&amp;")"</f>
        <v>(32) / (20)</v>
      </c>
      <c r="D42" s="36"/>
      <c r="E42" s="36">
        <f>ROUND(E40/E28,5)</f>
        <v>7.9799999999999996E-2</v>
      </c>
    </row>
    <row r="43" spans="1:5">
      <c r="A43" s="3">
        <f t="shared" si="0"/>
        <v>35</v>
      </c>
      <c r="B43" s="7"/>
      <c r="C43" s="12"/>
      <c r="D43" s="10"/>
      <c r="E43" s="10"/>
    </row>
    <row r="44" spans="1:5">
      <c r="A44" s="3">
        <f t="shared" si="0"/>
        <v>36</v>
      </c>
      <c r="B44" s="12" t="s">
        <v>159</v>
      </c>
      <c r="C44" s="12"/>
      <c r="D44" s="10"/>
      <c r="E44" s="10"/>
    </row>
    <row r="45" spans="1:5">
      <c r="A45" s="3">
        <f t="shared" si="0"/>
        <v>37</v>
      </c>
      <c r="B45" s="35" t="s">
        <v>46</v>
      </c>
      <c r="C45" s="12"/>
      <c r="D45" s="10"/>
      <c r="E45" s="10"/>
    </row>
    <row r="46" spans="1:5">
      <c r="C46" s="12"/>
    </row>
    <row r="49" spans="3:3">
      <c r="C49" s="12"/>
    </row>
    <row r="52" spans="3:3">
      <c r="C52" s="1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46" sqref="F46"/>
    </sheetView>
  </sheetViews>
  <sheetFormatPr defaultRowHeight="15"/>
  <cols>
    <col min="1" max="1" width="6.42578125" customWidth="1"/>
    <col min="2" max="2" width="58.85546875" customWidth="1"/>
    <col min="3" max="3" width="17" bestFit="1" customWidth="1"/>
    <col min="4" max="5" width="19.7109375" customWidth="1"/>
  </cols>
  <sheetData>
    <row r="1" spans="1:5">
      <c r="A1" s="134" t="s">
        <v>44</v>
      </c>
      <c r="B1" s="134"/>
      <c r="C1" s="134"/>
      <c r="D1" s="134"/>
      <c r="E1" s="134"/>
    </row>
    <row r="2" spans="1:5">
      <c r="A2" s="134" t="s">
        <v>43</v>
      </c>
      <c r="B2" s="134"/>
      <c r="C2" s="134"/>
      <c r="D2" s="134"/>
      <c r="E2" s="134"/>
    </row>
    <row r="3" spans="1:5">
      <c r="A3" s="134" t="s">
        <v>155</v>
      </c>
      <c r="B3" s="134"/>
      <c r="C3" s="134"/>
      <c r="D3" s="134"/>
      <c r="E3" s="134"/>
    </row>
    <row r="4" spans="1:5">
      <c r="A4" s="134" t="s">
        <v>153</v>
      </c>
      <c r="B4" s="134"/>
      <c r="C4" s="134"/>
      <c r="D4" s="134"/>
      <c r="E4" s="134"/>
    </row>
    <row r="5" spans="1:5">
      <c r="A5" s="12"/>
      <c r="B5" s="12"/>
      <c r="C5" s="12"/>
      <c r="D5" s="12"/>
      <c r="E5" s="12"/>
    </row>
    <row r="6" spans="1:5">
      <c r="A6" s="12"/>
      <c r="B6" s="12"/>
      <c r="C6" s="12"/>
      <c r="D6" s="12"/>
      <c r="E6" s="12"/>
    </row>
    <row r="7" spans="1:5" ht="25.5">
      <c r="A7" s="48" t="s">
        <v>40</v>
      </c>
      <c r="B7" s="49"/>
      <c r="C7" s="48" t="s">
        <v>39</v>
      </c>
      <c r="D7" s="48" t="s">
        <v>69</v>
      </c>
      <c r="E7" s="48" t="s">
        <v>68</v>
      </c>
    </row>
    <row r="8" spans="1:5">
      <c r="A8" s="7"/>
      <c r="B8" s="3" t="s">
        <v>37</v>
      </c>
      <c r="C8" s="3" t="s">
        <v>36</v>
      </c>
      <c r="D8" s="3" t="s">
        <v>35</v>
      </c>
      <c r="E8" s="3" t="s">
        <v>34</v>
      </c>
    </row>
    <row r="9" spans="1:5">
      <c r="A9" s="3">
        <v>1</v>
      </c>
      <c r="B9" s="47"/>
      <c r="C9" s="3"/>
      <c r="D9" s="3"/>
      <c r="E9" s="3"/>
    </row>
    <row r="10" spans="1:5">
      <c r="A10" s="3">
        <f t="shared" ref="A10:A37" si="0">A9+1</f>
        <v>2</v>
      </c>
      <c r="B10" s="7" t="s">
        <v>94</v>
      </c>
      <c r="C10" s="3" t="s">
        <v>89</v>
      </c>
      <c r="D10" s="5">
        <v>641424439.05366111</v>
      </c>
      <c r="E10" s="5">
        <v>436459590.40669596</v>
      </c>
    </row>
    <row r="11" spans="1:5">
      <c r="A11" s="3">
        <f t="shared" si="0"/>
        <v>3</v>
      </c>
      <c r="B11" s="7"/>
      <c r="C11" s="3"/>
      <c r="D11" s="7"/>
      <c r="E11" s="7"/>
    </row>
    <row r="12" spans="1:5">
      <c r="A12" s="3">
        <f t="shared" si="0"/>
        <v>4</v>
      </c>
      <c r="B12" s="7" t="s">
        <v>93</v>
      </c>
      <c r="C12" s="3" t="s">
        <v>150</v>
      </c>
      <c r="D12" s="43">
        <f>'JAP-23 Page 6'!P32</f>
        <v>20102111.984238166</v>
      </c>
      <c r="E12" s="43">
        <f>'JAP-23 Page 7'!P32</f>
        <v>2212022.6051652525</v>
      </c>
    </row>
    <row r="13" spans="1:5">
      <c r="A13" s="3">
        <f t="shared" si="0"/>
        <v>5</v>
      </c>
      <c r="B13" s="7"/>
      <c r="C13" s="3"/>
      <c r="D13" s="7"/>
      <c r="E13" s="7"/>
    </row>
    <row r="14" spans="1:5">
      <c r="A14" s="3">
        <f t="shared" si="0"/>
        <v>6</v>
      </c>
      <c r="B14" s="7" t="s">
        <v>92</v>
      </c>
      <c r="C14" s="3" t="s">
        <v>91</v>
      </c>
      <c r="D14" s="5">
        <f>D10-D12</f>
        <v>621322327.06942296</v>
      </c>
      <c r="E14" s="5">
        <f>E10-E12</f>
        <v>434247567.80153072</v>
      </c>
    </row>
    <row r="15" spans="1:5">
      <c r="A15" s="3">
        <f t="shared" si="0"/>
        <v>7</v>
      </c>
      <c r="B15" s="7"/>
      <c r="C15" s="3"/>
      <c r="D15" s="7"/>
      <c r="E15" s="7"/>
    </row>
    <row r="16" spans="1:5">
      <c r="A16" s="3">
        <f t="shared" si="0"/>
        <v>8</v>
      </c>
      <c r="B16" s="7" t="s">
        <v>90</v>
      </c>
      <c r="C16" s="3" t="s">
        <v>89</v>
      </c>
      <c r="D16" s="58">
        <v>561456231.95613968</v>
      </c>
      <c r="E16" s="58">
        <v>545946539.10398841</v>
      </c>
    </row>
    <row r="17" spans="1:5">
      <c r="A17" s="3">
        <f t="shared" si="0"/>
        <v>9</v>
      </c>
      <c r="B17" s="7"/>
      <c r="C17" s="3"/>
      <c r="D17" s="7"/>
      <c r="E17" s="7"/>
    </row>
    <row r="18" spans="1:5">
      <c r="A18" s="3">
        <f t="shared" si="0"/>
        <v>10</v>
      </c>
      <c r="B18" s="7" t="s">
        <v>88</v>
      </c>
      <c r="C18" s="3" t="s">
        <v>87</v>
      </c>
      <c r="D18" s="53">
        <f>ROUND(D10/D16,5)</f>
        <v>1.1424300000000001</v>
      </c>
      <c r="E18" s="53">
        <f>ROUND(E10/E16,5)</f>
        <v>0.79944999999999999</v>
      </c>
    </row>
    <row r="19" spans="1:5">
      <c r="A19" s="3">
        <f t="shared" si="0"/>
        <v>11</v>
      </c>
      <c r="B19" s="7"/>
      <c r="C19" s="3"/>
      <c r="D19" s="53"/>
      <c r="E19" s="53"/>
    </row>
    <row r="20" spans="1:5">
      <c r="A20" s="3">
        <f t="shared" si="0"/>
        <v>12</v>
      </c>
      <c r="B20" s="7" t="s">
        <v>86</v>
      </c>
      <c r="C20" s="3" t="s">
        <v>82</v>
      </c>
      <c r="D20" s="57">
        <f>'JAP-23 Page 3'!D36</f>
        <v>5.2300000000000013E-2</v>
      </c>
      <c r="E20" s="57">
        <f>'JAP-23 Page 3'!E36</f>
        <v>8.9200000000000113E-3</v>
      </c>
    </row>
    <row r="21" spans="1:5">
      <c r="A21" s="3">
        <f t="shared" si="0"/>
        <v>13</v>
      </c>
      <c r="B21" s="7"/>
      <c r="C21" s="3"/>
      <c r="D21" s="53"/>
      <c r="E21" s="53"/>
    </row>
    <row r="22" spans="1:5">
      <c r="A22" s="3">
        <f t="shared" si="0"/>
        <v>14</v>
      </c>
      <c r="B22" s="7" t="s">
        <v>85</v>
      </c>
      <c r="C22" s="3" t="s">
        <v>84</v>
      </c>
      <c r="D22" s="53">
        <f>D18+D20</f>
        <v>1.1947300000000001</v>
      </c>
      <c r="E22" s="53">
        <f>E18+E20</f>
        <v>0.80837000000000003</v>
      </c>
    </row>
    <row r="23" spans="1:5">
      <c r="A23" s="3">
        <f t="shared" si="0"/>
        <v>15</v>
      </c>
      <c r="B23" s="7"/>
      <c r="C23" s="3"/>
      <c r="D23" s="53"/>
      <c r="E23" s="53"/>
    </row>
    <row r="24" spans="1:5">
      <c r="A24" s="3">
        <f t="shared" si="0"/>
        <v>16</v>
      </c>
      <c r="B24" s="7" t="s">
        <v>83</v>
      </c>
      <c r="C24" s="3" t="s">
        <v>154</v>
      </c>
      <c r="D24" s="53">
        <f>'JAP-23 Page 8'!D34</f>
        <v>5.9249999999999969E-2</v>
      </c>
      <c r="E24" s="53">
        <f>'JAP-23 Page 8'!E34</f>
        <v>1.5270000000000006E-2</v>
      </c>
    </row>
    <row r="25" spans="1:5">
      <c r="A25" s="3">
        <f t="shared" si="0"/>
        <v>17</v>
      </c>
      <c r="B25" s="7"/>
      <c r="C25" s="3"/>
      <c r="D25" s="7"/>
      <c r="E25" s="7"/>
    </row>
    <row r="26" spans="1:5">
      <c r="A26" s="3">
        <f t="shared" si="0"/>
        <v>18</v>
      </c>
      <c r="B26" s="7" t="s">
        <v>81</v>
      </c>
      <c r="C26" s="3" t="s">
        <v>80</v>
      </c>
      <c r="D26" s="13">
        <f>D24-D20</f>
        <v>6.9499999999999562E-3</v>
      </c>
      <c r="E26" s="13">
        <f>E24-E20</f>
        <v>6.3499999999999945E-3</v>
      </c>
    </row>
    <row r="27" spans="1:5">
      <c r="A27" s="3">
        <f t="shared" si="0"/>
        <v>19</v>
      </c>
      <c r="B27" s="7"/>
      <c r="C27" s="3"/>
      <c r="D27" s="7"/>
      <c r="E27" s="7"/>
    </row>
    <row r="28" spans="1:5">
      <c r="A28" s="3">
        <f t="shared" si="0"/>
        <v>20</v>
      </c>
      <c r="B28" s="7" t="s">
        <v>79</v>
      </c>
      <c r="C28" s="3" t="s">
        <v>78</v>
      </c>
      <c r="D28" s="9">
        <f>D26/D22</f>
        <v>5.817213931181067E-3</v>
      </c>
      <c r="E28" s="9">
        <f>E26/E22</f>
        <v>7.8553137795811245E-3</v>
      </c>
    </row>
    <row r="29" spans="1:5">
      <c r="A29" s="3">
        <f t="shared" si="0"/>
        <v>21</v>
      </c>
      <c r="B29" s="7"/>
      <c r="C29" s="3"/>
      <c r="D29" s="7"/>
      <c r="E29" s="7"/>
    </row>
    <row r="30" spans="1:5">
      <c r="A30" s="3">
        <f t="shared" si="0"/>
        <v>22</v>
      </c>
      <c r="B30" s="7" t="s">
        <v>77</v>
      </c>
      <c r="C30" s="3" t="s">
        <v>10</v>
      </c>
      <c r="D30" s="56">
        <f>IF(D28&gt;3%,D28-3%,0)</f>
        <v>0</v>
      </c>
      <c r="E30" s="56">
        <f>IF(E28&gt;3%,E28-3%,0)</f>
        <v>0</v>
      </c>
    </row>
    <row r="31" spans="1:5">
      <c r="A31" s="3">
        <f t="shared" si="0"/>
        <v>23</v>
      </c>
      <c r="B31" s="7"/>
      <c r="C31" s="3"/>
      <c r="D31" s="7"/>
      <c r="E31" s="7"/>
    </row>
    <row r="32" spans="1:5">
      <c r="A32" s="3">
        <f t="shared" si="0"/>
        <v>24</v>
      </c>
      <c r="B32" s="7" t="s">
        <v>76</v>
      </c>
      <c r="C32" s="3" t="s">
        <v>75</v>
      </c>
      <c r="D32" s="55">
        <f>D30*D22</f>
        <v>0</v>
      </c>
      <c r="E32" s="55">
        <f>E30*E22</f>
        <v>0</v>
      </c>
    </row>
    <row r="33" spans="1:5">
      <c r="A33" s="3">
        <f t="shared" si="0"/>
        <v>25</v>
      </c>
      <c r="B33" s="12"/>
      <c r="C33" s="12"/>
      <c r="D33" s="54"/>
      <c r="E33" s="54"/>
    </row>
    <row r="34" spans="1:5">
      <c r="A34" s="3">
        <f t="shared" si="0"/>
        <v>26</v>
      </c>
      <c r="B34" s="7" t="s">
        <v>74</v>
      </c>
      <c r="C34" s="3" t="s">
        <v>73</v>
      </c>
      <c r="D34" s="53">
        <f>D24-D32</f>
        <v>5.9249999999999969E-2</v>
      </c>
      <c r="E34" s="53">
        <f>E24-E32</f>
        <v>1.5270000000000006E-2</v>
      </c>
    </row>
    <row r="35" spans="1:5">
      <c r="A35" s="3">
        <f t="shared" si="0"/>
        <v>27</v>
      </c>
      <c r="B35" s="52"/>
      <c r="C35" s="52"/>
      <c r="D35" s="52"/>
      <c r="E35" s="52"/>
    </row>
    <row r="36" spans="1:5">
      <c r="A36" s="3">
        <f t="shared" si="0"/>
        <v>28</v>
      </c>
      <c r="B36" s="12" t="str">
        <f>'JAP-23 Page 8'!B44</f>
        <v>* Includes Schedules 31, 31T, 41, 41T, 85, 85T, 86, 86T, 87 and 87T.  Rates for special contract customers are governed by thier contracts.</v>
      </c>
      <c r="C36" s="52"/>
      <c r="D36" s="52"/>
      <c r="E36" s="52"/>
    </row>
    <row r="37" spans="1:5">
      <c r="A37" s="3">
        <f t="shared" si="0"/>
        <v>29</v>
      </c>
      <c r="B37" s="12" t="s">
        <v>72</v>
      </c>
    </row>
    <row r="39" spans="1:5">
      <c r="D39" s="5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5"/>
  <sheetViews>
    <sheetView workbookViewId="0">
      <selection activeCell="F46" sqref="F46"/>
    </sheetView>
  </sheetViews>
  <sheetFormatPr defaultRowHeight="15"/>
  <cols>
    <col min="1" max="1" width="5.85546875" customWidth="1"/>
    <col min="2" max="2" width="3.42578125" customWidth="1"/>
    <col min="3" max="3" width="22" bestFit="1" customWidth="1"/>
    <col min="4" max="4" width="8.42578125" bestFit="1" customWidth="1"/>
    <col min="5" max="5" width="13.28515625" bestFit="1" customWidth="1"/>
    <col min="6" max="6" width="10.7109375" bestFit="1" customWidth="1"/>
    <col min="7" max="7" width="16" bestFit="1" customWidth="1"/>
    <col min="8" max="8" width="2.42578125" customWidth="1"/>
    <col min="9" max="9" width="12.5703125" bestFit="1" customWidth="1"/>
    <col min="10" max="10" width="2.42578125" customWidth="1"/>
    <col min="11" max="11" width="10" bestFit="1" customWidth="1"/>
    <col min="12" max="12" width="16" bestFit="1" customWidth="1"/>
    <col min="13" max="13" width="2.42578125" customWidth="1"/>
    <col min="14" max="14" width="11.5703125" bestFit="1" customWidth="1"/>
    <col min="15" max="15" width="8.140625" bestFit="1" customWidth="1"/>
    <col min="16" max="16" width="2.42578125" customWidth="1"/>
    <col min="17" max="17" width="14.85546875" bestFit="1" customWidth="1"/>
  </cols>
  <sheetData>
    <row r="1" spans="1:17">
      <c r="A1" s="63"/>
      <c r="B1" s="135" t="s">
        <v>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>
      <c r="A2" s="63"/>
      <c r="B2" s="135" t="s">
        <v>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>
      <c r="A3" s="63"/>
      <c r="B3" s="135" t="s">
        <v>146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>
      <c r="A4" s="63"/>
      <c r="B4" s="135" t="s">
        <v>153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63"/>
      <c r="B5" s="124"/>
      <c r="C5" s="124"/>
      <c r="D5" s="124"/>
      <c r="E5" s="124"/>
      <c r="F5" s="124"/>
      <c r="G5" s="124"/>
      <c r="H5" s="123"/>
      <c r="I5" s="123"/>
      <c r="J5" s="123"/>
      <c r="K5" s="123"/>
      <c r="L5" s="123"/>
      <c r="M5" s="123"/>
      <c r="N5" s="123"/>
      <c r="O5" s="123"/>
      <c r="P5" s="123"/>
      <c r="Q5" s="122"/>
    </row>
    <row r="6" spans="1:17">
      <c r="A6" s="121" t="s">
        <v>145</v>
      </c>
      <c r="B6" s="63"/>
      <c r="C6" s="99"/>
      <c r="D6" s="99"/>
      <c r="E6" s="102" t="s">
        <v>144</v>
      </c>
      <c r="F6" s="118" t="s">
        <v>143</v>
      </c>
      <c r="G6" s="119"/>
      <c r="H6" s="120"/>
      <c r="I6" s="103" t="s">
        <v>142</v>
      </c>
      <c r="J6" s="103"/>
      <c r="K6" s="118" t="s">
        <v>141</v>
      </c>
      <c r="L6" s="119"/>
      <c r="M6" s="111"/>
      <c r="N6" s="118" t="s">
        <v>140</v>
      </c>
      <c r="O6" s="118"/>
      <c r="P6" s="117"/>
      <c r="Q6" s="99" t="s">
        <v>139</v>
      </c>
    </row>
    <row r="7" spans="1:17">
      <c r="A7" s="48" t="s">
        <v>138</v>
      </c>
      <c r="B7" s="116"/>
      <c r="C7" s="107" t="s">
        <v>137</v>
      </c>
      <c r="D7" s="107" t="s">
        <v>136</v>
      </c>
      <c r="E7" s="113" t="s">
        <v>135</v>
      </c>
      <c r="F7" s="107" t="s">
        <v>133</v>
      </c>
      <c r="G7" s="112" t="s">
        <v>132</v>
      </c>
      <c r="H7" s="115"/>
      <c r="I7" s="114" t="s">
        <v>134</v>
      </c>
      <c r="J7" s="103"/>
      <c r="K7" s="113" t="s">
        <v>133</v>
      </c>
      <c r="L7" s="112" t="s">
        <v>132</v>
      </c>
      <c r="M7" s="111"/>
      <c r="N7" s="110" t="s">
        <v>131</v>
      </c>
      <c r="O7" s="109" t="s">
        <v>130</v>
      </c>
      <c r="P7" s="108"/>
      <c r="Q7" s="107" t="s">
        <v>129</v>
      </c>
    </row>
    <row r="8" spans="1:17">
      <c r="A8" s="106"/>
      <c r="B8" s="66"/>
      <c r="C8" s="99" t="s">
        <v>37</v>
      </c>
      <c r="D8" s="99" t="s">
        <v>36</v>
      </c>
      <c r="E8" s="105" t="s">
        <v>35</v>
      </c>
      <c r="F8" s="99" t="s">
        <v>34</v>
      </c>
      <c r="G8" s="105" t="s">
        <v>33</v>
      </c>
      <c r="H8" s="104"/>
      <c r="I8" s="103" t="s">
        <v>32</v>
      </c>
      <c r="J8" s="103"/>
      <c r="K8" s="102" t="s">
        <v>31</v>
      </c>
      <c r="L8" s="101" t="s">
        <v>30</v>
      </c>
      <c r="M8" s="100"/>
      <c r="N8" s="99" t="s">
        <v>128</v>
      </c>
      <c r="O8" s="99" t="s">
        <v>28</v>
      </c>
      <c r="P8" s="99"/>
      <c r="Q8" s="99" t="s">
        <v>27</v>
      </c>
    </row>
    <row r="9" spans="1:17">
      <c r="A9" s="3">
        <v>1</v>
      </c>
      <c r="B9" s="87" t="s">
        <v>127</v>
      </c>
      <c r="C9" s="67"/>
      <c r="D9" s="71"/>
      <c r="E9" s="84"/>
      <c r="F9" s="84"/>
      <c r="G9" s="89"/>
      <c r="H9" s="95"/>
      <c r="I9" s="64"/>
      <c r="J9" s="95"/>
      <c r="K9" s="84"/>
      <c r="L9" s="89"/>
      <c r="M9" s="67"/>
      <c r="N9" s="67"/>
      <c r="O9" s="68"/>
      <c r="P9" s="67"/>
      <c r="Q9" s="67"/>
    </row>
    <row r="10" spans="1:17">
      <c r="A10" s="3">
        <f t="shared" ref="A10:A41" si="0">A9+1</f>
        <v>2</v>
      </c>
      <c r="B10" s="67"/>
      <c r="C10" s="72" t="s">
        <v>125</v>
      </c>
      <c r="D10" s="72" t="s">
        <v>99</v>
      </c>
      <c r="E10" s="77">
        <v>202815693</v>
      </c>
      <c r="F10" s="76">
        <v>0.30537999999999998</v>
      </c>
      <c r="G10" s="98">
        <f>ROUND($E10*F10,2)</f>
        <v>61935856.329999998</v>
      </c>
      <c r="H10" s="95"/>
      <c r="I10" s="64">
        <f>'JAP-23 Page 8'!$E$42</f>
        <v>7.9799999999999996E-2</v>
      </c>
      <c r="J10" s="95"/>
      <c r="K10" s="83">
        <f>ROUND(F10*(1+I10),5)</f>
        <v>0.32974999999999999</v>
      </c>
      <c r="L10" s="98">
        <f>ROUND($E10*K10,2)</f>
        <v>66878474.770000003</v>
      </c>
      <c r="M10" s="67"/>
      <c r="N10" s="61">
        <f>L10-G10</f>
        <v>4942618.4400000051</v>
      </c>
      <c r="O10" s="60">
        <f>IF(G10&lt;&gt;0,N10/G10,0)</f>
        <v>7.9802213659003515E-2</v>
      </c>
      <c r="P10" s="74"/>
      <c r="Q10" s="82">
        <f>K10-F10</f>
        <v>2.4370000000000003E-2</v>
      </c>
    </row>
    <row r="11" spans="1:17">
      <c r="A11" s="3">
        <f t="shared" si="0"/>
        <v>3</v>
      </c>
      <c r="B11" s="67"/>
      <c r="C11" s="72"/>
      <c r="D11" s="72"/>
      <c r="E11" s="84"/>
      <c r="F11" s="77"/>
      <c r="G11" s="98"/>
      <c r="H11" s="95"/>
      <c r="I11" s="64"/>
      <c r="J11" s="95"/>
      <c r="K11" s="77"/>
      <c r="L11" s="98"/>
      <c r="M11" s="67"/>
      <c r="N11" s="67"/>
      <c r="O11" s="68"/>
      <c r="P11" s="67"/>
      <c r="Q11" s="67"/>
    </row>
    <row r="12" spans="1:17">
      <c r="A12" s="3">
        <f t="shared" si="0"/>
        <v>4</v>
      </c>
      <c r="B12" s="94" t="s">
        <v>126</v>
      </c>
      <c r="C12" s="67"/>
      <c r="D12" s="71"/>
      <c r="E12" s="84"/>
      <c r="F12" s="84"/>
      <c r="G12" s="89"/>
      <c r="H12" s="95"/>
      <c r="I12" s="64"/>
      <c r="J12" s="95"/>
      <c r="K12" s="84"/>
      <c r="L12" s="89"/>
      <c r="M12" s="67"/>
      <c r="N12" s="72"/>
      <c r="O12" s="68"/>
      <c r="P12" s="67"/>
      <c r="Q12" s="67"/>
    </row>
    <row r="13" spans="1:17">
      <c r="A13" s="3">
        <f t="shared" si="0"/>
        <v>5</v>
      </c>
      <c r="B13" s="72"/>
      <c r="C13" s="72" t="s">
        <v>125</v>
      </c>
      <c r="D13" s="72" t="s">
        <v>99</v>
      </c>
      <c r="E13" s="77">
        <v>0</v>
      </c>
      <c r="F13" s="76">
        <f>F10</f>
        <v>0.30537999999999998</v>
      </c>
      <c r="G13" s="98">
        <f>ROUND($E13*F13,2)</f>
        <v>0</v>
      </c>
      <c r="H13" s="95"/>
      <c r="I13" s="64">
        <f>'JAP-23 Page 8'!$E$42</f>
        <v>7.9799999999999996E-2</v>
      </c>
      <c r="J13" s="95"/>
      <c r="K13" s="83">
        <f>ROUND(F13*(1+I13),5)</f>
        <v>0.32974999999999999</v>
      </c>
      <c r="L13" s="98">
        <f>ROUND($E13*K13,2)</f>
        <v>0</v>
      </c>
      <c r="M13" s="67"/>
      <c r="N13" s="61">
        <f>L13-G13</f>
        <v>0</v>
      </c>
      <c r="O13" s="60">
        <f>IF(G13&lt;&gt;0,N13/G13,0)</f>
        <v>0</v>
      </c>
      <c r="P13" s="74"/>
      <c r="Q13" s="82">
        <f>K13-F13</f>
        <v>2.4370000000000003E-2</v>
      </c>
    </row>
    <row r="14" spans="1:17">
      <c r="A14" s="3">
        <f t="shared" si="0"/>
        <v>6</v>
      </c>
      <c r="B14" s="72"/>
      <c r="C14" s="81" t="s">
        <v>110</v>
      </c>
      <c r="D14" s="72"/>
      <c r="E14" s="77"/>
      <c r="F14" s="76">
        <f>-F80</f>
        <v>-5.3699999999999998E-3</v>
      </c>
      <c r="G14" s="98">
        <f>ROUND($E14*F14,2)</f>
        <v>0</v>
      </c>
      <c r="H14" s="95"/>
      <c r="I14" s="64">
        <f>'JAP-23 Page 8'!$E$42</f>
        <v>7.9799999999999996E-2</v>
      </c>
      <c r="J14" s="95"/>
      <c r="K14" s="83">
        <f>ROUND(F14*(1+I14),5)</f>
        <v>-5.7999999999999996E-3</v>
      </c>
      <c r="L14" s="98">
        <f>ROUND($E14*K14,2)</f>
        <v>0</v>
      </c>
      <c r="M14" s="67"/>
      <c r="N14" s="61">
        <f>L14-G14</f>
        <v>0</v>
      </c>
      <c r="O14" s="60">
        <f>IF(G14&lt;&gt;0,N14/G14,0)</f>
        <v>0</v>
      </c>
      <c r="P14" s="74"/>
      <c r="Q14" s="82">
        <f>K14-F14</f>
        <v>-4.2999999999999983E-4</v>
      </c>
    </row>
    <row r="15" spans="1:17">
      <c r="A15" s="3">
        <f t="shared" si="0"/>
        <v>7</v>
      </c>
      <c r="B15" s="67"/>
      <c r="C15" s="78" t="s">
        <v>97</v>
      </c>
      <c r="D15" s="71"/>
      <c r="E15" s="77"/>
      <c r="F15" s="77"/>
      <c r="G15" s="97">
        <f>SUM(G13:G14)</f>
        <v>0</v>
      </c>
      <c r="H15" s="95"/>
      <c r="I15" s="64"/>
      <c r="J15" s="95"/>
      <c r="K15" s="77"/>
      <c r="L15" s="97">
        <f>SUM(L13:L14)</f>
        <v>0</v>
      </c>
      <c r="M15" s="67"/>
      <c r="N15" s="61">
        <f>L15-G15</f>
        <v>0</v>
      </c>
      <c r="O15" s="60">
        <f>IF(G15&lt;&gt;0,N15/G15,0)</f>
        <v>0</v>
      </c>
      <c r="P15" s="74"/>
      <c r="Q15" s="67"/>
    </row>
    <row r="16" spans="1:17">
      <c r="A16" s="3">
        <f t="shared" si="0"/>
        <v>8</v>
      </c>
      <c r="B16" s="72"/>
      <c r="C16" s="72"/>
      <c r="D16" s="72"/>
      <c r="E16" s="84"/>
      <c r="F16" s="96"/>
      <c r="G16" s="62"/>
      <c r="H16" s="95"/>
      <c r="I16" s="64"/>
      <c r="J16" s="95"/>
      <c r="K16" s="96"/>
      <c r="L16" s="62"/>
      <c r="M16" s="67"/>
      <c r="N16" s="67"/>
      <c r="O16" s="68"/>
      <c r="P16" s="67"/>
      <c r="Q16" s="67"/>
    </row>
    <row r="17" spans="1:17">
      <c r="A17" s="3">
        <f t="shared" si="0"/>
        <v>9</v>
      </c>
      <c r="B17" s="94" t="s">
        <v>124</v>
      </c>
      <c r="C17" s="67"/>
      <c r="D17" s="71"/>
      <c r="E17" s="84"/>
      <c r="F17" s="84"/>
      <c r="G17" s="89"/>
      <c r="H17" s="95"/>
      <c r="I17" s="64"/>
      <c r="J17" s="95"/>
      <c r="K17" s="84"/>
      <c r="L17" s="89"/>
      <c r="M17" s="67"/>
      <c r="N17" s="67"/>
      <c r="O17" s="68"/>
      <c r="P17" s="67"/>
      <c r="Q17" s="67"/>
    </row>
    <row r="18" spans="1:17">
      <c r="A18" s="3">
        <f t="shared" si="0"/>
        <v>10</v>
      </c>
      <c r="B18" s="67"/>
      <c r="C18" s="84" t="s">
        <v>108</v>
      </c>
      <c r="D18" s="72" t="s">
        <v>107</v>
      </c>
      <c r="E18" s="77">
        <v>4308674.33</v>
      </c>
      <c r="F18" s="69">
        <f>F39</f>
        <v>1.1499999999999999</v>
      </c>
      <c r="G18" s="89">
        <f>ROUND($E18*F18,2)</f>
        <v>4954975.4800000004</v>
      </c>
      <c r="H18" s="95"/>
      <c r="I18" s="64">
        <f>'JAP-23 Page 8'!$E$42</f>
        <v>7.9799999999999996E-2</v>
      </c>
      <c r="J18" s="95"/>
      <c r="K18" s="86">
        <f>ROUND(F18*(1+I18),2)</f>
        <v>1.24</v>
      </c>
      <c r="L18" s="89">
        <f>ROUND($E18*K18,2)</f>
        <v>5342756.17</v>
      </c>
      <c r="M18" s="67"/>
      <c r="N18" s="61">
        <f>L18-G18</f>
        <v>387780.68999999948</v>
      </c>
      <c r="O18" s="60">
        <f>IF(G18&lt;&gt;0,N18/G18,0)</f>
        <v>7.8260869617865284E-2</v>
      </c>
      <c r="P18" s="74"/>
      <c r="Q18" s="85">
        <f>K18-F18</f>
        <v>9.000000000000008E-2</v>
      </c>
    </row>
    <row r="19" spans="1:17">
      <c r="A19" s="3">
        <f t="shared" si="0"/>
        <v>11</v>
      </c>
      <c r="B19" s="67"/>
      <c r="C19" s="84"/>
      <c r="D19" s="72"/>
      <c r="E19" s="77"/>
      <c r="F19" s="69"/>
      <c r="G19" s="62"/>
      <c r="H19" s="95"/>
      <c r="I19" s="64"/>
      <c r="J19" s="95"/>
      <c r="K19" s="69"/>
      <c r="L19" s="62"/>
      <c r="M19" s="67"/>
      <c r="N19" s="67"/>
      <c r="O19" s="68"/>
      <c r="P19" s="67"/>
      <c r="Q19" s="67"/>
    </row>
    <row r="20" spans="1:17">
      <c r="A20" s="3">
        <f t="shared" si="0"/>
        <v>12</v>
      </c>
      <c r="B20" s="67"/>
      <c r="C20" s="84" t="s">
        <v>106</v>
      </c>
      <c r="D20" s="72"/>
      <c r="E20" s="77"/>
      <c r="F20" s="69"/>
      <c r="G20" s="62"/>
      <c r="H20" s="95"/>
      <c r="I20" s="64"/>
      <c r="J20" s="95"/>
      <c r="K20" s="69"/>
      <c r="L20" s="62"/>
      <c r="M20" s="67"/>
      <c r="N20" s="67"/>
      <c r="O20" s="68"/>
      <c r="P20" s="67"/>
      <c r="Q20" s="67"/>
    </row>
    <row r="21" spans="1:17">
      <c r="A21" s="3">
        <f t="shared" si="0"/>
        <v>13</v>
      </c>
      <c r="B21" s="67"/>
      <c r="C21" s="84" t="s">
        <v>122</v>
      </c>
      <c r="D21" s="72" t="s">
        <v>99</v>
      </c>
      <c r="E21" s="77">
        <v>18457758</v>
      </c>
      <c r="F21" s="76">
        <v>0.13761999999999999</v>
      </c>
      <c r="G21" s="89" t="s">
        <v>121</v>
      </c>
      <c r="H21" s="95"/>
      <c r="I21" s="64"/>
      <c r="J21" s="95"/>
      <c r="K21" s="83">
        <f>ROUND(F21*(1+I21),5)</f>
        <v>0.13761999999999999</v>
      </c>
      <c r="L21" s="89" t="s">
        <v>121</v>
      </c>
      <c r="M21" s="67"/>
      <c r="N21" s="67"/>
      <c r="O21" s="68"/>
      <c r="P21" s="67"/>
      <c r="Q21" s="82">
        <f>K21-F21</f>
        <v>0</v>
      </c>
    </row>
    <row r="22" spans="1:17">
      <c r="A22" s="3">
        <f t="shared" si="0"/>
        <v>14</v>
      </c>
      <c r="B22" s="67"/>
      <c r="C22" s="84" t="s">
        <v>120</v>
      </c>
      <c r="D22" s="72" t="s">
        <v>99</v>
      </c>
      <c r="E22" s="77">
        <v>32519670</v>
      </c>
      <c r="F22" s="76">
        <v>0.13761999999999999</v>
      </c>
      <c r="G22" s="89">
        <f>ROUND($E22*F22,2)</f>
        <v>4475356.99</v>
      </c>
      <c r="H22" s="95"/>
      <c r="I22" s="64">
        <f>'JAP-23 Page 8'!$E$42</f>
        <v>7.9799999999999996E-2</v>
      </c>
      <c r="J22" s="95"/>
      <c r="K22" s="83">
        <f>ROUND(F22*(1+I22),5)</f>
        <v>0.14860000000000001</v>
      </c>
      <c r="L22" s="89">
        <f>ROUND($E22*K22,2)</f>
        <v>4832422.96</v>
      </c>
      <c r="M22" s="67"/>
      <c r="N22" s="61">
        <f>L22-G22</f>
        <v>357065.96999999974</v>
      </c>
      <c r="O22" s="60">
        <f>IF(G22&lt;&gt;0,N22/G22,0)</f>
        <v>7.9784913426537554E-2</v>
      </c>
      <c r="P22" s="74"/>
      <c r="Q22" s="82">
        <f>K22-F22</f>
        <v>1.0980000000000018E-2</v>
      </c>
    </row>
    <row r="23" spans="1:17">
      <c r="A23" s="3">
        <f t="shared" si="0"/>
        <v>15</v>
      </c>
      <c r="B23" s="67"/>
      <c r="C23" s="84" t="s">
        <v>119</v>
      </c>
      <c r="D23" s="72" t="s">
        <v>99</v>
      </c>
      <c r="E23" s="77">
        <v>26996599</v>
      </c>
      <c r="F23" s="76">
        <v>0.11078</v>
      </c>
      <c r="G23" s="89">
        <f>ROUND($E23*F23,2)</f>
        <v>2990683.24</v>
      </c>
      <c r="H23" s="95"/>
      <c r="I23" s="64">
        <f>'JAP-23 Page 8'!$E$42</f>
        <v>7.9799999999999996E-2</v>
      </c>
      <c r="J23" s="95"/>
      <c r="K23" s="83">
        <f>ROUND(F23*(1+I23),5)</f>
        <v>0.11962</v>
      </c>
      <c r="L23" s="89">
        <f>ROUND($E23*K23,2)</f>
        <v>3229333.17</v>
      </c>
      <c r="M23" s="67"/>
      <c r="N23" s="61">
        <f>L23-G23</f>
        <v>238649.9299999997</v>
      </c>
      <c r="O23" s="60">
        <f>IF(G23&lt;&gt;0,N23/G23,0)</f>
        <v>7.979779563682568E-2</v>
      </c>
      <c r="P23" s="74"/>
      <c r="Q23" s="82">
        <f>K23-F23</f>
        <v>8.8400000000000006E-3</v>
      </c>
    </row>
    <row r="24" spans="1:17">
      <c r="A24" s="3">
        <f t="shared" si="0"/>
        <v>16</v>
      </c>
      <c r="B24" s="67"/>
      <c r="C24" s="81" t="s">
        <v>98</v>
      </c>
      <c r="D24" s="71"/>
      <c r="E24" s="80">
        <f>SUM(E21:E23)</f>
        <v>77974027</v>
      </c>
      <c r="F24" s="77"/>
      <c r="G24" s="67"/>
      <c r="H24" s="95"/>
      <c r="I24" s="64"/>
      <c r="J24" s="95"/>
      <c r="K24" s="77"/>
      <c r="L24" s="67"/>
      <c r="M24" s="67"/>
      <c r="N24" s="67"/>
      <c r="O24" s="68"/>
      <c r="P24" s="67"/>
      <c r="Q24" s="67"/>
    </row>
    <row r="25" spans="1:17">
      <c r="A25" s="3">
        <f t="shared" si="0"/>
        <v>17</v>
      </c>
      <c r="B25" s="67"/>
      <c r="C25" s="78" t="s">
        <v>97</v>
      </c>
      <c r="D25" s="71"/>
      <c r="E25" s="77"/>
      <c r="F25" s="77"/>
      <c r="G25" s="88">
        <f>SUM(G18:G18,G22:G23)</f>
        <v>12421015.710000001</v>
      </c>
      <c r="H25" s="95"/>
      <c r="I25" s="64"/>
      <c r="J25" s="95"/>
      <c r="K25" s="77"/>
      <c r="L25" s="88">
        <f>SUM(L18:L18,L22:L23)</f>
        <v>13404512.299999999</v>
      </c>
      <c r="M25" s="67"/>
      <c r="N25" s="61">
        <f>L25-G25</f>
        <v>983496.58999999799</v>
      </c>
      <c r="O25" s="60">
        <f>IF(G25&lt;&gt;0,N25/G25,0)</f>
        <v>7.9180045574549704E-2</v>
      </c>
      <c r="P25" s="74"/>
      <c r="Q25" s="67"/>
    </row>
    <row r="26" spans="1:17">
      <c r="A26" s="3">
        <f t="shared" si="0"/>
        <v>18</v>
      </c>
      <c r="B26" s="67"/>
      <c r="C26" s="81"/>
      <c r="D26" s="71"/>
      <c r="E26" s="77"/>
      <c r="F26" s="77"/>
      <c r="G26" s="62"/>
      <c r="H26" s="95"/>
      <c r="I26" s="64"/>
      <c r="J26" s="95"/>
      <c r="K26" s="77"/>
      <c r="L26" s="62"/>
      <c r="M26" s="67"/>
      <c r="N26" s="67"/>
      <c r="O26" s="68"/>
      <c r="P26" s="67"/>
      <c r="Q26" s="67"/>
    </row>
    <row r="27" spans="1:17">
      <c r="A27" s="3">
        <f t="shared" si="0"/>
        <v>19</v>
      </c>
      <c r="B27" s="94" t="s">
        <v>123</v>
      </c>
      <c r="C27" s="79"/>
      <c r="D27" s="71"/>
      <c r="E27" s="84"/>
      <c r="F27" s="84"/>
      <c r="G27" s="89"/>
      <c r="H27" s="92"/>
      <c r="I27" s="64"/>
      <c r="J27" s="92"/>
      <c r="K27" s="84"/>
      <c r="L27" s="89"/>
      <c r="M27" s="79"/>
      <c r="N27" s="79"/>
      <c r="O27" s="91"/>
      <c r="P27" s="79"/>
      <c r="Q27" s="79"/>
    </row>
    <row r="28" spans="1:17">
      <c r="A28" s="3">
        <f t="shared" si="0"/>
        <v>20</v>
      </c>
      <c r="B28" s="84"/>
      <c r="C28" s="84" t="s">
        <v>108</v>
      </c>
      <c r="D28" s="72" t="s">
        <v>107</v>
      </c>
      <c r="E28" s="77">
        <v>512366</v>
      </c>
      <c r="F28" s="69">
        <f>F18</f>
        <v>1.1499999999999999</v>
      </c>
      <c r="G28" s="89">
        <f>ROUND($E28*F28,2)</f>
        <v>589220.9</v>
      </c>
      <c r="H28" s="92"/>
      <c r="I28" s="64">
        <f>'JAP-23 Page 8'!$E$42</f>
        <v>7.9799999999999996E-2</v>
      </c>
      <c r="J28" s="92"/>
      <c r="K28" s="86">
        <f>ROUND(F28*(1+I28),2)</f>
        <v>1.24</v>
      </c>
      <c r="L28" s="89">
        <f>ROUND($E28*K28,2)</f>
        <v>635333.84</v>
      </c>
      <c r="M28" s="79"/>
      <c r="N28" s="61">
        <f>L28-G28</f>
        <v>46112.939999999944</v>
      </c>
      <c r="O28" s="60">
        <f>IF(G28&lt;&gt;0,N28/G28,0)</f>
        <v>7.82608695652173E-2</v>
      </c>
      <c r="P28" s="74"/>
      <c r="Q28" s="85">
        <f>K28-F28</f>
        <v>9.000000000000008E-2</v>
      </c>
    </row>
    <row r="29" spans="1:17">
      <c r="A29" s="3">
        <f t="shared" si="0"/>
        <v>21</v>
      </c>
      <c r="B29" s="84"/>
      <c r="C29" s="84"/>
      <c r="D29" s="72"/>
      <c r="E29" s="77"/>
      <c r="F29" s="69"/>
      <c r="G29" s="62"/>
      <c r="H29" s="92"/>
      <c r="I29" s="64"/>
      <c r="J29" s="92"/>
      <c r="K29" s="69"/>
      <c r="L29" s="62"/>
      <c r="M29" s="79"/>
      <c r="N29" s="79"/>
      <c r="O29" s="91"/>
      <c r="P29" s="79"/>
      <c r="Q29" s="79"/>
    </row>
    <row r="30" spans="1:17">
      <c r="A30" s="3">
        <f t="shared" si="0"/>
        <v>22</v>
      </c>
      <c r="B30" s="84"/>
      <c r="C30" s="84" t="s">
        <v>106</v>
      </c>
      <c r="D30" s="72"/>
      <c r="E30" s="77"/>
      <c r="F30" s="69"/>
      <c r="G30" s="62"/>
      <c r="H30" s="92"/>
      <c r="I30" s="64"/>
      <c r="J30" s="92"/>
      <c r="K30" s="69"/>
      <c r="L30" s="62"/>
      <c r="M30" s="79"/>
      <c r="N30" s="79"/>
      <c r="O30" s="91"/>
      <c r="P30" s="79"/>
      <c r="Q30" s="79"/>
    </row>
    <row r="31" spans="1:17">
      <c r="A31" s="3">
        <f t="shared" si="0"/>
        <v>23</v>
      </c>
      <c r="B31" s="84"/>
      <c r="C31" s="84" t="s">
        <v>122</v>
      </c>
      <c r="D31" s="72" t="s">
        <v>99</v>
      </c>
      <c r="E31" s="77">
        <v>665953</v>
      </c>
      <c r="F31" s="76">
        <f>F21</f>
        <v>0.13761999999999999</v>
      </c>
      <c r="G31" s="89" t="s">
        <v>121</v>
      </c>
      <c r="H31" s="92"/>
      <c r="I31" s="64"/>
      <c r="J31" s="92"/>
      <c r="K31" s="83">
        <f>ROUND(F31*(1+I31),5)</f>
        <v>0.13761999999999999</v>
      </c>
      <c r="L31" s="89" t="s">
        <v>121</v>
      </c>
      <c r="M31" s="79"/>
      <c r="N31" s="79"/>
      <c r="O31" s="91"/>
      <c r="P31" s="79"/>
      <c r="Q31" s="82">
        <f>K31-F31</f>
        <v>0</v>
      </c>
    </row>
    <row r="32" spans="1:17">
      <c r="A32" s="3">
        <f t="shared" si="0"/>
        <v>24</v>
      </c>
      <c r="B32" s="84"/>
      <c r="C32" s="84" t="s">
        <v>120</v>
      </c>
      <c r="D32" s="72" t="s">
        <v>99</v>
      </c>
      <c r="E32" s="77">
        <v>2690154</v>
      </c>
      <c r="F32" s="76">
        <f>F22</f>
        <v>0.13761999999999999</v>
      </c>
      <c r="G32" s="89">
        <f>ROUND($E32*F32,2)</f>
        <v>370218.99</v>
      </c>
      <c r="H32" s="92"/>
      <c r="I32" s="64">
        <f>'JAP-23 Page 8'!$E$42</f>
        <v>7.9799999999999996E-2</v>
      </c>
      <c r="J32" s="92"/>
      <c r="K32" s="83">
        <f>ROUND(F32*(1+I32),5)</f>
        <v>0.14860000000000001</v>
      </c>
      <c r="L32" s="89">
        <f>ROUND($E32*K32,2)</f>
        <v>399756.88</v>
      </c>
      <c r="M32" s="79"/>
      <c r="N32" s="61">
        <f>L32-G32</f>
        <v>29537.890000000014</v>
      </c>
      <c r="O32" s="60">
        <f>IF(G32&lt;&gt;0,N32/G32,0)</f>
        <v>7.9784913248237249E-2</v>
      </c>
      <c r="P32" s="74"/>
      <c r="Q32" s="82">
        <f>K32-F32</f>
        <v>1.0980000000000018E-2</v>
      </c>
    </row>
    <row r="33" spans="1:17">
      <c r="A33" s="3">
        <f t="shared" si="0"/>
        <v>25</v>
      </c>
      <c r="B33" s="84"/>
      <c r="C33" s="84" t="s">
        <v>119</v>
      </c>
      <c r="D33" s="72" t="s">
        <v>99</v>
      </c>
      <c r="E33" s="77">
        <v>7533376</v>
      </c>
      <c r="F33" s="76">
        <f>F23</f>
        <v>0.11078</v>
      </c>
      <c r="G33" s="89">
        <f>ROUND($E33*F33,2)</f>
        <v>834547.39</v>
      </c>
      <c r="H33" s="92"/>
      <c r="I33" s="64">
        <f>'JAP-23 Page 8'!$E$42</f>
        <v>7.9799999999999996E-2</v>
      </c>
      <c r="J33" s="92"/>
      <c r="K33" s="83">
        <f>ROUND(F33*(1+I33),5)</f>
        <v>0.11962</v>
      </c>
      <c r="L33" s="89">
        <f>ROUND($E33*K33,2)</f>
        <v>901142.44</v>
      </c>
      <c r="M33" s="79"/>
      <c r="N33" s="61">
        <f>L33-G33</f>
        <v>66595.04999999993</v>
      </c>
      <c r="O33" s="60">
        <f>IF(G33&lt;&gt;0,N33/G33,0)</f>
        <v>7.9797805131233981E-2</v>
      </c>
      <c r="P33" s="74"/>
      <c r="Q33" s="82">
        <f>K33-F33</f>
        <v>8.8400000000000006E-3</v>
      </c>
    </row>
    <row r="34" spans="1:17">
      <c r="A34" s="3">
        <f t="shared" si="0"/>
        <v>26</v>
      </c>
      <c r="B34" s="84"/>
      <c r="C34" s="81" t="s">
        <v>98</v>
      </c>
      <c r="D34" s="71"/>
      <c r="E34" s="80">
        <f>SUM(E31:E33)</f>
        <v>10889483</v>
      </c>
      <c r="F34" s="77"/>
      <c r="G34" s="84"/>
      <c r="H34" s="92"/>
      <c r="I34" s="64"/>
      <c r="J34" s="92"/>
      <c r="K34" s="77"/>
      <c r="L34" s="84"/>
      <c r="M34" s="79"/>
      <c r="N34" s="79"/>
      <c r="O34" s="91"/>
      <c r="P34" s="79"/>
      <c r="Q34" s="79"/>
    </row>
    <row r="35" spans="1:17">
      <c r="A35" s="3">
        <f t="shared" si="0"/>
        <v>27</v>
      </c>
      <c r="B35" s="84"/>
      <c r="C35" s="81" t="s">
        <v>110</v>
      </c>
      <c r="D35" s="72" t="s">
        <v>99</v>
      </c>
      <c r="E35" s="77">
        <f>E34</f>
        <v>10889483</v>
      </c>
      <c r="F35" s="93">
        <f>-F80</f>
        <v>-5.3699999999999998E-3</v>
      </c>
      <c r="G35" s="89">
        <f>ROUND($E35*F35,2)</f>
        <v>-58476.52</v>
      </c>
      <c r="H35" s="92"/>
      <c r="I35" s="64">
        <f>'JAP-23 Page 8'!$E$42</f>
        <v>7.9799999999999996E-2</v>
      </c>
      <c r="J35" s="92"/>
      <c r="K35" s="83">
        <f>ROUND(F35*(1+I35),5)</f>
        <v>-5.7999999999999996E-3</v>
      </c>
      <c r="L35" s="89">
        <f>ROUND($E35*K35,2)</f>
        <v>-63159</v>
      </c>
      <c r="M35" s="79"/>
      <c r="N35" s="61">
        <f>L35-G35</f>
        <v>-4682.4800000000032</v>
      </c>
      <c r="O35" s="60">
        <f>IF(G35&lt;&gt;0,N35/G35,0)</f>
        <v>8.0074532479018995E-2</v>
      </c>
      <c r="P35" s="74"/>
      <c r="Q35" s="82">
        <f>K35-F35</f>
        <v>-4.2999999999999983E-4</v>
      </c>
    </row>
    <row r="36" spans="1:17">
      <c r="A36" s="3">
        <f t="shared" si="0"/>
        <v>28</v>
      </c>
      <c r="B36" s="79"/>
      <c r="C36" s="78" t="s">
        <v>97</v>
      </c>
      <c r="D36" s="71"/>
      <c r="E36" s="77"/>
      <c r="F36" s="77"/>
      <c r="G36" s="88">
        <f>SUM(G28:G35)</f>
        <v>1735510.76</v>
      </c>
      <c r="H36" s="92"/>
      <c r="I36" s="64"/>
      <c r="J36" s="92"/>
      <c r="K36" s="77"/>
      <c r="L36" s="88">
        <f>SUM(L28:L35)</f>
        <v>1873074.16</v>
      </c>
      <c r="M36" s="79"/>
      <c r="N36" s="61">
        <f>L36-G36</f>
        <v>137563.39999999991</v>
      </c>
      <c r="O36" s="60">
        <f>IF(G36&lt;&gt;0,N36/G36,0)</f>
        <v>7.9263928043868712E-2</v>
      </c>
      <c r="P36" s="74"/>
      <c r="Q36" s="79"/>
    </row>
    <row r="37" spans="1:17">
      <c r="A37" s="3">
        <f t="shared" si="0"/>
        <v>29</v>
      </c>
      <c r="B37" s="84"/>
      <c r="C37" s="81"/>
      <c r="D37" s="71"/>
      <c r="E37" s="77"/>
      <c r="F37" s="77"/>
      <c r="G37" s="62"/>
      <c r="H37" s="92"/>
      <c r="I37" s="64"/>
      <c r="J37" s="92"/>
      <c r="K37" s="77"/>
      <c r="L37" s="62"/>
      <c r="M37" s="79"/>
      <c r="N37" s="79"/>
      <c r="O37" s="91"/>
      <c r="P37" s="79"/>
      <c r="Q37" s="79"/>
    </row>
    <row r="38" spans="1:17">
      <c r="A38" s="3">
        <f t="shared" si="0"/>
        <v>30</v>
      </c>
      <c r="B38" s="87" t="s">
        <v>118</v>
      </c>
      <c r="C38" s="67"/>
      <c r="D38" s="71"/>
      <c r="E38" s="77"/>
      <c r="F38" s="69"/>
      <c r="G38" s="90"/>
      <c r="H38" s="70"/>
      <c r="I38" s="64"/>
      <c r="J38" s="70"/>
      <c r="K38" s="69"/>
      <c r="L38" s="90"/>
      <c r="M38" s="67"/>
      <c r="N38" s="67"/>
      <c r="O38" s="68"/>
      <c r="P38" s="67"/>
      <c r="Q38" s="67"/>
    </row>
    <row r="39" spans="1:17">
      <c r="A39" s="3">
        <f t="shared" si="0"/>
        <v>31</v>
      </c>
      <c r="B39" s="67"/>
      <c r="C39" s="72" t="s">
        <v>108</v>
      </c>
      <c r="D39" s="72" t="s">
        <v>107</v>
      </c>
      <c r="E39" s="77">
        <v>101408</v>
      </c>
      <c r="F39" s="69">
        <v>1.1499999999999999</v>
      </c>
      <c r="G39" s="89">
        <f>ROUND($E39*F39,2)</f>
        <v>116619.2</v>
      </c>
      <c r="H39" s="70"/>
      <c r="I39" s="64">
        <f>'JAP-23 Page 8'!$E$42</f>
        <v>7.9799999999999996E-2</v>
      </c>
      <c r="J39" s="70"/>
      <c r="K39" s="86">
        <f>ROUND(F39*(1+I39),2)</f>
        <v>1.24</v>
      </c>
      <c r="L39" s="89">
        <f>ROUND($E39*K39,2)</f>
        <v>125745.92</v>
      </c>
      <c r="M39" s="67"/>
      <c r="N39" s="61">
        <f>L39-G39</f>
        <v>9126.7200000000012</v>
      </c>
      <c r="O39" s="60">
        <f>IF(G39&lt;&gt;0,N39/G39,0)</f>
        <v>7.8260869565217397E-2</v>
      </c>
      <c r="P39" s="74"/>
      <c r="Q39" s="85">
        <f>K39-F39</f>
        <v>9.000000000000008E-2</v>
      </c>
    </row>
    <row r="40" spans="1:17">
      <c r="A40" s="3">
        <f t="shared" si="0"/>
        <v>32</v>
      </c>
      <c r="B40" s="67"/>
      <c r="C40" s="72" t="s">
        <v>110</v>
      </c>
      <c r="D40" s="72" t="s">
        <v>99</v>
      </c>
      <c r="E40" s="77">
        <v>17344756</v>
      </c>
      <c r="F40" s="76">
        <v>6.7999999999999996E-3</v>
      </c>
      <c r="G40" s="89">
        <f>ROUND($E40*F40,2)</f>
        <v>117944.34</v>
      </c>
      <c r="H40" s="70"/>
      <c r="I40" s="64">
        <f>'JAP-23 Page 8'!$E$42</f>
        <v>7.9799999999999996E-2</v>
      </c>
      <c r="J40" s="70"/>
      <c r="K40" s="83">
        <f>ROUND(F40*(1+I40),5)</f>
        <v>7.3400000000000002E-3</v>
      </c>
      <c r="L40" s="89">
        <f>ROUND($E40*K40,2)</f>
        <v>127310.51</v>
      </c>
      <c r="M40" s="67"/>
      <c r="N40" s="61">
        <f>L40-G40</f>
        <v>9366.1699999999983</v>
      </c>
      <c r="O40" s="60">
        <f>IF(G40&lt;&gt;0,N40/G40,0)</f>
        <v>7.9411780166814272E-2</v>
      </c>
      <c r="P40" s="74"/>
      <c r="Q40" s="82">
        <f>K40-F40</f>
        <v>5.4000000000000055E-4</v>
      </c>
    </row>
    <row r="41" spans="1:17">
      <c r="A41" s="3">
        <f t="shared" si="0"/>
        <v>33</v>
      </c>
      <c r="B41" s="67"/>
      <c r="C41" s="72"/>
      <c r="D41" s="72"/>
      <c r="E41" s="77"/>
      <c r="F41" s="76"/>
      <c r="G41" s="62"/>
      <c r="H41" s="70"/>
      <c r="I41" s="64"/>
      <c r="J41" s="70"/>
      <c r="K41" s="76"/>
      <c r="L41" s="62"/>
      <c r="M41" s="67"/>
      <c r="N41" s="67"/>
      <c r="O41" s="68"/>
      <c r="P41" s="67"/>
      <c r="Q41" s="67"/>
    </row>
    <row r="42" spans="1:17">
      <c r="A42" s="3">
        <f t="shared" ref="A42:A73" si="1">A41+1</f>
        <v>34</v>
      </c>
      <c r="B42" s="67"/>
      <c r="C42" s="72" t="s">
        <v>106</v>
      </c>
      <c r="D42" s="72"/>
      <c r="E42" s="77"/>
      <c r="F42" s="76"/>
      <c r="G42" s="62"/>
      <c r="H42" s="70"/>
      <c r="I42" s="64"/>
      <c r="J42" s="70"/>
      <c r="K42" s="76"/>
      <c r="L42" s="62"/>
      <c r="M42" s="67"/>
      <c r="N42" s="67"/>
      <c r="O42" s="68"/>
      <c r="P42" s="67"/>
      <c r="Q42" s="67"/>
    </row>
    <row r="43" spans="1:17">
      <c r="A43" s="3">
        <f t="shared" si="1"/>
        <v>35</v>
      </c>
      <c r="B43" s="67"/>
      <c r="C43" s="72" t="s">
        <v>105</v>
      </c>
      <c r="D43" s="72" t="s">
        <v>99</v>
      </c>
      <c r="E43" s="77">
        <v>8755957</v>
      </c>
      <c r="F43" s="76">
        <v>0.10172</v>
      </c>
      <c r="G43" s="89">
        <f>ROUND($E43*F43,2)</f>
        <v>890655.95</v>
      </c>
      <c r="H43" s="70"/>
      <c r="I43" s="64">
        <f>'JAP-23 Page 8'!$E$42</f>
        <v>7.9799999999999996E-2</v>
      </c>
      <c r="J43" s="70"/>
      <c r="K43" s="83">
        <f>ROUND(F43*(1+I43),5)</f>
        <v>0.10983999999999999</v>
      </c>
      <c r="L43" s="89">
        <f>ROUND($E43*K43,2)</f>
        <v>961754.32</v>
      </c>
      <c r="M43" s="67"/>
      <c r="N43" s="61">
        <f>L43-G43</f>
        <v>71098.37</v>
      </c>
      <c r="O43" s="60">
        <f>IF(G43&lt;&gt;0,N43/G43,0)</f>
        <v>7.9826974714534829E-2</v>
      </c>
      <c r="P43" s="74"/>
      <c r="Q43" s="82">
        <f>K43-F43</f>
        <v>8.1199999999999883E-3</v>
      </c>
    </row>
    <row r="44" spans="1:17">
      <c r="A44" s="3">
        <f t="shared" si="1"/>
        <v>36</v>
      </c>
      <c r="B44" s="67"/>
      <c r="C44" s="72" t="s">
        <v>104</v>
      </c>
      <c r="D44" s="72" t="s">
        <v>99</v>
      </c>
      <c r="E44" s="77">
        <v>4051604</v>
      </c>
      <c r="F44" s="76">
        <v>5.033E-2</v>
      </c>
      <c r="G44" s="89">
        <f>ROUND($E44*F44,2)</f>
        <v>203917.23</v>
      </c>
      <c r="H44" s="70"/>
      <c r="I44" s="64">
        <f>'JAP-23 Page 8'!$E$42</f>
        <v>7.9799999999999996E-2</v>
      </c>
      <c r="J44" s="70"/>
      <c r="K44" s="83">
        <f>ROUND(F44*(1+I44),5)</f>
        <v>5.4350000000000002E-2</v>
      </c>
      <c r="L44" s="89">
        <f>ROUND($E44*K44,2)</f>
        <v>220204.68</v>
      </c>
      <c r="M44" s="67"/>
      <c r="N44" s="61">
        <f>L44-G44</f>
        <v>16287.449999999983</v>
      </c>
      <c r="O44" s="60">
        <f>IF(G44&lt;&gt;0,N44/G44,0)</f>
        <v>7.987284841011219E-2</v>
      </c>
      <c r="P44" s="74"/>
      <c r="Q44" s="82">
        <f>K44-F44</f>
        <v>4.0200000000000027E-3</v>
      </c>
    </row>
    <row r="45" spans="1:17">
      <c r="A45" s="3">
        <f t="shared" si="1"/>
        <v>37</v>
      </c>
      <c r="B45" s="67"/>
      <c r="C45" s="72" t="s">
        <v>117</v>
      </c>
      <c r="D45" s="72" t="s">
        <v>99</v>
      </c>
      <c r="E45" s="77">
        <v>4537195</v>
      </c>
      <c r="F45" s="76">
        <v>4.8160000000000001E-2</v>
      </c>
      <c r="G45" s="89">
        <f>ROUND($E45*F45,2)</f>
        <v>218511.31</v>
      </c>
      <c r="H45" s="70"/>
      <c r="I45" s="64">
        <f>'JAP-23 Page 8'!$E$42</f>
        <v>7.9799999999999996E-2</v>
      </c>
      <c r="J45" s="70"/>
      <c r="K45" s="83">
        <f>ROUND(F45*(1+I45),5)</f>
        <v>5.1999999999999998E-2</v>
      </c>
      <c r="L45" s="89">
        <f>ROUND($E45*K45,2)</f>
        <v>235934.14</v>
      </c>
      <c r="M45" s="67"/>
      <c r="N45" s="61">
        <f>L45-G45</f>
        <v>17422.830000000016</v>
      </c>
      <c r="O45" s="60">
        <f>IF(G45&lt;&gt;0,N45/G45,0)</f>
        <v>7.9734225198686587E-2</v>
      </c>
      <c r="P45" s="74"/>
      <c r="Q45" s="82">
        <f>K45-F45</f>
        <v>3.8399999999999962E-3</v>
      </c>
    </row>
    <row r="46" spans="1:17">
      <c r="A46" s="3">
        <f t="shared" si="1"/>
        <v>38</v>
      </c>
      <c r="B46" s="67"/>
      <c r="C46" s="81" t="s">
        <v>98</v>
      </c>
      <c r="D46" s="71"/>
      <c r="E46" s="80">
        <f>SUM(E43:E45)</f>
        <v>17344756</v>
      </c>
      <c r="F46" s="69"/>
      <c r="G46" s="67"/>
      <c r="H46" s="70"/>
      <c r="I46" s="64"/>
      <c r="J46" s="70"/>
      <c r="K46" s="69"/>
      <c r="L46" s="67"/>
      <c r="M46" s="67"/>
      <c r="N46" s="67"/>
      <c r="O46" s="68"/>
      <c r="P46" s="67"/>
      <c r="Q46" s="67"/>
    </row>
    <row r="47" spans="1:17">
      <c r="A47" s="3">
        <f t="shared" si="1"/>
        <v>39</v>
      </c>
      <c r="B47" s="67"/>
      <c r="C47" s="72"/>
      <c r="D47" s="71"/>
      <c r="E47" s="77"/>
      <c r="F47" s="69"/>
      <c r="G47" s="88">
        <f>SUM(G39:G45)</f>
        <v>1547648.03</v>
      </c>
      <c r="H47" s="70"/>
      <c r="I47" s="64"/>
      <c r="J47" s="70"/>
      <c r="K47" s="69"/>
      <c r="L47" s="88">
        <f>SUM(L39:L45)</f>
        <v>1670949.5699999998</v>
      </c>
      <c r="M47" s="67"/>
      <c r="N47" s="61">
        <f>L47-G47</f>
        <v>123301.5399999998</v>
      </c>
      <c r="O47" s="60">
        <f>IF(G47&lt;&gt;0,N47/G47,0)</f>
        <v>7.9670272316374025E-2</v>
      </c>
      <c r="P47" s="74"/>
      <c r="Q47" s="67"/>
    </row>
    <row r="48" spans="1:17">
      <c r="A48" s="3">
        <f t="shared" si="1"/>
        <v>40</v>
      </c>
      <c r="B48" s="67"/>
      <c r="C48" s="71"/>
      <c r="D48" s="71"/>
      <c r="E48" s="77"/>
      <c r="F48" s="69"/>
      <c r="G48" s="62"/>
      <c r="H48" s="70"/>
      <c r="I48" s="64"/>
      <c r="J48" s="70"/>
      <c r="K48" s="69"/>
      <c r="L48" s="62"/>
      <c r="M48" s="67"/>
      <c r="N48" s="67"/>
      <c r="O48" s="68"/>
      <c r="P48" s="67"/>
      <c r="Q48" s="67"/>
    </row>
    <row r="49" spans="1:17">
      <c r="A49" s="3">
        <f t="shared" si="1"/>
        <v>41</v>
      </c>
      <c r="B49" s="87" t="s">
        <v>116</v>
      </c>
      <c r="C49" s="67"/>
      <c r="D49" s="71"/>
      <c r="E49" s="77"/>
      <c r="F49" s="69"/>
      <c r="G49" s="90"/>
      <c r="H49" s="70"/>
      <c r="I49" s="64"/>
      <c r="J49" s="70"/>
      <c r="K49" s="69"/>
      <c r="L49" s="90"/>
      <c r="M49" s="67"/>
      <c r="N49" s="67"/>
      <c r="O49" s="68"/>
      <c r="P49" s="67"/>
      <c r="Q49" s="67"/>
    </row>
    <row r="50" spans="1:17">
      <c r="A50" s="3">
        <f t="shared" si="1"/>
        <v>42</v>
      </c>
      <c r="B50" s="67"/>
      <c r="C50" s="72"/>
      <c r="D50" s="72" t="s">
        <v>107</v>
      </c>
      <c r="E50" s="77">
        <v>665050</v>
      </c>
      <c r="F50" s="69">
        <f>F39</f>
        <v>1.1499999999999999</v>
      </c>
      <c r="G50" s="89">
        <f>ROUND($E50*F50,2)</f>
        <v>764807.5</v>
      </c>
      <c r="H50" s="70"/>
      <c r="I50" s="64">
        <f>'JAP-23 Page 8'!$E$42</f>
        <v>7.9799999999999996E-2</v>
      </c>
      <c r="J50" s="70"/>
      <c r="K50" s="86">
        <f>ROUND(F50*(1+I50),2)</f>
        <v>1.24</v>
      </c>
      <c r="L50" s="89">
        <f>ROUND($E50*K50,2)</f>
        <v>824662</v>
      </c>
      <c r="M50" s="67"/>
      <c r="N50" s="61">
        <f>L50-G50</f>
        <v>59854.5</v>
      </c>
      <c r="O50" s="60">
        <f>IF(G50&lt;&gt;0,N50/G50,0)</f>
        <v>7.8260869565217397E-2</v>
      </c>
      <c r="P50" s="74"/>
      <c r="Q50" s="85">
        <f>K50-F50</f>
        <v>9.000000000000008E-2</v>
      </c>
    </row>
    <row r="51" spans="1:17">
      <c r="A51" s="3">
        <f t="shared" si="1"/>
        <v>43</v>
      </c>
      <c r="B51" s="67"/>
      <c r="C51" s="72"/>
      <c r="D51" s="72"/>
      <c r="E51" s="77"/>
      <c r="F51" s="76"/>
      <c r="G51" s="62"/>
      <c r="H51" s="70"/>
      <c r="I51" s="64"/>
      <c r="J51" s="70"/>
      <c r="K51" s="76"/>
      <c r="L51" s="62"/>
      <c r="M51" s="67"/>
      <c r="N51" s="67"/>
      <c r="O51" s="68"/>
      <c r="P51" s="67"/>
      <c r="Q51" s="67"/>
    </row>
    <row r="52" spans="1:17">
      <c r="A52" s="3">
        <f t="shared" si="1"/>
        <v>44</v>
      </c>
      <c r="B52" s="67"/>
      <c r="C52" s="72" t="s">
        <v>106</v>
      </c>
      <c r="D52" s="72"/>
      <c r="E52" s="77"/>
      <c r="F52" s="76"/>
      <c r="G52" s="62"/>
      <c r="H52" s="70"/>
      <c r="I52" s="64"/>
      <c r="J52" s="70"/>
      <c r="K52" s="76"/>
      <c r="L52" s="62"/>
      <c r="M52" s="67"/>
      <c r="N52" s="67"/>
      <c r="O52" s="68"/>
      <c r="P52" s="67"/>
      <c r="Q52" s="67"/>
    </row>
    <row r="53" spans="1:17">
      <c r="A53" s="3">
        <f t="shared" si="1"/>
        <v>45</v>
      </c>
      <c r="B53" s="67"/>
      <c r="C53" s="72" t="s">
        <v>105</v>
      </c>
      <c r="D53" s="72" t="s">
        <v>99</v>
      </c>
      <c r="E53" s="77">
        <v>27027671</v>
      </c>
      <c r="F53" s="76">
        <f>F43</f>
        <v>0.10172</v>
      </c>
      <c r="G53" s="89">
        <f>ROUND($E53*F53,2)</f>
        <v>2749254.69</v>
      </c>
      <c r="H53" s="70"/>
      <c r="I53" s="64">
        <f>'JAP-23 Page 8'!$E$42</f>
        <v>7.9799999999999996E-2</v>
      </c>
      <c r="J53" s="70"/>
      <c r="K53" s="83">
        <f>ROUND(F53*(1+I53),5)</f>
        <v>0.10983999999999999</v>
      </c>
      <c r="L53" s="89">
        <f>ROUND($E53*K53,2)</f>
        <v>2968719.38</v>
      </c>
      <c r="M53" s="67"/>
      <c r="N53" s="61">
        <f>L53-G53</f>
        <v>219464.68999999994</v>
      </c>
      <c r="O53" s="60">
        <f>IF(G53&lt;&gt;0,N53/G53,0)</f>
        <v>7.9826976670539007E-2</v>
      </c>
      <c r="P53" s="74"/>
      <c r="Q53" s="82">
        <f>K53-F53</f>
        <v>8.1199999999999883E-3</v>
      </c>
    </row>
    <row r="54" spans="1:17">
      <c r="A54" s="3">
        <f t="shared" si="1"/>
        <v>46</v>
      </c>
      <c r="B54" s="67"/>
      <c r="C54" s="72" t="s">
        <v>104</v>
      </c>
      <c r="D54" s="72" t="s">
        <v>99</v>
      </c>
      <c r="E54" s="77">
        <v>18099259</v>
      </c>
      <c r="F54" s="76">
        <f>F44</f>
        <v>5.033E-2</v>
      </c>
      <c r="G54" s="89">
        <f>ROUND($E54*F54,2)</f>
        <v>910935.71</v>
      </c>
      <c r="H54" s="70"/>
      <c r="I54" s="64">
        <f>'JAP-23 Page 8'!$E$42</f>
        <v>7.9799999999999996E-2</v>
      </c>
      <c r="J54" s="70"/>
      <c r="K54" s="83">
        <f>ROUND(F54*(1+I54),5)</f>
        <v>5.4350000000000002E-2</v>
      </c>
      <c r="L54" s="89">
        <f>ROUND($E54*K54,2)</f>
        <v>983694.73</v>
      </c>
      <c r="M54" s="67"/>
      <c r="N54" s="61">
        <f>L54-G54</f>
        <v>72759.020000000019</v>
      </c>
      <c r="O54" s="60">
        <f>IF(G54&lt;&gt;0,N54/G54,0)</f>
        <v>7.9872837568306571E-2</v>
      </c>
      <c r="P54" s="74"/>
      <c r="Q54" s="82">
        <f>K54-F54</f>
        <v>4.0200000000000027E-3</v>
      </c>
    </row>
    <row r="55" spans="1:17">
      <c r="A55" s="3">
        <f t="shared" si="1"/>
        <v>47</v>
      </c>
      <c r="B55" s="67"/>
      <c r="C55" s="72" t="s">
        <v>103</v>
      </c>
      <c r="D55" s="72" t="s">
        <v>99</v>
      </c>
      <c r="E55" s="77">
        <v>31440202</v>
      </c>
      <c r="F55" s="76">
        <f>F45</f>
        <v>4.8160000000000001E-2</v>
      </c>
      <c r="G55" s="89">
        <f>ROUND($E55*F55,2)</f>
        <v>1514160.13</v>
      </c>
      <c r="H55" s="70"/>
      <c r="I55" s="64">
        <f>'JAP-23 Page 8'!$E$42</f>
        <v>7.9799999999999996E-2</v>
      </c>
      <c r="J55" s="70"/>
      <c r="K55" s="83">
        <f>ROUND(F55*(1+I55),5)</f>
        <v>5.1999999999999998E-2</v>
      </c>
      <c r="L55" s="89">
        <f>ROUND($E55*K55,2)</f>
        <v>1634890.5</v>
      </c>
      <c r="M55" s="67"/>
      <c r="N55" s="61">
        <f>L55-G55</f>
        <v>120730.37000000011</v>
      </c>
      <c r="O55" s="60">
        <f>IF(G55&lt;&gt;0,N55/G55,0)</f>
        <v>7.9734215429381389E-2</v>
      </c>
      <c r="P55" s="74"/>
      <c r="Q55" s="82">
        <f>K55-F55</f>
        <v>3.8399999999999962E-3</v>
      </c>
    </row>
    <row r="56" spans="1:17">
      <c r="A56" s="3">
        <f t="shared" si="1"/>
        <v>48</v>
      </c>
      <c r="B56" s="67"/>
      <c r="C56" s="81" t="s">
        <v>98</v>
      </c>
      <c r="D56" s="71"/>
      <c r="E56" s="80">
        <f>SUM(E53:E55)</f>
        <v>76567132</v>
      </c>
      <c r="F56" s="69"/>
      <c r="G56" s="67"/>
      <c r="H56" s="70"/>
      <c r="I56" s="64"/>
      <c r="J56" s="70"/>
      <c r="K56" s="69"/>
      <c r="L56" s="67"/>
      <c r="M56" s="67"/>
      <c r="N56" s="67"/>
      <c r="O56" s="68"/>
      <c r="P56" s="67"/>
      <c r="Q56" s="67"/>
    </row>
    <row r="57" spans="1:17">
      <c r="A57" s="3">
        <f t="shared" si="1"/>
        <v>49</v>
      </c>
      <c r="B57" s="67"/>
      <c r="C57" s="78" t="s">
        <v>97</v>
      </c>
      <c r="D57" s="71"/>
      <c r="E57" s="77"/>
      <c r="F57" s="69"/>
      <c r="G57" s="88">
        <f>SUM(G50:G55)</f>
        <v>5939158.0300000003</v>
      </c>
      <c r="H57" s="70"/>
      <c r="I57" s="64"/>
      <c r="J57" s="70"/>
      <c r="K57" s="69"/>
      <c r="L57" s="88">
        <f>SUM(L50:L55)</f>
        <v>6411966.6099999994</v>
      </c>
      <c r="M57" s="67"/>
      <c r="N57" s="61">
        <f>L57-G57</f>
        <v>472808.57999999914</v>
      </c>
      <c r="O57" s="60">
        <f>IF(G57&lt;&gt;0,N57/G57,0)</f>
        <v>7.9608688236908073E-2</v>
      </c>
      <c r="P57" s="74"/>
      <c r="Q57" s="67"/>
    </row>
    <row r="58" spans="1:17">
      <c r="A58" s="3">
        <f t="shared" si="1"/>
        <v>50</v>
      </c>
      <c r="B58" s="67"/>
      <c r="C58" s="71"/>
      <c r="D58" s="71"/>
      <c r="E58" s="77"/>
      <c r="F58" s="69"/>
      <c r="G58" s="62"/>
      <c r="H58" s="70"/>
      <c r="I58" s="64"/>
      <c r="J58" s="70"/>
      <c r="K58" s="69"/>
      <c r="L58" s="62"/>
      <c r="M58" s="67"/>
      <c r="N58" s="67"/>
      <c r="O58" s="68"/>
      <c r="P58" s="67"/>
      <c r="Q58" s="67"/>
    </row>
    <row r="59" spans="1:17">
      <c r="A59" s="3">
        <f t="shared" si="1"/>
        <v>51</v>
      </c>
      <c r="B59" s="87" t="s">
        <v>115</v>
      </c>
      <c r="C59" s="67"/>
      <c r="D59" s="71"/>
      <c r="E59" s="77"/>
      <c r="F59" s="69"/>
      <c r="G59" s="62"/>
      <c r="H59" s="70"/>
      <c r="I59" s="64"/>
      <c r="J59" s="70"/>
      <c r="K59" s="69"/>
      <c r="L59" s="62"/>
      <c r="M59" s="67"/>
      <c r="N59" s="67"/>
      <c r="O59" s="68"/>
      <c r="P59" s="67"/>
      <c r="Q59" s="67"/>
    </row>
    <row r="60" spans="1:17">
      <c r="A60" s="3">
        <f t="shared" si="1"/>
        <v>52</v>
      </c>
      <c r="B60" s="67"/>
      <c r="C60" s="72" t="s">
        <v>108</v>
      </c>
      <c r="D60" s="72" t="s">
        <v>107</v>
      </c>
      <c r="E60" s="77">
        <v>93477</v>
      </c>
      <c r="F60" s="69">
        <f>F39</f>
        <v>1.1499999999999999</v>
      </c>
      <c r="G60" s="62">
        <f>ROUND($E60*F60,2)</f>
        <v>107498.55</v>
      </c>
      <c r="H60" s="70"/>
      <c r="I60" s="64">
        <f>'JAP-23 Page 8'!$E$42</f>
        <v>7.9799999999999996E-2</v>
      </c>
      <c r="J60" s="70"/>
      <c r="K60" s="86">
        <f>ROUND(F60*(1+I60),2)</f>
        <v>1.24</v>
      </c>
      <c r="L60" s="62">
        <f>ROUND($E60*K60,2)</f>
        <v>115911.48</v>
      </c>
      <c r="M60" s="67"/>
      <c r="N60" s="61">
        <f>L60-G60</f>
        <v>8412.929999999993</v>
      </c>
      <c r="O60" s="60">
        <f>IF(G60&lt;&gt;0,N60/G60,0)</f>
        <v>7.8260869565217328E-2</v>
      </c>
      <c r="P60" s="74"/>
      <c r="Q60" s="85">
        <f>K60-F60</f>
        <v>9.000000000000008E-2</v>
      </c>
    </row>
    <row r="61" spans="1:17">
      <c r="A61" s="3">
        <f t="shared" si="1"/>
        <v>53</v>
      </c>
      <c r="B61" s="67"/>
      <c r="C61" s="72" t="s">
        <v>110</v>
      </c>
      <c r="D61" s="72" t="s">
        <v>99</v>
      </c>
      <c r="E61" s="77">
        <v>12317849</v>
      </c>
      <c r="F61" s="76">
        <v>6.79E-3</v>
      </c>
      <c r="G61" s="62">
        <f>ROUND($E61*F61,2)</f>
        <v>83638.19</v>
      </c>
      <c r="H61" s="70"/>
      <c r="I61" s="64">
        <f>'JAP-23 Page 8'!$E$42</f>
        <v>7.9799999999999996E-2</v>
      </c>
      <c r="J61" s="70"/>
      <c r="K61" s="83">
        <f>ROUND(F61*(1+I61),5)</f>
        <v>7.3299999999999997E-3</v>
      </c>
      <c r="L61" s="62">
        <f>ROUND($E61*K61,2)</f>
        <v>90289.83</v>
      </c>
      <c r="M61" s="67"/>
      <c r="N61" s="61">
        <f>L61-G61</f>
        <v>6651.6399999999994</v>
      </c>
      <c r="O61" s="60">
        <f>IF(G61&lt;&gt;0,N61/G61,0)</f>
        <v>7.9528741595197114E-2</v>
      </c>
      <c r="P61" s="74"/>
      <c r="Q61" s="82">
        <f>K61-F61</f>
        <v>5.3999999999999968E-4</v>
      </c>
    </row>
    <row r="62" spans="1:17">
      <c r="A62" s="3">
        <f t="shared" si="1"/>
        <v>54</v>
      </c>
      <c r="B62" s="67"/>
      <c r="C62" s="72"/>
      <c r="D62" s="72"/>
      <c r="E62" s="77"/>
      <c r="F62" s="76"/>
      <c r="G62" s="62"/>
      <c r="H62" s="70"/>
      <c r="I62" s="64"/>
      <c r="J62" s="70"/>
      <c r="K62" s="76"/>
      <c r="L62" s="62"/>
      <c r="M62" s="67"/>
      <c r="N62" s="67"/>
      <c r="O62" s="68"/>
      <c r="P62" s="67"/>
      <c r="Q62" s="67"/>
    </row>
    <row r="63" spans="1:17">
      <c r="A63" s="3">
        <f t="shared" si="1"/>
        <v>55</v>
      </c>
      <c r="B63" s="67"/>
      <c r="C63" s="72" t="s">
        <v>106</v>
      </c>
      <c r="D63" s="72"/>
      <c r="E63" s="77"/>
      <c r="F63" s="76"/>
      <c r="G63" s="62"/>
      <c r="H63" s="70"/>
      <c r="I63" s="64"/>
      <c r="J63" s="70"/>
      <c r="K63" s="76"/>
      <c r="L63" s="62"/>
      <c r="M63" s="67"/>
      <c r="N63" s="67"/>
      <c r="O63" s="68"/>
      <c r="P63" s="67"/>
      <c r="Q63" s="67"/>
    </row>
    <row r="64" spans="1:17">
      <c r="A64" s="3">
        <f t="shared" si="1"/>
        <v>56</v>
      </c>
      <c r="B64" s="67"/>
      <c r="C64" s="84" t="s">
        <v>113</v>
      </c>
      <c r="D64" s="84" t="s">
        <v>99</v>
      </c>
      <c r="E64" s="77">
        <v>2903910</v>
      </c>
      <c r="F64" s="76">
        <v>0.19853999999999999</v>
      </c>
      <c r="G64" s="62">
        <f>ROUND($E64*F64,2)</f>
        <v>576542.29</v>
      </c>
      <c r="H64" s="70"/>
      <c r="I64" s="64">
        <f>'JAP-23 Page 8'!$E$42</f>
        <v>7.9799999999999996E-2</v>
      </c>
      <c r="J64" s="70"/>
      <c r="K64" s="83">
        <f>ROUND(F64*(1+I64),5)</f>
        <v>0.21437999999999999</v>
      </c>
      <c r="L64" s="62">
        <f>ROUND($E64*K64,2)</f>
        <v>622540.23</v>
      </c>
      <c r="M64" s="67"/>
      <c r="N64" s="61">
        <f>L64-G64</f>
        <v>45997.939999999944</v>
      </c>
      <c r="O64" s="60">
        <f>IF(G64&lt;&gt;0,N64/G64,0)</f>
        <v>7.9782421511525092E-2</v>
      </c>
      <c r="P64" s="74"/>
      <c r="Q64" s="82">
        <f>K64-F64</f>
        <v>1.5839999999999993E-2</v>
      </c>
    </row>
    <row r="65" spans="1:17">
      <c r="A65" s="3">
        <f t="shared" si="1"/>
        <v>57</v>
      </c>
      <c r="B65" s="67"/>
      <c r="C65" s="84" t="s">
        <v>112</v>
      </c>
      <c r="D65" s="84" t="s">
        <v>99</v>
      </c>
      <c r="E65" s="77">
        <v>9413939</v>
      </c>
      <c r="F65" s="76">
        <v>0.14076</v>
      </c>
      <c r="G65" s="62">
        <f>ROUND($E65*F65,2)</f>
        <v>1325106.05</v>
      </c>
      <c r="H65" s="70"/>
      <c r="I65" s="64">
        <f>'JAP-23 Page 8'!$E$42</f>
        <v>7.9799999999999996E-2</v>
      </c>
      <c r="J65" s="70"/>
      <c r="K65" s="83">
        <f>ROUND(F65*(1+I65),5)</f>
        <v>0.15198999999999999</v>
      </c>
      <c r="L65" s="62">
        <f>ROUND($E65*K65,2)</f>
        <v>1430824.59</v>
      </c>
      <c r="M65" s="67"/>
      <c r="N65" s="61">
        <f>L65-G65</f>
        <v>105718.54000000004</v>
      </c>
      <c r="O65" s="60">
        <f>IF(G65&lt;&gt;0,N65/G65,0)</f>
        <v>7.978119185253138E-2</v>
      </c>
      <c r="P65" s="74"/>
      <c r="Q65" s="82">
        <f>K65-F65</f>
        <v>1.122999999999999E-2</v>
      </c>
    </row>
    <row r="66" spans="1:17">
      <c r="A66" s="3">
        <f t="shared" si="1"/>
        <v>58</v>
      </c>
      <c r="B66" s="67"/>
      <c r="C66" s="81" t="s">
        <v>98</v>
      </c>
      <c r="D66" s="72" t="s">
        <v>99</v>
      </c>
      <c r="E66" s="80">
        <f>SUM(E64:E65)</f>
        <v>12317849</v>
      </c>
      <c r="F66" s="69"/>
      <c r="G66" s="67"/>
      <c r="H66" s="70"/>
      <c r="I66" s="64"/>
      <c r="J66" s="70"/>
      <c r="K66" s="69"/>
      <c r="L66" s="67"/>
      <c r="M66" s="67"/>
      <c r="N66" s="67"/>
      <c r="O66" s="68"/>
      <c r="P66" s="67"/>
      <c r="Q66" s="67"/>
    </row>
    <row r="67" spans="1:17">
      <c r="A67" s="3">
        <f t="shared" si="1"/>
        <v>59</v>
      </c>
      <c r="B67" s="67"/>
      <c r="C67" s="78" t="s">
        <v>97</v>
      </c>
      <c r="D67" s="72"/>
      <c r="E67" s="77"/>
      <c r="F67" s="69"/>
      <c r="G67" s="88">
        <f>SUM(G60:G65)</f>
        <v>2092785.08</v>
      </c>
      <c r="H67" s="70"/>
      <c r="I67" s="64"/>
      <c r="J67" s="70"/>
      <c r="K67" s="69"/>
      <c r="L67" s="88">
        <f>SUM(L60:L65)</f>
        <v>2259566.13</v>
      </c>
      <c r="M67" s="67"/>
      <c r="N67" s="61">
        <f>L67-G67</f>
        <v>166781.04999999981</v>
      </c>
      <c r="O67" s="60">
        <f>IF(G67&lt;&gt;0,N67/G67,0)</f>
        <v>7.9693348157852797E-2</v>
      </c>
      <c r="P67" s="74"/>
      <c r="Q67" s="67"/>
    </row>
    <row r="68" spans="1:17">
      <c r="A68" s="3">
        <f t="shared" si="1"/>
        <v>60</v>
      </c>
      <c r="B68" s="67"/>
      <c r="C68" s="71"/>
      <c r="D68" s="71"/>
      <c r="E68" s="77"/>
      <c r="F68" s="69"/>
      <c r="G68" s="62"/>
      <c r="H68" s="70"/>
      <c r="I68" s="64"/>
      <c r="J68" s="70"/>
      <c r="K68" s="69"/>
      <c r="L68" s="62"/>
      <c r="M68" s="67"/>
      <c r="N68" s="67"/>
      <c r="O68" s="68"/>
      <c r="P68" s="67"/>
      <c r="Q68" s="67"/>
    </row>
    <row r="69" spans="1:17">
      <c r="A69" s="3">
        <f t="shared" si="1"/>
        <v>61</v>
      </c>
      <c r="B69" s="87" t="s">
        <v>114</v>
      </c>
      <c r="C69" s="67"/>
      <c r="D69" s="71"/>
      <c r="E69" s="77"/>
      <c r="F69" s="69"/>
      <c r="G69" s="62"/>
      <c r="H69" s="70"/>
      <c r="I69" s="64"/>
      <c r="J69" s="70"/>
      <c r="K69" s="69"/>
      <c r="L69" s="62"/>
      <c r="M69" s="67"/>
      <c r="N69" s="67"/>
      <c r="O69" s="68"/>
      <c r="P69" s="67"/>
      <c r="Q69" s="67"/>
    </row>
    <row r="70" spans="1:17">
      <c r="A70" s="3">
        <f t="shared" si="1"/>
        <v>62</v>
      </c>
      <c r="B70" s="72"/>
      <c r="C70" s="72" t="s">
        <v>108</v>
      </c>
      <c r="D70" s="72" t="s">
        <v>107</v>
      </c>
      <c r="E70" s="77">
        <v>0</v>
      </c>
      <c r="F70" s="69">
        <f>F60</f>
        <v>1.1499999999999999</v>
      </c>
      <c r="G70" s="62">
        <f>ROUND($E70*F70,2)</f>
        <v>0</v>
      </c>
      <c r="H70" s="70"/>
      <c r="I70" s="64">
        <f>'JAP-23 Page 8'!$E$42</f>
        <v>7.9799999999999996E-2</v>
      </c>
      <c r="J70" s="70"/>
      <c r="K70" s="86">
        <f>ROUND(F70*(1+I70),2)</f>
        <v>1.24</v>
      </c>
      <c r="L70" s="62">
        <f>ROUND($E70*K70,2)</f>
        <v>0</v>
      </c>
      <c r="M70" s="67"/>
      <c r="N70" s="61">
        <f>L70-G70</f>
        <v>0</v>
      </c>
      <c r="O70" s="60">
        <f>IF(G70&lt;&gt;0,N70/G70,0)</f>
        <v>0</v>
      </c>
      <c r="P70" s="74"/>
      <c r="Q70" s="85">
        <f>K70-F70</f>
        <v>9.000000000000008E-2</v>
      </c>
    </row>
    <row r="71" spans="1:17">
      <c r="A71" s="3">
        <f t="shared" si="1"/>
        <v>63</v>
      </c>
      <c r="B71" s="72"/>
      <c r="C71" s="72"/>
      <c r="D71" s="72"/>
      <c r="E71" s="77"/>
      <c r="F71" s="76"/>
      <c r="G71" s="62"/>
      <c r="H71" s="70"/>
      <c r="I71" s="64"/>
      <c r="J71" s="70"/>
      <c r="K71" s="76"/>
      <c r="L71" s="62"/>
      <c r="M71" s="67"/>
      <c r="N71" s="67"/>
      <c r="O71" s="68"/>
      <c r="P71" s="67"/>
      <c r="Q71" s="67"/>
    </row>
    <row r="72" spans="1:17">
      <c r="A72" s="3">
        <f t="shared" si="1"/>
        <v>64</v>
      </c>
      <c r="B72" s="72"/>
      <c r="C72" s="72" t="s">
        <v>106</v>
      </c>
      <c r="D72" s="72"/>
      <c r="E72" s="77"/>
      <c r="F72" s="76"/>
      <c r="G72" s="62"/>
      <c r="H72" s="70"/>
      <c r="I72" s="64"/>
      <c r="J72" s="70"/>
      <c r="K72" s="76"/>
      <c r="L72" s="62"/>
      <c r="M72" s="67"/>
      <c r="N72" s="67"/>
      <c r="O72" s="68"/>
      <c r="P72" s="67"/>
      <c r="Q72" s="67"/>
    </row>
    <row r="73" spans="1:17">
      <c r="A73" s="3">
        <f t="shared" si="1"/>
        <v>65</v>
      </c>
      <c r="B73" s="72"/>
      <c r="C73" s="84" t="s">
        <v>113</v>
      </c>
      <c r="D73" s="84" t="s">
        <v>99</v>
      </c>
      <c r="E73" s="77">
        <v>5459</v>
      </c>
      <c r="F73" s="76">
        <f>F64</f>
        <v>0.19853999999999999</v>
      </c>
      <c r="G73" s="62">
        <f>ROUND($E73*F73,2)</f>
        <v>1083.83</v>
      </c>
      <c r="H73" s="70"/>
      <c r="I73" s="64">
        <f>'JAP-23 Page 8'!$E$42</f>
        <v>7.9799999999999996E-2</v>
      </c>
      <c r="J73" s="70"/>
      <c r="K73" s="83">
        <f>ROUND(F73*(1+I73),5)</f>
        <v>0.21437999999999999</v>
      </c>
      <c r="L73" s="62">
        <f>ROUND($E73*K73,2)</f>
        <v>1170.3</v>
      </c>
      <c r="M73" s="67"/>
      <c r="N73" s="61">
        <f>L73-G73</f>
        <v>86.470000000000027</v>
      </c>
      <c r="O73" s="60">
        <f>IF(G73&lt;&gt;0,N73/G73,0)</f>
        <v>7.9781884612900575E-2</v>
      </c>
      <c r="P73" s="74"/>
      <c r="Q73" s="82">
        <f>K73-F73</f>
        <v>1.5839999999999993E-2</v>
      </c>
    </row>
    <row r="74" spans="1:17">
      <c r="A74" s="3">
        <f t="shared" ref="A74:A105" si="2">A73+1</f>
        <v>66</v>
      </c>
      <c r="B74" s="72"/>
      <c r="C74" s="84" t="s">
        <v>112</v>
      </c>
      <c r="D74" s="84" t="s">
        <v>99</v>
      </c>
      <c r="E74" s="77">
        <v>21114</v>
      </c>
      <c r="F74" s="76">
        <f>F65</f>
        <v>0.14076</v>
      </c>
      <c r="G74" s="62">
        <f>ROUND($E74*F74,2)</f>
        <v>2972.01</v>
      </c>
      <c r="H74" s="70"/>
      <c r="I74" s="64">
        <f>'JAP-23 Page 8'!$E$42</f>
        <v>7.9799999999999996E-2</v>
      </c>
      <c r="J74" s="70"/>
      <c r="K74" s="83">
        <f>ROUND(F74*(1+I74),5)</f>
        <v>0.15198999999999999</v>
      </c>
      <c r="L74" s="62">
        <f>ROUND($E74*K74,2)</f>
        <v>3209.12</v>
      </c>
      <c r="M74" s="67"/>
      <c r="N74" s="61">
        <f>L74-G74</f>
        <v>237.10999999999967</v>
      </c>
      <c r="O74" s="60">
        <f>IF(G74&lt;&gt;0,N74/G74,0)</f>
        <v>7.978102361701328E-2</v>
      </c>
      <c r="P74" s="74"/>
      <c r="Q74" s="82">
        <f>K74-F74</f>
        <v>1.122999999999999E-2</v>
      </c>
    </row>
    <row r="75" spans="1:17">
      <c r="A75" s="3">
        <f t="shared" si="2"/>
        <v>67</v>
      </c>
      <c r="B75" s="67"/>
      <c r="C75" s="81" t="s">
        <v>98</v>
      </c>
      <c r="D75" s="72" t="s">
        <v>99</v>
      </c>
      <c r="E75" s="80">
        <f>SUM(E73:E74)</f>
        <v>26573</v>
      </c>
      <c r="F75" s="69"/>
      <c r="G75" s="67"/>
      <c r="H75" s="70"/>
      <c r="I75" s="64"/>
      <c r="J75" s="70"/>
      <c r="K75" s="69"/>
      <c r="L75" s="67"/>
      <c r="M75" s="67"/>
      <c r="N75" s="67"/>
      <c r="O75" s="68"/>
      <c r="P75" s="67"/>
      <c r="Q75" s="67"/>
    </row>
    <row r="76" spans="1:17">
      <c r="A76" s="3">
        <f t="shared" si="2"/>
        <v>68</v>
      </c>
      <c r="B76" s="67"/>
      <c r="C76" s="78" t="s">
        <v>97</v>
      </c>
      <c r="D76" s="72"/>
      <c r="E76" s="77"/>
      <c r="F76" s="69"/>
      <c r="G76" s="88">
        <f>SUM(G70:G74)</f>
        <v>4055.84</v>
      </c>
      <c r="H76" s="70"/>
      <c r="I76" s="64"/>
      <c r="J76" s="70"/>
      <c r="K76" s="69"/>
      <c r="L76" s="88">
        <f>SUM(L70:L74)</f>
        <v>4379.42</v>
      </c>
      <c r="M76" s="67"/>
      <c r="N76" s="61">
        <f>L76-G76</f>
        <v>323.57999999999993</v>
      </c>
      <c r="O76" s="60">
        <f>IF(G76&lt;&gt;0,N76/G76,0)</f>
        <v>7.9781253698370719E-2</v>
      </c>
      <c r="P76" s="74"/>
      <c r="Q76" s="67"/>
    </row>
    <row r="77" spans="1:17">
      <c r="A77" s="3">
        <f t="shared" si="2"/>
        <v>69</v>
      </c>
      <c r="B77" s="72"/>
      <c r="C77" s="71"/>
      <c r="D77" s="71"/>
      <c r="E77" s="77"/>
      <c r="F77" s="69"/>
      <c r="G77" s="62"/>
      <c r="H77" s="70"/>
      <c r="I77" s="64"/>
      <c r="J77" s="70"/>
      <c r="K77" s="69"/>
      <c r="L77" s="62"/>
      <c r="M77" s="67"/>
      <c r="N77" s="67"/>
      <c r="O77" s="68"/>
      <c r="P77" s="67"/>
      <c r="Q77" s="67"/>
    </row>
    <row r="78" spans="1:17">
      <c r="A78" s="3">
        <f t="shared" si="2"/>
        <v>70</v>
      </c>
      <c r="B78" s="87" t="s">
        <v>111</v>
      </c>
      <c r="C78" s="67"/>
      <c r="D78" s="71"/>
      <c r="E78" s="77"/>
      <c r="F78" s="69"/>
      <c r="G78" s="62"/>
      <c r="H78" s="70"/>
      <c r="I78" s="64"/>
      <c r="J78" s="70"/>
      <c r="K78" s="69"/>
      <c r="L78" s="62"/>
      <c r="M78" s="67"/>
      <c r="N78" s="67"/>
      <c r="O78" s="68"/>
      <c r="P78" s="67"/>
      <c r="Q78" s="67"/>
    </row>
    <row r="79" spans="1:17">
      <c r="A79" s="3">
        <f t="shared" si="2"/>
        <v>71</v>
      </c>
      <c r="B79" s="67"/>
      <c r="C79" s="72" t="s">
        <v>108</v>
      </c>
      <c r="D79" s="72" t="s">
        <v>107</v>
      </c>
      <c r="E79" s="77">
        <v>2184</v>
      </c>
      <c r="F79" s="69">
        <f>F39</f>
        <v>1.1499999999999999</v>
      </c>
      <c r="G79" s="62">
        <f>ROUND($E79*F79,2)</f>
        <v>2511.6</v>
      </c>
      <c r="H79" s="70"/>
      <c r="I79" s="64">
        <f>'JAP-23 Page 8'!$E$42</f>
        <v>7.9799999999999996E-2</v>
      </c>
      <c r="J79" s="70"/>
      <c r="K79" s="86">
        <f>ROUND(F79*(1+I79),2)</f>
        <v>1.24</v>
      </c>
      <c r="L79" s="62">
        <f>ROUND($E79*K79,2)</f>
        <v>2708.16</v>
      </c>
      <c r="M79" s="67"/>
      <c r="N79" s="61">
        <f>L79-G79</f>
        <v>196.55999999999995</v>
      </c>
      <c r="O79" s="60">
        <f>IF(G79&lt;&gt;0,N79/G79,0)</f>
        <v>7.826086956521737E-2</v>
      </c>
      <c r="P79" s="74"/>
      <c r="Q79" s="85">
        <f>K79-F79</f>
        <v>9.000000000000008E-2</v>
      </c>
    </row>
    <row r="80" spans="1:17">
      <c r="A80" s="3">
        <f t="shared" si="2"/>
        <v>72</v>
      </c>
      <c r="B80" s="67"/>
      <c r="C80" s="72" t="s">
        <v>110</v>
      </c>
      <c r="D80" s="72"/>
      <c r="E80" s="77">
        <f>E89</f>
        <v>26567234</v>
      </c>
      <c r="F80" s="76">
        <v>5.3699999999999998E-3</v>
      </c>
      <c r="G80" s="62">
        <f>ROUND($E80*F80,2)</f>
        <v>142666.04999999999</v>
      </c>
      <c r="H80" s="70"/>
      <c r="I80" s="64">
        <f>'JAP-23 Page 8'!$E$42</f>
        <v>7.9799999999999996E-2</v>
      </c>
      <c r="J80" s="70"/>
      <c r="K80" s="83">
        <f>ROUND(F80*(1+I80),5)</f>
        <v>5.7999999999999996E-3</v>
      </c>
      <c r="L80" s="62">
        <f>ROUND($E80*K80,2)</f>
        <v>154089.96</v>
      </c>
      <c r="M80" s="67"/>
      <c r="N80" s="61">
        <f>L80-G80</f>
        <v>11423.910000000003</v>
      </c>
      <c r="O80" s="60">
        <f>IF(G80&lt;&gt;0,N80/G80,0)</f>
        <v>8.007448163035287E-2</v>
      </c>
      <c r="P80" s="74"/>
      <c r="Q80" s="82">
        <f>K80-F80</f>
        <v>4.2999999999999983E-4</v>
      </c>
    </row>
    <row r="81" spans="1:17">
      <c r="A81" s="3">
        <f t="shared" si="2"/>
        <v>73</v>
      </c>
      <c r="B81" s="67"/>
      <c r="C81" s="72"/>
      <c r="D81" s="72"/>
      <c r="E81" s="77"/>
      <c r="F81" s="76"/>
      <c r="G81" s="62"/>
      <c r="H81" s="70"/>
      <c r="I81" s="64"/>
      <c r="J81" s="70"/>
      <c r="K81" s="76"/>
      <c r="L81" s="62"/>
      <c r="M81" s="67"/>
      <c r="N81" s="67"/>
      <c r="O81" s="68"/>
      <c r="P81" s="67"/>
      <c r="Q81" s="67"/>
    </row>
    <row r="82" spans="1:17">
      <c r="A82" s="3">
        <f t="shared" si="2"/>
        <v>74</v>
      </c>
      <c r="B82" s="67"/>
      <c r="C82" s="72" t="s">
        <v>106</v>
      </c>
      <c r="D82" s="72"/>
      <c r="E82" s="77"/>
      <c r="F82" s="76"/>
      <c r="G82" s="62"/>
      <c r="H82" s="70"/>
      <c r="I82" s="64"/>
      <c r="J82" s="70"/>
      <c r="K82" s="76"/>
      <c r="L82" s="62"/>
      <c r="M82" s="67"/>
      <c r="N82" s="67"/>
      <c r="O82" s="68"/>
      <c r="P82" s="67"/>
      <c r="Q82" s="67"/>
    </row>
    <row r="83" spans="1:17">
      <c r="A83" s="3">
        <f t="shared" si="2"/>
        <v>75</v>
      </c>
      <c r="B83" s="67"/>
      <c r="C83" s="72" t="s">
        <v>105</v>
      </c>
      <c r="D83" s="72" t="s">
        <v>99</v>
      </c>
      <c r="E83" s="77">
        <v>2100000</v>
      </c>
      <c r="F83" s="76">
        <v>0.14394999999999999</v>
      </c>
      <c r="G83" s="62">
        <f t="shared" ref="G83:G88" si="3">ROUND($E83*F83,2)</f>
        <v>302295</v>
      </c>
      <c r="H83" s="70"/>
      <c r="I83" s="64">
        <f>'JAP-23 Page 8'!$E$42</f>
        <v>7.9799999999999996E-2</v>
      </c>
      <c r="J83" s="70"/>
      <c r="K83" s="83">
        <f t="shared" ref="K83:K88" si="4">ROUND(F83*(1+I83),5)</f>
        <v>0.15543999999999999</v>
      </c>
      <c r="L83" s="62">
        <f t="shared" ref="L83:L88" si="5">ROUND($E83*K83,2)</f>
        <v>326424</v>
      </c>
      <c r="M83" s="67"/>
      <c r="N83" s="61">
        <f t="shared" ref="N83:N88" si="6">L83-G83</f>
        <v>24129</v>
      </c>
      <c r="O83" s="60">
        <f t="shared" ref="O83:O88" si="7">IF(G83&lt;&gt;0,N83/G83,0)</f>
        <v>7.9819381729767283E-2</v>
      </c>
      <c r="P83" s="74"/>
      <c r="Q83" s="82">
        <f t="shared" ref="Q83:Q88" si="8">K83-F83</f>
        <v>1.149E-2</v>
      </c>
    </row>
    <row r="84" spans="1:17">
      <c r="A84" s="3">
        <f t="shared" si="2"/>
        <v>76</v>
      </c>
      <c r="B84" s="67"/>
      <c r="C84" s="72" t="s">
        <v>104</v>
      </c>
      <c r="D84" s="72" t="s">
        <v>99</v>
      </c>
      <c r="E84" s="77">
        <v>2055807</v>
      </c>
      <c r="F84" s="76">
        <v>8.6989999999999998E-2</v>
      </c>
      <c r="G84" s="62">
        <f t="shared" si="3"/>
        <v>178834.65</v>
      </c>
      <c r="H84" s="70"/>
      <c r="I84" s="64">
        <f>'JAP-23 Page 8'!$E$42</f>
        <v>7.9799999999999996E-2</v>
      </c>
      <c r="J84" s="70"/>
      <c r="K84" s="83">
        <f t="shared" si="4"/>
        <v>9.393E-2</v>
      </c>
      <c r="L84" s="62">
        <f t="shared" si="5"/>
        <v>193101.95</v>
      </c>
      <c r="M84" s="67"/>
      <c r="N84" s="61">
        <f t="shared" si="6"/>
        <v>14267.300000000017</v>
      </c>
      <c r="O84" s="60">
        <f t="shared" si="7"/>
        <v>7.9779282146944214E-2</v>
      </c>
      <c r="P84" s="74"/>
      <c r="Q84" s="82">
        <f t="shared" si="8"/>
        <v>6.9400000000000017E-3</v>
      </c>
    </row>
    <row r="85" spans="1:17">
      <c r="A85" s="3">
        <f t="shared" si="2"/>
        <v>77</v>
      </c>
      <c r="B85" s="67"/>
      <c r="C85" s="72" t="s">
        <v>103</v>
      </c>
      <c r="D85" s="72" t="s">
        <v>99</v>
      </c>
      <c r="E85" s="77">
        <v>3801695</v>
      </c>
      <c r="F85" s="76">
        <v>5.5350000000000003E-2</v>
      </c>
      <c r="G85" s="62">
        <f t="shared" si="3"/>
        <v>210423.82</v>
      </c>
      <c r="H85" s="70"/>
      <c r="I85" s="64">
        <f>'JAP-23 Page 8'!$E$42</f>
        <v>7.9799999999999996E-2</v>
      </c>
      <c r="J85" s="70"/>
      <c r="K85" s="83">
        <f t="shared" si="4"/>
        <v>5.9769999999999997E-2</v>
      </c>
      <c r="L85" s="62">
        <f t="shared" si="5"/>
        <v>227227.31</v>
      </c>
      <c r="M85" s="67"/>
      <c r="N85" s="61">
        <f t="shared" si="6"/>
        <v>16803.489999999991</v>
      </c>
      <c r="O85" s="60">
        <f t="shared" si="7"/>
        <v>7.9855455527800934E-2</v>
      </c>
      <c r="P85" s="74"/>
      <c r="Q85" s="82">
        <f t="shared" si="8"/>
        <v>4.4199999999999934E-3</v>
      </c>
    </row>
    <row r="86" spans="1:17">
      <c r="A86" s="3">
        <f t="shared" si="2"/>
        <v>78</v>
      </c>
      <c r="B86" s="67"/>
      <c r="C86" s="72" t="s">
        <v>102</v>
      </c>
      <c r="D86" s="72" t="s">
        <v>99</v>
      </c>
      <c r="E86" s="77">
        <v>5152762</v>
      </c>
      <c r="F86" s="76">
        <v>3.5490000000000001E-2</v>
      </c>
      <c r="G86" s="62">
        <f t="shared" si="3"/>
        <v>182871.52</v>
      </c>
      <c r="H86" s="70"/>
      <c r="I86" s="64">
        <f>'JAP-23 Page 8'!$E$42</f>
        <v>7.9799999999999996E-2</v>
      </c>
      <c r="J86" s="70"/>
      <c r="K86" s="83">
        <f t="shared" si="4"/>
        <v>3.832E-2</v>
      </c>
      <c r="L86" s="62">
        <f t="shared" si="5"/>
        <v>197453.84</v>
      </c>
      <c r="M86" s="67"/>
      <c r="N86" s="61">
        <f t="shared" si="6"/>
        <v>14582.320000000007</v>
      </c>
      <c r="O86" s="60">
        <f t="shared" si="7"/>
        <v>7.9740792880159839E-2</v>
      </c>
      <c r="P86" s="74"/>
      <c r="Q86" s="82">
        <f t="shared" si="8"/>
        <v>2.8299999999999992E-3</v>
      </c>
    </row>
    <row r="87" spans="1:17">
      <c r="A87" s="3">
        <f t="shared" si="2"/>
        <v>79</v>
      </c>
      <c r="B87" s="67"/>
      <c r="C87" s="72" t="s">
        <v>101</v>
      </c>
      <c r="D87" s="72" t="s">
        <v>99</v>
      </c>
      <c r="E87" s="77">
        <v>4864411</v>
      </c>
      <c r="F87" s="76">
        <v>2.5530000000000001E-2</v>
      </c>
      <c r="G87" s="62">
        <f t="shared" si="3"/>
        <v>124188.41</v>
      </c>
      <c r="H87" s="70"/>
      <c r="I87" s="64">
        <f>'JAP-23 Page 8'!$E$42</f>
        <v>7.9799999999999996E-2</v>
      </c>
      <c r="J87" s="70"/>
      <c r="K87" s="83">
        <f t="shared" si="4"/>
        <v>2.7570000000000001E-2</v>
      </c>
      <c r="L87" s="62">
        <f t="shared" si="5"/>
        <v>134111.81</v>
      </c>
      <c r="M87" s="67"/>
      <c r="N87" s="61">
        <f t="shared" si="6"/>
        <v>9923.3999999999942</v>
      </c>
      <c r="O87" s="60">
        <f t="shared" si="7"/>
        <v>7.9906007331924087E-2</v>
      </c>
      <c r="P87" s="74"/>
      <c r="Q87" s="82">
        <f t="shared" si="8"/>
        <v>2.0400000000000001E-3</v>
      </c>
    </row>
    <row r="88" spans="1:17">
      <c r="A88" s="3">
        <f t="shared" si="2"/>
        <v>80</v>
      </c>
      <c r="B88" s="67"/>
      <c r="C88" s="72" t="s">
        <v>100</v>
      </c>
      <c r="D88" s="72" t="s">
        <v>99</v>
      </c>
      <c r="E88" s="77">
        <v>8592559</v>
      </c>
      <c r="F88" s="76">
        <v>1.9689999999999999E-2</v>
      </c>
      <c r="G88" s="62">
        <f t="shared" si="3"/>
        <v>169187.49</v>
      </c>
      <c r="H88" s="70"/>
      <c r="I88" s="64">
        <f>'JAP-23 Page 8'!$E$42</f>
        <v>7.9799999999999996E-2</v>
      </c>
      <c r="J88" s="70"/>
      <c r="K88" s="83">
        <f t="shared" si="4"/>
        <v>2.1260000000000001E-2</v>
      </c>
      <c r="L88" s="62">
        <f t="shared" si="5"/>
        <v>182677.8</v>
      </c>
      <c r="M88" s="67"/>
      <c r="N88" s="61">
        <f t="shared" si="6"/>
        <v>13490.309999999998</v>
      </c>
      <c r="O88" s="60">
        <f t="shared" si="7"/>
        <v>7.9735859903116935E-2</v>
      </c>
      <c r="P88" s="74"/>
      <c r="Q88" s="82">
        <f t="shared" si="8"/>
        <v>1.5700000000000019E-3</v>
      </c>
    </row>
    <row r="89" spans="1:17">
      <c r="A89" s="3">
        <f t="shared" si="2"/>
        <v>81</v>
      </c>
      <c r="B89" s="67"/>
      <c r="C89" s="81" t="s">
        <v>98</v>
      </c>
      <c r="D89" s="72" t="s">
        <v>99</v>
      </c>
      <c r="E89" s="80">
        <f>SUM(E83:E88)</f>
        <v>26567234</v>
      </c>
      <c r="F89" s="69"/>
      <c r="G89" s="67"/>
      <c r="H89" s="70"/>
      <c r="I89" s="64"/>
      <c r="J89" s="70"/>
      <c r="K89" s="69"/>
      <c r="L89" s="67"/>
      <c r="M89" s="67"/>
      <c r="N89" s="67"/>
      <c r="O89" s="68"/>
      <c r="P89" s="67"/>
      <c r="Q89" s="67"/>
    </row>
    <row r="90" spans="1:17">
      <c r="A90" s="3">
        <f t="shared" si="2"/>
        <v>82</v>
      </c>
      <c r="B90" s="67"/>
      <c r="C90" s="78" t="s">
        <v>97</v>
      </c>
      <c r="D90" s="72"/>
      <c r="E90" s="77"/>
      <c r="F90" s="69"/>
      <c r="G90" s="88">
        <f>SUM(G79:G88)</f>
        <v>1312978.54</v>
      </c>
      <c r="H90" s="70"/>
      <c r="I90" s="64"/>
      <c r="J90" s="70"/>
      <c r="K90" s="69"/>
      <c r="L90" s="88">
        <f>SUM(L79:L88)</f>
        <v>1417794.8300000003</v>
      </c>
      <c r="M90" s="67"/>
      <c r="N90" s="61">
        <f>L90-G90</f>
        <v>104816.29000000027</v>
      </c>
      <c r="O90" s="60">
        <f>IF(G90&lt;&gt;0,N90/G90,0)</f>
        <v>7.9830923969252593E-2</v>
      </c>
      <c r="P90" s="74"/>
      <c r="Q90" s="67"/>
    </row>
    <row r="91" spans="1:17">
      <c r="A91" s="3">
        <f t="shared" si="2"/>
        <v>83</v>
      </c>
      <c r="B91" s="67"/>
      <c r="C91" s="71"/>
      <c r="D91" s="71"/>
      <c r="E91" s="77"/>
      <c r="F91" s="69"/>
      <c r="G91" s="62"/>
      <c r="H91" s="70"/>
      <c r="I91" s="64"/>
      <c r="J91" s="70"/>
      <c r="K91" s="69"/>
      <c r="L91" s="62"/>
      <c r="M91" s="67"/>
      <c r="N91" s="67"/>
      <c r="O91" s="68"/>
      <c r="P91" s="67"/>
      <c r="Q91" s="67"/>
    </row>
    <row r="92" spans="1:17">
      <c r="A92" s="3">
        <f t="shared" si="2"/>
        <v>84</v>
      </c>
      <c r="B92" s="87" t="s">
        <v>109</v>
      </c>
      <c r="C92" s="67"/>
      <c r="D92" s="71"/>
      <c r="E92" s="77"/>
      <c r="F92" s="69"/>
      <c r="G92" s="62"/>
      <c r="H92" s="70"/>
      <c r="I92" s="64"/>
      <c r="J92" s="70"/>
      <c r="K92" s="69"/>
      <c r="L92" s="62"/>
      <c r="M92" s="67"/>
      <c r="N92" s="67"/>
      <c r="O92" s="68"/>
      <c r="P92" s="67"/>
      <c r="Q92" s="67"/>
    </row>
    <row r="93" spans="1:17">
      <c r="A93" s="3">
        <f t="shared" si="2"/>
        <v>85</v>
      </c>
      <c r="B93" s="72"/>
      <c r="C93" s="72" t="s">
        <v>108</v>
      </c>
      <c r="D93" s="72" t="s">
        <v>107</v>
      </c>
      <c r="E93" s="77">
        <v>332988</v>
      </c>
      <c r="F93" s="69">
        <f>F79</f>
        <v>1.1499999999999999</v>
      </c>
      <c r="G93" s="62">
        <f>ROUND($E93*F93,2)</f>
        <v>382936.2</v>
      </c>
      <c r="H93" s="70"/>
      <c r="I93" s="64">
        <f>'JAP-23 Page 8'!$E$42</f>
        <v>7.9799999999999996E-2</v>
      </c>
      <c r="J93" s="70"/>
      <c r="K93" s="86">
        <f>ROUND(F93*(1+I93),2)</f>
        <v>1.24</v>
      </c>
      <c r="L93" s="62">
        <f>ROUND($E93*K93,2)</f>
        <v>412905.12</v>
      </c>
      <c r="M93" s="67"/>
      <c r="N93" s="61">
        <f>L93-G93</f>
        <v>29968.919999999984</v>
      </c>
      <c r="O93" s="60">
        <f>IF(G93&lt;&gt;0,N93/G93,0)</f>
        <v>7.8260869565217342E-2</v>
      </c>
      <c r="P93" s="74"/>
      <c r="Q93" s="85">
        <f>K93-F93</f>
        <v>9.000000000000008E-2</v>
      </c>
    </row>
    <row r="94" spans="1:17">
      <c r="A94" s="3">
        <f t="shared" si="2"/>
        <v>86</v>
      </c>
      <c r="B94" s="72"/>
      <c r="C94" s="84"/>
      <c r="D94" s="72"/>
      <c r="E94" s="77"/>
      <c r="F94" s="76"/>
      <c r="G94" s="62"/>
      <c r="H94" s="70"/>
      <c r="I94" s="64"/>
      <c r="J94" s="70"/>
      <c r="K94" s="76"/>
      <c r="L94" s="62"/>
      <c r="M94" s="67"/>
      <c r="N94" s="67"/>
      <c r="O94" s="68"/>
      <c r="P94" s="67"/>
      <c r="Q94" s="67"/>
    </row>
    <row r="95" spans="1:17">
      <c r="A95" s="3">
        <f t="shared" si="2"/>
        <v>87</v>
      </c>
      <c r="B95" s="72"/>
      <c r="C95" s="72" t="s">
        <v>106</v>
      </c>
      <c r="D95" s="72"/>
      <c r="E95" s="77"/>
      <c r="F95" s="76"/>
      <c r="G95" s="65"/>
      <c r="H95" s="70"/>
      <c r="I95" s="64"/>
      <c r="J95" s="70"/>
      <c r="K95" s="76"/>
      <c r="L95" s="62"/>
      <c r="M95" s="67"/>
      <c r="N95" s="67"/>
      <c r="O95" s="68"/>
      <c r="P95" s="67"/>
      <c r="Q95" s="67"/>
    </row>
    <row r="96" spans="1:17">
      <c r="A96" s="3">
        <f t="shared" si="2"/>
        <v>88</v>
      </c>
      <c r="B96" s="72"/>
      <c r="C96" s="72" t="s">
        <v>105</v>
      </c>
      <c r="D96" s="72" t="s">
        <v>99</v>
      </c>
      <c r="E96" s="77">
        <v>2925980</v>
      </c>
      <c r="F96" s="76">
        <f t="shared" ref="F96:F101" si="9">F83</f>
        <v>0.14394999999999999</v>
      </c>
      <c r="G96" s="65">
        <f t="shared" ref="G96:G101" si="10">ROUND($E96*F96,2)</f>
        <v>421194.82</v>
      </c>
      <c r="H96" s="70"/>
      <c r="I96" s="64">
        <f>'JAP-23 Page 8'!$E$42</f>
        <v>7.9799999999999996E-2</v>
      </c>
      <c r="J96" s="70"/>
      <c r="K96" s="83">
        <f t="shared" ref="K96:K101" si="11">ROUND(F96*(1+I96),5)</f>
        <v>0.15543999999999999</v>
      </c>
      <c r="L96" s="62">
        <f t="shared" ref="L96:L101" si="12">ROUND($E96*K96,2)</f>
        <v>454814.33</v>
      </c>
      <c r="M96" s="67"/>
      <c r="N96" s="61">
        <f t="shared" ref="N96:N101" si="13">L96-G96</f>
        <v>33619.510000000009</v>
      </c>
      <c r="O96" s="60">
        <f t="shared" ref="O96:O101" si="14">IF(G96&lt;&gt;0,N96/G96,0)</f>
        <v>7.9819381444434692E-2</v>
      </c>
      <c r="P96" s="74"/>
      <c r="Q96" s="82">
        <f t="shared" ref="Q96:Q101" si="15">K96-F96</f>
        <v>1.149E-2</v>
      </c>
    </row>
    <row r="97" spans="1:17">
      <c r="A97" s="3">
        <f t="shared" si="2"/>
        <v>89</v>
      </c>
      <c r="B97" s="72"/>
      <c r="C97" s="72" t="s">
        <v>104</v>
      </c>
      <c r="D97" s="72" t="s">
        <v>99</v>
      </c>
      <c r="E97" s="77">
        <v>2885234</v>
      </c>
      <c r="F97" s="76">
        <f t="shared" si="9"/>
        <v>8.6989999999999998E-2</v>
      </c>
      <c r="G97" s="65">
        <f t="shared" si="10"/>
        <v>250986.51</v>
      </c>
      <c r="H97" s="70"/>
      <c r="I97" s="64">
        <f>'JAP-23 Page 8'!$E$42</f>
        <v>7.9799999999999996E-2</v>
      </c>
      <c r="J97" s="70"/>
      <c r="K97" s="83">
        <f t="shared" si="11"/>
        <v>9.393E-2</v>
      </c>
      <c r="L97" s="62">
        <f t="shared" si="12"/>
        <v>271010.03000000003</v>
      </c>
      <c r="M97" s="67"/>
      <c r="N97" s="61">
        <f t="shared" si="13"/>
        <v>20023.520000000019</v>
      </c>
      <c r="O97" s="60">
        <f t="shared" si="14"/>
        <v>7.9779267818019459E-2</v>
      </c>
      <c r="P97" s="74"/>
      <c r="Q97" s="82">
        <f t="shared" si="15"/>
        <v>6.9400000000000017E-3</v>
      </c>
    </row>
    <row r="98" spans="1:17">
      <c r="A98" s="3">
        <f t="shared" si="2"/>
        <v>90</v>
      </c>
      <c r="B98" s="72"/>
      <c r="C98" s="72" t="s">
        <v>103</v>
      </c>
      <c r="D98" s="72" t="s">
        <v>99</v>
      </c>
      <c r="E98" s="77">
        <v>5700000</v>
      </c>
      <c r="F98" s="76">
        <f t="shared" si="9"/>
        <v>5.5350000000000003E-2</v>
      </c>
      <c r="G98" s="65">
        <f t="shared" si="10"/>
        <v>315495</v>
      </c>
      <c r="H98" s="70"/>
      <c r="I98" s="64">
        <f>'JAP-23 Page 8'!$E$42</f>
        <v>7.9799999999999996E-2</v>
      </c>
      <c r="J98" s="70"/>
      <c r="K98" s="83">
        <f t="shared" si="11"/>
        <v>5.9769999999999997E-2</v>
      </c>
      <c r="L98" s="62">
        <f t="shared" si="12"/>
        <v>340689</v>
      </c>
      <c r="M98" s="67"/>
      <c r="N98" s="61">
        <f t="shared" si="13"/>
        <v>25194</v>
      </c>
      <c r="O98" s="60">
        <f t="shared" si="14"/>
        <v>7.985546522131888E-2</v>
      </c>
      <c r="P98" s="74"/>
      <c r="Q98" s="82">
        <f t="shared" si="15"/>
        <v>4.4199999999999934E-3</v>
      </c>
    </row>
    <row r="99" spans="1:17">
      <c r="A99" s="3">
        <f t="shared" si="2"/>
        <v>91</v>
      </c>
      <c r="B99" s="72"/>
      <c r="C99" s="72" t="s">
        <v>102</v>
      </c>
      <c r="D99" s="72" t="s">
        <v>99</v>
      </c>
      <c r="E99" s="77">
        <v>11216700</v>
      </c>
      <c r="F99" s="76">
        <f t="shared" si="9"/>
        <v>3.5490000000000001E-2</v>
      </c>
      <c r="G99" s="65">
        <f t="shared" si="10"/>
        <v>398080.68</v>
      </c>
      <c r="H99" s="70"/>
      <c r="I99" s="64">
        <f>'JAP-23 Page 8'!$E$42</f>
        <v>7.9799999999999996E-2</v>
      </c>
      <c r="J99" s="70"/>
      <c r="K99" s="83">
        <f t="shared" si="11"/>
        <v>3.832E-2</v>
      </c>
      <c r="L99" s="62">
        <f t="shared" si="12"/>
        <v>429823.94</v>
      </c>
      <c r="M99" s="67"/>
      <c r="N99" s="61">
        <f t="shared" si="13"/>
        <v>31743.260000000009</v>
      </c>
      <c r="O99" s="60">
        <f t="shared" si="14"/>
        <v>7.9740770137350078E-2</v>
      </c>
      <c r="P99" s="74"/>
      <c r="Q99" s="82">
        <f t="shared" si="15"/>
        <v>2.8299999999999992E-3</v>
      </c>
    </row>
    <row r="100" spans="1:17">
      <c r="A100" s="3">
        <f t="shared" si="2"/>
        <v>92</v>
      </c>
      <c r="B100" s="72"/>
      <c r="C100" s="72" t="s">
        <v>101</v>
      </c>
      <c r="D100" s="72" t="s">
        <v>99</v>
      </c>
      <c r="E100" s="77">
        <v>28237241</v>
      </c>
      <c r="F100" s="76">
        <f t="shared" si="9"/>
        <v>2.5530000000000001E-2</v>
      </c>
      <c r="G100" s="65">
        <f t="shared" si="10"/>
        <v>720896.76</v>
      </c>
      <c r="H100" s="70"/>
      <c r="I100" s="64">
        <f>'JAP-23 Page 8'!$E$42</f>
        <v>7.9799999999999996E-2</v>
      </c>
      <c r="J100" s="70"/>
      <c r="K100" s="83">
        <f t="shared" si="11"/>
        <v>2.7570000000000001E-2</v>
      </c>
      <c r="L100" s="62">
        <f t="shared" si="12"/>
        <v>778500.73</v>
      </c>
      <c r="M100" s="67"/>
      <c r="N100" s="61">
        <f t="shared" si="13"/>
        <v>57603.969999999972</v>
      </c>
      <c r="O100" s="60">
        <f t="shared" si="14"/>
        <v>7.9905990977126834E-2</v>
      </c>
      <c r="P100" s="74"/>
      <c r="Q100" s="82">
        <f t="shared" si="15"/>
        <v>2.0400000000000001E-3</v>
      </c>
    </row>
    <row r="101" spans="1:17">
      <c r="A101" s="3">
        <f t="shared" si="2"/>
        <v>93</v>
      </c>
      <c r="B101" s="72"/>
      <c r="C101" s="72" t="s">
        <v>100</v>
      </c>
      <c r="D101" s="72" t="s">
        <v>99</v>
      </c>
      <c r="E101" s="77">
        <v>36815683</v>
      </c>
      <c r="F101" s="76">
        <f t="shared" si="9"/>
        <v>1.9689999999999999E-2</v>
      </c>
      <c r="G101" s="65">
        <f t="shared" si="10"/>
        <v>724900.8</v>
      </c>
      <c r="H101" s="70"/>
      <c r="I101" s="64">
        <f>'JAP-23 Page 8'!$E$42</f>
        <v>7.9799999999999996E-2</v>
      </c>
      <c r="J101" s="70"/>
      <c r="K101" s="83">
        <f t="shared" si="11"/>
        <v>2.1260000000000001E-2</v>
      </c>
      <c r="L101" s="62">
        <f t="shared" si="12"/>
        <v>782701.42</v>
      </c>
      <c r="M101" s="67"/>
      <c r="N101" s="61">
        <f t="shared" si="13"/>
        <v>57800.619999999995</v>
      </c>
      <c r="O101" s="60">
        <f t="shared" si="14"/>
        <v>7.9735903174613668E-2</v>
      </c>
      <c r="P101" s="74"/>
      <c r="Q101" s="82">
        <f t="shared" si="15"/>
        <v>1.5700000000000019E-3</v>
      </c>
    </row>
    <row r="102" spans="1:17">
      <c r="A102" s="3">
        <f t="shared" si="2"/>
        <v>94</v>
      </c>
      <c r="B102" s="67"/>
      <c r="C102" s="81" t="s">
        <v>98</v>
      </c>
      <c r="D102" s="72"/>
      <c r="E102" s="80">
        <f>SUM(E96:E101)</f>
        <v>87780838</v>
      </c>
      <c r="F102" s="76"/>
      <c r="G102" s="79"/>
      <c r="H102" s="70"/>
      <c r="I102" s="64"/>
      <c r="J102" s="70"/>
      <c r="K102" s="76"/>
      <c r="L102" s="67"/>
      <c r="M102" s="67"/>
      <c r="N102" s="67"/>
      <c r="O102" s="68"/>
      <c r="P102" s="67"/>
      <c r="Q102" s="73"/>
    </row>
    <row r="103" spans="1:17">
      <c r="A103" s="3">
        <f t="shared" si="2"/>
        <v>95</v>
      </c>
      <c r="B103" s="67"/>
      <c r="C103" s="78" t="s">
        <v>97</v>
      </c>
      <c r="D103" s="72"/>
      <c r="E103" s="77"/>
      <c r="F103" s="76"/>
      <c r="G103" s="75">
        <f>SUM(G93:G101)</f>
        <v>3214490.7699999996</v>
      </c>
      <c r="H103" s="70"/>
      <c r="I103" s="64"/>
      <c r="J103" s="70"/>
      <c r="K103" s="76"/>
      <c r="L103" s="75">
        <f>SUM(L93:L101)</f>
        <v>3470444.57</v>
      </c>
      <c r="M103" s="67"/>
      <c r="N103" s="61">
        <f>L103-G103</f>
        <v>255953.80000000028</v>
      </c>
      <c r="O103" s="60">
        <f>IF(G103&lt;&gt;0,N103/G103,0)</f>
        <v>7.9624991425935973E-2</v>
      </c>
      <c r="P103" s="74"/>
      <c r="Q103" s="73"/>
    </row>
    <row r="104" spans="1:17">
      <c r="A104" s="3">
        <f t="shared" si="2"/>
        <v>96</v>
      </c>
      <c r="B104" s="72"/>
      <c r="C104" s="72"/>
      <c r="D104" s="71"/>
      <c r="E104" s="67"/>
      <c r="F104" s="69"/>
      <c r="G104" s="62"/>
      <c r="H104" s="70"/>
      <c r="I104" s="64"/>
      <c r="J104" s="70"/>
      <c r="K104" s="69"/>
      <c r="L104" s="62"/>
      <c r="M104" s="67"/>
      <c r="N104" s="67"/>
      <c r="O104" s="68"/>
      <c r="P104" s="67"/>
      <c r="Q104" s="67"/>
    </row>
    <row r="105" spans="1:17">
      <c r="A105" s="3">
        <f t="shared" si="2"/>
        <v>97</v>
      </c>
      <c r="B105" s="59" t="s">
        <v>96</v>
      </c>
      <c r="C105" s="66"/>
      <c r="D105" s="66"/>
      <c r="E105" s="59">
        <f>SUM(E10,E24,E34,E46,E56,E66,E75,E89,E102)</f>
        <v>512283585</v>
      </c>
      <c r="F105" s="59"/>
      <c r="G105" s="65">
        <f>SUM(G10,G25,G36,G47,G57,G67,G76,G90,G103)</f>
        <v>90203499.090000004</v>
      </c>
      <c r="H105" s="59"/>
      <c r="I105" s="64"/>
      <c r="J105" s="59"/>
      <c r="K105" s="63"/>
      <c r="L105" s="62">
        <f>SUM(L10,L25,L36,L47,L57,L67,L76,L90,L103)</f>
        <v>97391162.359999985</v>
      </c>
      <c r="M105" s="59"/>
      <c r="N105" s="61">
        <f>SUM(N10,N25,N36,N47,N57,N67,N76,N90,N103)</f>
        <v>7187663.2700000033</v>
      </c>
      <c r="O105" s="60">
        <f>IF(G105&lt;&gt;0,N105/G105,0)</f>
        <v>7.9682754466415484E-2</v>
      </c>
      <c r="P105" s="59"/>
      <c r="Q105" s="59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157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42005</v>
      </c>
      <c r="E7" s="26">
        <f t="shared" ref="E7:O7" si="0">EDATE(D7,1)</f>
        <v>42036</v>
      </c>
      <c r="F7" s="26">
        <f t="shared" si="0"/>
        <v>42064</v>
      </c>
      <c r="G7" s="26">
        <f t="shared" si="0"/>
        <v>42095</v>
      </c>
      <c r="H7" s="26">
        <f t="shared" si="0"/>
        <v>42125</v>
      </c>
      <c r="I7" s="26">
        <f t="shared" si="0"/>
        <v>42156</v>
      </c>
      <c r="J7" s="26">
        <f t="shared" si="0"/>
        <v>42186</v>
      </c>
      <c r="K7" s="26">
        <f t="shared" si="0"/>
        <v>42217</v>
      </c>
      <c r="L7" s="26">
        <f t="shared" si="0"/>
        <v>42248</v>
      </c>
      <c r="M7" s="26">
        <f t="shared" si="0"/>
        <v>42278</v>
      </c>
      <c r="N7" s="26">
        <f t="shared" si="0"/>
        <v>42309</v>
      </c>
      <c r="O7" s="26">
        <f t="shared" si="0"/>
        <v>42339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737120.65965317865</v>
      </c>
      <c r="E10" s="21">
        <v>738771.9270747843</v>
      </c>
      <c r="F10" s="21">
        <v>739971.14126079541</v>
      </c>
      <c r="G10" s="21">
        <v>740975.81985494622</v>
      </c>
      <c r="H10" s="21">
        <v>741621.41189289512</v>
      </c>
      <c r="I10" s="21">
        <v>742296.3429344563</v>
      </c>
      <c r="J10" s="21">
        <v>742588.74992641748</v>
      </c>
      <c r="K10" s="21">
        <v>743228.8898204288</v>
      </c>
      <c r="L10" s="21">
        <v>744506.27824033739</v>
      </c>
      <c r="M10" s="21">
        <v>746834.65046042786</v>
      </c>
      <c r="N10" s="21">
        <v>749162.16866555961</v>
      </c>
      <c r="O10" s="21">
        <v>751157.90162059094</v>
      </c>
      <c r="P10" s="33"/>
      <c r="Q10" s="20"/>
      <c r="R10" s="20"/>
    </row>
    <row r="11" spans="1:21">
      <c r="A11" s="3">
        <f t="shared" ref="A11:A38" si="1">A10+1</f>
        <v>2</v>
      </c>
      <c r="B11" s="7" t="s">
        <v>21</v>
      </c>
      <c r="C11" s="19" t="s">
        <v>20</v>
      </c>
      <c r="D11" s="6">
        <v>47.022513365089203</v>
      </c>
      <c r="E11" s="6">
        <v>43.626108467251967</v>
      </c>
      <c r="F11" s="6">
        <v>37.041113322731007</v>
      </c>
      <c r="G11" s="6">
        <v>26.491460535002815</v>
      </c>
      <c r="H11" s="6">
        <v>16.584609553295714</v>
      </c>
      <c r="I11" s="6">
        <v>10.707747373440059</v>
      </c>
      <c r="J11" s="6">
        <v>8.4617586308268962</v>
      </c>
      <c r="K11" s="6">
        <v>7.8166857757915587</v>
      </c>
      <c r="L11" s="6">
        <v>10.828909599869965</v>
      </c>
      <c r="M11" s="6">
        <v>22.666872867974476</v>
      </c>
      <c r="N11" s="6">
        <v>38.164295864527965</v>
      </c>
      <c r="O11" s="6">
        <v>48.017924644198274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34661266.070224963</v>
      </c>
      <c r="E12" s="5">
        <f t="shared" si="2"/>
        <v>32229744.223125301</v>
      </c>
      <c r="F12" s="5">
        <f t="shared" si="2"/>
        <v>27409354.898991719</v>
      </c>
      <c r="G12" s="5">
        <f t="shared" si="2"/>
        <v>19629531.689078663</v>
      </c>
      <c r="H12" s="5">
        <f t="shared" si="2"/>
        <v>12299501.552607564</v>
      </c>
      <c r="I12" s="5">
        <f t="shared" si="2"/>
        <v>7948321.7163705854</v>
      </c>
      <c r="J12" s="5">
        <f t="shared" si="2"/>
        <v>6283606.7638448188</v>
      </c>
      <c r="K12" s="5">
        <f t="shared" si="2"/>
        <v>5809586.691216697</v>
      </c>
      <c r="L12" s="5">
        <f t="shared" si="2"/>
        <v>8062191.1836002488</v>
      </c>
      <c r="M12" s="5">
        <f t="shared" si="2"/>
        <v>16928406.075384673</v>
      </c>
      <c r="N12" s="5">
        <f t="shared" si="2"/>
        <v>28591246.655463818</v>
      </c>
      <c r="O12" s="5">
        <f t="shared" si="2"/>
        <v>36069043.515911639</v>
      </c>
      <c r="P12" s="5">
        <f>SUM(D12:O12)</f>
        <v>235921801.03582069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92104982.640614897</v>
      </c>
      <c r="E14" s="21">
        <v>83587021.167204678</v>
      </c>
      <c r="F14" s="21">
        <v>71233734.332719609</v>
      </c>
      <c r="G14" s="21">
        <v>53238559.266716331</v>
      </c>
      <c r="H14" s="21">
        <v>38147319.251191445</v>
      </c>
      <c r="I14" s="21">
        <v>24567853.669981286</v>
      </c>
      <c r="J14" s="21">
        <v>16417057.976720665</v>
      </c>
      <c r="K14" s="21">
        <v>13010220.881725211</v>
      </c>
      <c r="L14" s="21">
        <v>15232071.375476213</v>
      </c>
      <c r="M14" s="21">
        <v>26002864.925037578</v>
      </c>
      <c r="N14" s="21">
        <v>53578132.880957954</v>
      </c>
      <c r="O14" s="21">
        <v>81937409.243759453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156</v>
      </c>
      <c r="D15" s="18">
        <f>'JAP-23 Page 3'!D32</f>
        <v>0.41615000000000002</v>
      </c>
      <c r="E15" s="18">
        <f>$D$15</f>
        <v>0.41615000000000002</v>
      </c>
      <c r="F15" s="18">
        <f>$D$15</f>
        <v>0.41615000000000002</v>
      </c>
      <c r="G15" s="18">
        <f>$D$15</f>
        <v>0.41615000000000002</v>
      </c>
      <c r="H15" s="18">
        <f>'JAP-23 Page 8'!D32</f>
        <v>0.42309999999999998</v>
      </c>
      <c r="I15" s="18">
        <f t="shared" ref="I15:O15" si="3">$H$15</f>
        <v>0.42309999999999998</v>
      </c>
      <c r="J15" s="18">
        <f t="shared" si="3"/>
        <v>0.42309999999999998</v>
      </c>
      <c r="K15" s="18">
        <f t="shared" si="3"/>
        <v>0.42309999999999998</v>
      </c>
      <c r="L15" s="18">
        <f t="shared" si="3"/>
        <v>0.42309999999999998</v>
      </c>
      <c r="M15" s="18">
        <f t="shared" si="3"/>
        <v>0.42309999999999998</v>
      </c>
      <c r="N15" s="18">
        <f t="shared" si="3"/>
        <v>0.42309999999999998</v>
      </c>
      <c r="O15" s="18">
        <f t="shared" si="3"/>
        <v>0.42309999999999998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38329488.525891893</v>
      </c>
      <c r="E16" s="5">
        <f t="shared" si="4"/>
        <v>34784738.858732231</v>
      </c>
      <c r="F16" s="5">
        <f t="shared" si="4"/>
        <v>29643918.542561267</v>
      </c>
      <c r="G16" s="5">
        <f t="shared" si="4"/>
        <v>22155226.438844003</v>
      </c>
      <c r="H16" s="5">
        <f t="shared" si="4"/>
        <v>16140130.775179099</v>
      </c>
      <c r="I16" s="5">
        <f t="shared" si="4"/>
        <v>10394658.887769081</v>
      </c>
      <c r="J16" s="5">
        <f t="shared" si="4"/>
        <v>6946057.2299505128</v>
      </c>
      <c r="K16" s="5">
        <f t="shared" si="4"/>
        <v>5504624.4550579367</v>
      </c>
      <c r="L16" s="5">
        <f t="shared" si="4"/>
        <v>6444689.398963985</v>
      </c>
      <c r="M16" s="5">
        <f t="shared" si="4"/>
        <v>11001812.149783399</v>
      </c>
      <c r="N16" s="5">
        <f t="shared" si="4"/>
        <v>22668908.02193331</v>
      </c>
      <c r="O16" s="5">
        <f t="shared" si="4"/>
        <v>34667717.851034626</v>
      </c>
      <c r="P16" s="5">
        <f>SUM(D16:O16)</f>
        <v>238681971.13570136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-3668222.4556669295</v>
      </c>
      <c r="E18" s="5">
        <f t="shared" si="5"/>
        <v>-2554994.6356069297</v>
      </c>
      <c r="F18" s="5">
        <f t="shared" si="5"/>
        <v>-2234563.6435695477</v>
      </c>
      <c r="G18" s="5">
        <f t="shared" si="5"/>
        <v>-2525694.7497653402</v>
      </c>
      <c r="H18" s="5">
        <f t="shared" si="5"/>
        <v>-3840629.222571535</v>
      </c>
      <c r="I18" s="5">
        <f t="shared" si="5"/>
        <v>-2446337.1713984953</v>
      </c>
      <c r="J18" s="5">
        <f t="shared" si="5"/>
        <v>-662450.46610569395</v>
      </c>
      <c r="K18" s="5">
        <f t="shared" si="5"/>
        <v>304962.23615876026</v>
      </c>
      <c r="L18" s="5">
        <f t="shared" si="5"/>
        <v>1617501.7846362637</v>
      </c>
      <c r="M18" s="5">
        <f t="shared" si="5"/>
        <v>5926593.9256012738</v>
      </c>
      <c r="N18" s="5">
        <f t="shared" si="5"/>
        <v>5922338.6335305087</v>
      </c>
      <c r="O18" s="5">
        <f t="shared" si="5"/>
        <v>1401325.6648770124</v>
      </c>
      <c r="P18" s="5">
        <f>SUM(D18:O18)</f>
        <v>-2760170.0998806581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6348.2244339090057</v>
      </c>
      <c r="E20" s="15">
        <v>-6086.1149765861228</v>
      </c>
      <c r="F20" s="15">
        <v>-16103.023874785635</v>
      </c>
      <c r="G20" s="15">
        <v>-25388.088327947709</v>
      </c>
      <c r="H20" s="15">
        <v>-35672.428112887093</v>
      </c>
      <c r="I20" s="15">
        <v>-44924.272343808283</v>
      </c>
      <c r="J20" s="15">
        <v>-49616.537757523191</v>
      </c>
      <c r="K20" s="15">
        <v>-50447.035977788466</v>
      </c>
      <c r="L20" s="15">
        <v>-48176.149935208203</v>
      </c>
      <c r="M20" s="15">
        <v>-38445.578949829403</v>
      </c>
      <c r="N20" s="15">
        <v>-23336.927321254636</v>
      </c>
      <c r="O20" s="15">
        <v>-15014.669703397582</v>
      </c>
      <c r="P20" s="5">
        <f>SUM(D20:O20)</f>
        <v>-346862.60284710734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6'!O22+D18+D20</f>
        <v>5785976.9439094411</v>
      </c>
      <c r="E22" s="5">
        <f t="shared" ref="E22:O22" si="6">D22+E18+E20</f>
        <v>3224896.1933259252</v>
      </c>
      <c r="F22" s="5">
        <f t="shared" si="6"/>
        <v>974229.52588159184</v>
      </c>
      <c r="G22" s="5">
        <f t="shared" si="6"/>
        <v>-1576853.3122116963</v>
      </c>
      <c r="H22" s="5">
        <f t="shared" si="6"/>
        <v>-5453154.9628961179</v>
      </c>
      <c r="I22" s="5">
        <f t="shared" si="6"/>
        <v>-7944416.4066384211</v>
      </c>
      <c r="J22" s="5">
        <f t="shared" si="6"/>
        <v>-8656483.4105016384</v>
      </c>
      <c r="K22" s="5">
        <f t="shared" si="6"/>
        <v>-8401968.2103206664</v>
      </c>
      <c r="L22" s="5">
        <f t="shared" si="6"/>
        <v>-6832642.575619611</v>
      </c>
      <c r="M22" s="5">
        <f t="shared" si="6"/>
        <v>-944494.22896816663</v>
      </c>
      <c r="N22" s="5">
        <f t="shared" si="6"/>
        <v>4954507.4772410877</v>
      </c>
      <c r="O22" s="5">
        <f t="shared" si="6"/>
        <v>6340818.4724147022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13">
        <f>'JAP-23 Page 6'!O24</f>
        <v>1.6842339181184815E-2</v>
      </c>
      <c r="E24" s="13">
        <f>$D$24</f>
        <v>1.6842339181184815E-2</v>
      </c>
      <c r="F24" s="13">
        <f>$D$24</f>
        <v>1.6842339181184815E-2</v>
      </c>
      <c r="G24" s="13">
        <f>$D$24</f>
        <v>1.6842339181184815E-2</v>
      </c>
      <c r="H24" s="13">
        <f>'JAP-23 Page 6'!O28/'JAP-23 Page 8'!D30</f>
        <v>8.6927087179964127E-3</v>
      </c>
      <c r="I24" s="13">
        <f t="shared" ref="I24:O24" si="7">$H$24</f>
        <v>8.6927087179964127E-3</v>
      </c>
      <c r="J24" s="13">
        <f t="shared" si="7"/>
        <v>8.6927087179964127E-3</v>
      </c>
      <c r="K24" s="13">
        <f t="shared" si="7"/>
        <v>8.6927087179964127E-3</v>
      </c>
      <c r="L24" s="13">
        <f t="shared" si="7"/>
        <v>8.6927087179964127E-3</v>
      </c>
      <c r="M24" s="13">
        <f t="shared" si="7"/>
        <v>8.6927087179964127E-3</v>
      </c>
      <c r="N24" s="13">
        <f t="shared" si="7"/>
        <v>8.6927087179964127E-3</v>
      </c>
      <c r="O24" s="13">
        <f t="shared" si="7"/>
        <v>8.6927087179964127E-3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f t="shared" ref="D26:O26" si="8">D14*D24</f>
        <v>1551263.3579103756</v>
      </c>
      <c r="E26" s="5">
        <f t="shared" si="8"/>
        <v>1407800.9616429359</v>
      </c>
      <c r="F26" s="5">
        <f t="shared" si="8"/>
        <v>1199742.7147740733</v>
      </c>
      <c r="G26" s="5">
        <f t="shared" si="8"/>
        <v>896661.87268764642</v>
      </c>
      <c r="H26" s="5">
        <f t="shared" si="8"/>
        <v>331603.53462302423</v>
      </c>
      <c r="I26" s="5">
        <f t="shared" si="8"/>
        <v>213561.1957795065</v>
      </c>
      <c r="J26" s="5">
        <f t="shared" si="8"/>
        <v>142708.70299809228</v>
      </c>
      <c r="K26" s="5">
        <f t="shared" si="8"/>
        <v>113094.06048163172</v>
      </c>
      <c r="L26" s="5">
        <f t="shared" si="8"/>
        <v>132407.9596387457</v>
      </c>
      <c r="M26" s="5">
        <f t="shared" si="8"/>
        <v>226035.33062675729</v>
      </c>
      <c r="N26" s="5">
        <f t="shared" si="8"/>
        <v>465739.10278827348</v>
      </c>
      <c r="O26" s="5">
        <f t="shared" si="8"/>
        <v>712258.03166326764</v>
      </c>
      <c r="P26" s="5">
        <f>SUM(D26:O26)</f>
        <v>7392876.8256143294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f>'JAP-23 Page 6'!O28+'JAP -23 Page 11'!D18+'JAP -23 Page 11'!D20-'JAP -23 Page 11'!D26</f>
        <v>-228098.57613789919</v>
      </c>
      <c r="E28" s="5">
        <f t="shared" ref="E28:O28" si="9">D28+E18+E20-E26</f>
        <v>-4196980.2883643508</v>
      </c>
      <c r="F28" s="5">
        <f t="shared" si="9"/>
        <v>-7647389.6705827573</v>
      </c>
      <c r="G28" s="5">
        <f t="shared" si="9"/>
        <v>-11095134.381363692</v>
      </c>
      <c r="H28" s="5">
        <f t="shared" si="9"/>
        <v>-15303039.566671139</v>
      </c>
      <c r="I28" s="5">
        <f t="shared" si="9"/>
        <v>-18007862.206192948</v>
      </c>
      <c r="J28" s="5">
        <f t="shared" si="9"/>
        <v>-18862637.913054254</v>
      </c>
      <c r="K28" s="5">
        <f t="shared" si="9"/>
        <v>-18721216.77335491</v>
      </c>
      <c r="L28" s="5">
        <f t="shared" si="9"/>
        <v>-17284299.0982926</v>
      </c>
      <c r="M28" s="5">
        <f t="shared" si="9"/>
        <v>-11622186.082267914</v>
      </c>
      <c r="N28" s="5">
        <f t="shared" si="9"/>
        <v>-6188923.4788469328</v>
      </c>
      <c r="O28" s="5">
        <f t="shared" si="9"/>
        <v>-5514870.5153365862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156</v>
      </c>
      <c r="D30" s="127">
        <f>'JAP-23 Page 3'!D34</f>
        <v>5.2300000000000013E-2</v>
      </c>
      <c r="E30" s="127">
        <f>$D$30</f>
        <v>5.2300000000000013E-2</v>
      </c>
      <c r="F30" s="127">
        <f>$D$30</f>
        <v>5.2300000000000013E-2</v>
      </c>
      <c r="G30" s="127">
        <f>$D$30</f>
        <v>5.2300000000000013E-2</v>
      </c>
      <c r="H30" s="127">
        <f>'JAP-23 Page 8'!D34</f>
        <v>5.9249999999999969E-2</v>
      </c>
      <c r="I30" s="127">
        <f t="shared" ref="I30:O30" si="10">$H$30</f>
        <v>5.9249999999999969E-2</v>
      </c>
      <c r="J30" s="127">
        <f t="shared" si="10"/>
        <v>5.9249999999999969E-2</v>
      </c>
      <c r="K30" s="127">
        <f t="shared" si="10"/>
        <v>5.9249999999999969E-2</v>
      </c>
      <c r="L30" s="127">
        <f t="shared" si="10"/>
        <v>5.9249999999999969E-2</v>
      </c>
      <c r="M30" s="127">
        <f t="shared" si="10"/>
        <v>5.9249999999999969E-2</v>
      </c>
      <c r="N30" s="127">
        <f t="shared" si="10"/>
        <v>5.9249999999999969E-2</v>
      </c>
      <c r="O30" s="127">
        <f t="shared" si="10"/>
        <v>5.9249999999999969E-2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4817090.5921041602</v>
      </c>
      <c r="E32" s="126">
        <f t="shared" si="11"/>
        <v>4371601.2070448054</v>
      </c>
      <c r="F32" s="126">
        <f t="shared" si="11"/>
        <v>3725524.3056012364</v>
      </c>
      <c r="G32" s="126">
        <f t="shared" si="11"/>
        <v>2784376.6496492648</v>
      </c>
      <c r="H32" s="126">
        <f t="shared" si="11"/>
        <v>2260228.6656330917</v>
      </c>
      <c r="I32" s="126">
        <f t="shared" si="11"/>
        <v>1455645.3299463904</v>
      </c>
      <c r="J32" s="126">
        <f t="shared" si="11"/>
        <v>972710.68512069888</v>
      </c>
      <c r="K32" s="126">
        <f t="shared" si="11"/>
        <v>770855.58724221832</v>
      </c>
      <c r="L32" s="126">
        <f t="shared" si="11"/>
        <v>902500.22899696522</v>
      </c>
      <c r="M32" s="126">
        <f t="shared" si="11"/>
        <v>1540669.7468084756</v>
      </c>
      <c r="N32" s="126">
        <f t="shared" si="11"/>
        <v>3174504.3731967569</v>
      </c>
      <c r="O32" s="126">
        <f t="shared" si="11"/>
        <v>4854791.4976927452</v>
      </c>
      <c r="P32" s="5">
        <f>SUM(D32:O32)</f>
        <v>31630498.869036812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99520726.100069091</v>
      </c>
      <c r="E34" s="5">
        <v>91035899.496790439</v>
      </c>
      <c r="F34" s="5">
        <v>78730666.948091507</v>
      </c>
      <c r="G34" s="5">
        <v>60805493.113094985</v>
      </c>
      <c r="H34" s="5">
        <v>46038081.890026271</v>
      </c>
      <c r="I34" s="5">
        <v>32417063.144137606</v>
      </c>
      <c r="J34" s="5">
        <v>24241326.016055606</v>
      </c>
      <c r="K34" s="5">
        <v>20824063.999549467</v>
      </c>
      <c r="L34" s="5">
        <v>23052713.355811343</v>
      </c>
      <c r="M34" s="5">
        <v>33856465.533634372</v>
      </c>
      <c r="N34" s="5">
        <v>61516113.80949986</v>
      </c>
      <c r="O34" s="5">
        <v>89962169.557971537</v>
      </c>
      <c r="P34" s="5">
        <f>SUM(D34:O34)</f>
        <v>662000782.96473193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2</v>
      </c>
      <c r="C36" s="3" t="str">
        <f>"("&amp;A32&amp;") / ("&amp;A34&amp;")"</f>
        <v>(23) / (25)</v>
      </c>
      <c r="D36" s="125">
        <f t="shared" ref="D36:P36" si="12">D32/D34</f>
        <v>4.84028883316278E-2</v>
      </c>
      <c r="E36" s="125">
        <f t="shared" si="12"/>
        <v>4.8020629567118528E-2</v>
      </c>
      <c r="F36" s="125">
        <f t="shared" si="12"/>
        <v>4.731986213272573E-2</v>
      </c>
      <c r="G36" s="125">
        <f t="shared" si="12"/>
        <v>4.5791531440596528E-2</v>
      </c>
      <c r="H36" s="125">
        <f t="shared" si="12"/>
        <v>4.9094761832871876E-2</v>
      </c>
      <c r="I36" s="125">
        <f t="shared" si="12"/>
        <v>4.4903676914657006E-2</v>
      </c>
      <c r="J36" s="125">
        <f t="shared" si="12"/>
        <v>4.0126133548818638E-2</v>
      </c>
      <c r="K36" s="125">
        <f t="shared" si="12"/>
        <v>3.7017538327720083E-2</v>
      </c>
      <c r="L36" s="125">
        <f t="shared" si="12"/>
        <v>3.9149414434091097E-2</v>
      </c>
      <c r="M36" s="125">
        <f t="shared" si="12"/>
        <v>4.5505923980101004E-2</v>
      </c>
      <c r="N36" s="125">
        <f t="shared" si="12"/>
        <v>5.1604436246207121E-2</v>
      </c>
      <c r="O36" s="125">
        <f t="shared" si="12"/>
        <v>5.3964811226171264E-2</v>
      </c>
      <c r="P36" s="125">
        <f t="shared" si="12"/>
        <v>4.7780153261120728E-2</v>
      </c>
    </row>
    <row r="37" spans="1:16">
      <c r="A37" s="3">
        <f t="shared" si="1"/>
        <v>28</v>
      </c>
      <c r="B37" s="7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>
      <c r="A38" s="3">
        <f t="shared" si="1"/>
        <v>29</v>
      </c>
      <c r="B38" s="7" t="s">
        <v>1</v>
      </c>
      <c r="C38" s="3" t="s">
        <v>0</v>
      </c>
      <c r="D38" s="6">
        <f t="shared" ref="D38:O38" si="13">D30*68</f>
        <v>3.5564000000000009</v>
      </c>
      <c r="E38" s="6">
        <f t="shared" si="13"/>
        <v>3.5564000000000009</v>
      </c>
      <c r="F38" s="6">
        <f t="shared" si="13"/>
        <v>3.5564000000000009</v>
      </c>
      <c r="G38" s="6">
        <f t="shared" si="13"/>
        <v>3.5564000000000009</v>
      </c>
      <c r="H38" s="6">
        <f t="shared" si="13"/>
        <v>4.0289999999999981</v>
      </c>
      <c r="I38" s="6">
        <f t="shared" si="13"/>
        <v>4.0289999999999981</v>
      </c>
      <c r="J38" s="6">
        <f t="shared" si="13"/>
        <v>4.0289999999999981</v>
      </c>
      <c r="K38" s="6">
        <f t="shared" si="13"/>
        <v>4.0289999999999981</v>
      </c>
      <c r="L38" s="6">
        <f t="shared" si="13"/>
        <v>4.0289999999999981</v>
      </c>
      <c r="M38" s="6">
        <f t="shared" si="13"/>
        <v>4.0289999999999981</v>
      </c>
      <c r="N38" s="6">
        <f t="shared" si="13"/>
        <v>4.0289999999999981</v>
      </c>
      <c r="O38" s="6">
        <f t="shared" si="13"/>
        <v>4.0289999999999981</v>
      </c>
      <c r="P38" s="7"/>
    </row>
    <row r="39" spans="1:16">
      <c r="A39" s="4"/>
    </row>
    <row r="40" spans="1:16">
      <c r="C40" s="3"/>
    </row>
    <row r="42" spans="1:16">
      <c r="H42" s="128"/>
    </row>
    <row r="43" spans="1:16">
      <c r="C43" s="3"/>
    </row>
    <row r="46" spans="1:16">
      <c r="C46" s="3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F46" sqref="F46"/>
      <selection pane="topRight" activeCell="F46" sqref="F46"/>
      <selection pane="bottomLeft" activeCell="F46" sqref="F46"/>
      <selection pane="bottomRight" activeCell="F46" sqref="F46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"/>
    </row>
    <row r="2" spans="1:21">
      <c r="A2" s="131" t="s">
        <v>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7"/>
    </row>
    <row r="3" spans="1:21">
      <c r="A3" s="131" t="s">
        <v>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7"/>
    </row>
    <row r="4" spans="1:21" ht="15">
      <c r="A4" s="131" t="s">
        <v>157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"/>
    </row>
    <row r="5" spans="1:21" ht="14.25">
      <c r="A5" s="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5.5" customHeight="1">
      <c r="A7" s="29" t="s">
        <v>40</v>
      </c>
      <c r="B7" s="28"/>
      <c r="C7" s="27" t="s">
        <v>39</v>
      </c>
      <c r="D7" s="26">
        <v>42005</v>
      </c>
      <c r="E7" s="26">
        <f t="shared" ref="E7:O7" si="0">EDATE(D7,1)</f>
        <v>42036</v>
      </c>
      <c r="F7" s="26">
        <f t="shared" si="0"/>
        <v>42064</v>
      </c>
      <c r="G7" s="26">
        <f t="shared" si="0"/>
        <v>42095</v>
      </c>
      <c r="H7" s="26">
        <f t="shared" si="0"/>
        <v>42125</v>
      </c>
      <c r="I7" s="26">
        <f t="shared" si="0"/>
        <v>42156</v>
      </c>
      <c r="J7" s="26">
        <f t="shared" si="0"/>
        <v>42186</v>
      </c>
      <c r="K7" s="26">
        <f t="shared" si="0"/>
        <v>42217</v>
      </c>
      <c r="L7" s="26">
        <f t="shared" si="0"/>
        <v>42248</v>
      </c>
      <c r="M7" s="26">
        <f t="shared" si="0"/>
        <v>42278</v>
      </c>
      <c r="N7" s="26">
        <f t="shared" si="0"/>
        <v>42309</v>
      </c>
      <c r="O7" s="26">
        <f t="shared" si="0"/>
        <v>42339</v>
      </c>
      <c r="P7" s="26" t="s">
        <v>38</v>
      </c>
      <c r="Q7" s="25"/>
      <c r="R7" s="25"/>
      <c r="S7" s="24"/>
      <c r="T7" s="24"/>
      <c r="U7" s="24"/>
    </row>
    <row r="8" spans="1:21">
      <c r="A8" s="3"/>
      <c r="B8" s="3" t="s">
        <v>37</v>
      </c>
      <c r="C8" s="3" t="s">
        <v>36</v>
      </c>
      <c r="D8" s="3" t="s">
        <v>35</v>
      </c>
      <c r="E8" s="3" t="s">
        <v>34</v>
      </c>
      <c r="F8" s="3" t="s">
        <v>33</v>
      </c>
      <c r="G8" s="3" t="s">
        <v>32</v>
      </c>
      <c r="H8" s="3" t="s">
        <v>31</v>
      </c>
      <c r="I8" s="3" t="s">
        <v>30</v>
      </c>
      <c r="J8" s="3" t="s">
        <v>29</v>
      </c>
      <c r="K8" s="3" t="s">
        <v>28</v>
      </c>
      <c r="L8" s="3" t="s">
        <v>27</v>
      </c>
      <c r="M8" s="3" t="s">
        <v>26</v>
      </c>
      <c r="N8" s="3" t="s">
        <v>25</v>
      </c>
      <c r="O8" s="3" t="s">
        <v>24</v>
      </c>
      <c r="P8" s="3" t="s">
        <v>23</v>
      </c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21">
      <c r="A10" s="3">
        <v>1</v>
      </c>
      <c r="B10" s="7" t="s">
        <v>22</v>
      </c>
      <c r="C10" s="3" t="s">
        <v>17</v>
      </c>
      <c r="D10" s="21">
        <v>58960.964958933298</v>
      </c>
      <c r="E10" s="21">
        <v>59067.258997523692</v>
      </c>
      <c r="F10" s="21">
        <v>59150.593729139655</v>
      </c>
      <c r="G10" s="21">
        <v>59199.536020498024</v>
      </c>
      <c r="H10" s="21">
        <v>59198.658824821701</v>
      </c>
      <c r="I10" s="21">
        <v>59197.829700394534</v>
      </c>
      <c r="J10" s="21">
        <v>59181.454491911689</v>
      </c>
      <c r="K10" s="21">
        <v>59175.770422933507</v>
      </c>
      <c r="L10" s="21">
        <v>59247.345707040862</v>
      </c>
      <c r="M10" s="21">
        <v>59381.056696614833</v>
      </c>
      <c r="N10" s="21">
        <v>59601.924303727341</v>
      </c>
      <c r="O10" s="21">
        <v>59759.23851397587</v>
      </c>
      <c r="P10" s="33"/>
      <c r="Q10" s="20"/>
      <c r="R10" s="20"/>
    </row>
    <row r="11" spans="1:21">
      <c r="A11" s="3">
        <f t="shared" ref="A11:A36" si="1">A10+1</f>
        <v>2</v>
      </c>
      <c r="B11" s="7" t="s">
        <v>21</v>
      </c>
      <c r="C11" s="19" t="s">
        <v>20</v>
      </c>
      <c r="D11" s="6">
        <v>199.80496594924469</v>
      </c>
      <c r="E11" s="6">
        <v>187.64393064100108</v>
      </c>
      <c r="F11" s="6">
        <v>180.46253280458208</v>
      </c>
      <c r="G11" s="6">
        <v>148.76639284625267</v>
      </c>
      <c r="H11" s="6">
        <v>124.3497930064499</v>
      </c>
      <c r="I11" s="6">
        <v>100.82779360109704</v>
      </c>
      <c r="J11" s="6">
        <v>93.527764018914681</v>
      </c>
      <c r="K11" s="6">
        <v>95.191630928431522</v>
      </c>
      <c r="L11" s="6">
        <v>100.19954880520669</v>
      </c>
      <c r="M11" s="6">
        <v>134.72268106107532</v>
      </c>
      <c r="N11" s="6">
        <v>171.02765306858919</v>
      </c>
      <c r="O11" s="6">
        <v>199.97531326915495</v>
      </c>
      <c r="P11" s="32"/>
      <c r="Q11" s="23"/>
      <c r="R11" s="23"/>
    </row>
    <row r="12" spans="1:21">
      <c r="A12" s="3">
        <f t="shared" si="1"/>
        <v>3</v>
      </c>
      <c r="B12" s="7" t="s">
        <v>19</v>
      </c>
      <c r="C12" s="3" t="str">
        <f>"("&amp;A10&amp;") x ("&amp;A11&amp;")"</f>
        <v>(1) x (2)</v>
      </c>
      <c r="D12" s="5">
        <f t="shared" ref="D12:O12" si="2">D10*D11</f>
        <v>11780693.595954277</v>
      </c>
      <c r="E12" s="5">
        <f t="shared" si="2"/>
        <v>11083612.650485381</v>
      </c>
      <c r="F12" s="5">
        <f t="shared" si="2"/>
        <v>10674465.961255372</v>
      </c>
      <c r="G12" s="5">
        <f t="shared" si="2"/>
        <v>8806901.431941295</v>
      </c>
      <c r="H12" s="5">
        <f t="shared" si="2"/>
        <v>7361340.9711260274</v>
      </c>
      <c r="I12" s="5">
        <f t="shared" si="2"/>
        <v>5968786.5546642728</v>
      </c>
      <c r="J12" s="5">
        <f t="shared" si="2"/>
        <v>5535109.1100156549</v>
      </c>
      <c r="K12" s="5">
        <f t="shared" si="2"/>
        <v>5633038.0980054801</v>
      </c>
      <c r="L12" s="5">
        <f t="shared" si="2"/>
        <v>5936557.3077515941</v>
      </c>
      <c r="M12" s="5">
        <f t="shared" si="2"/>
        <v>7999975.1624076711</v>
      </c>
      <c r="N12" s="5">
        <f t="shared" si="2"/>
        <v>10193577.232038194</v>
      </c>
      <c r="O12" s="5">
        <f t="shared" si="2"/>
        <v>11950372.442558475</v>
      </c>
      <c r="P12" s="5">
        <f>SUM(D12:O12)</f>
        <v>102924430.51820371</v>
      </c>
      <c r="Q12" s="16"/>
      <c r="R12" s="16"/>
    </row>
    <row r="13" spans="1:21">
      <c r="A13" s="3">
        <f t="shared" si="1"/>
        <v>4</v>
      </c>
      <c r="B13" s="7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2"/>
      <c r="R13" s="22"/>
    </row>
    <row r="14" spans="1:21">
      <c r="A14" s="3">
        <f t="shared" si="1"/>
        <v>5</v>
      </c>
      <c r="B14" s="7" t="s">
        <v>18</v>
      </c>
      <c r="C14" s="3" t="s">
        <v>17</v>
      </c>
      <c r="D14" s="21">
        <v>65819813.292734183</v>
      </c>
      <c r="E14" s="21">
        <v>64276207.710063994</v>
      </c>
      <c r="F14" s="21">
        <v>57005684.887277439</v>
      </c>
      <c r="G14" s="21">
        <v>51170943.202487104</v>
      </c>
      <c r="H14" s="21">
        <v>42897286.355162919</v>
      </c>
      <c r="I14" s="21">
        <v>36447800.110793054</v>
      </c>
      <c r="J14" s="21">
        <v>30459837.080180116</v>
      </c>
      <c r="K14" s="21">
        <v>28498070.091602135</v>
      </c>
      <c r="L14" s="21">
        <v>29904685.027029268</v>
      </c>
      <c r="M14" s="21">
        <v>33493365.00708482</v>
      </c>
      <c r="N14" s="21">
        <v>45482418.074946105</v>
      </c>
      <c r="O14" s="21">
        <v>60754963.503220901</v>
      </c>
      <c r="P14" s="7"/>
      <c r="Q14" s="20"/>
      <c r="R14" s="20"/>
    </row>
    <row r="15" spans="1:21">
      <c r="A15" s="3">
        <f t="shared" si="1"/>
        <v>6</v>
      </c>
      <c r="B15" s="7" t="s">
        <v>16</v>
      </c>
      <c r="C15" s="19" t="s">
        <v>156</v>
      </c>
      <c r="D15" s="18">
        <f>'JAP-23 Page 3'!E32</f>
        <v>0.185</v>
      </c>
      <c r="E15" s="18">
        <f>$D$15</f>
        <v>0.185</v>
      </c>
      <c r="F15" s="18">
        <f>$D$15</f>
        <v>0.185</v>
      </c>
      <c r="G15" s="18">
        <f>$D$15</f>
        <v>0.185</v>
      </c>
      <c r="H15" s="18">
        <f>'JAP-23 Page 8'!E32</f>
        <v>0.19134999999999999</v>
      </c>
      <c r="I15" s="18">
        <f t="shared" ref="I15:O15" si="3">$H$15</f>
        <v>0.19134999999999999</v>
      </c>
      <c r="J15" s="18">
        <f t="shared" si="3"/>
        <v>0.19134999999999999</v>
      </c>
      <c r="K15" s="18">
        <f t="shared" si="3"/>
        <v>0.19134999999999999</v>
      </c>
      <c r="L15" s="18">
        <f t="shared" si="3"/>
        <v>0.19134999999999999</v>
      </c>
      <c r="M15" s="18">
        <f t="shared" si="3"/>
        <v>0.19134999999999999</v>
      </c>
      <c r="N15" s="18">
        <f t="shared" si="3"/>
        <v>0.19134999999999999</v>
      </c>
      <c r="O15" s="18">
        <f t="shared" si="3"/>
        <v>0.19134999999999999</v>
      </c>
      <c r="P15" s="13"/>
      <c r="Q15" s="17"/>
      <c r="R15" s="17"/>
    </row>
    <row r="16" spans="1:21">
      <c r="A16" s="3">
        <f t="shared" si="1"/>
        <v>7</v>
      </c>
      <c r="B16" s="7" t="s">
        <v>15</v>
      </c>
      <c r="C16" s="3" t="str">
        <f>"("&amp;A14&amp;") x ("&amp;A15&amp;")"</f>
        <v>(5) x (6)</v>
      </c>
      <c r="D16" s="5">
        <f t="shared" ref="D16:O16" si="4">D14*D15</f>
        <v>12176665.459155824</v>
      </c>
      <c r="E16" s="5">
        <f t="shared" si="4"/>
        <v>11891098.426361838</v>
      </c>
      <c r="F16" s="5">
        <f t="shared" si="4"/>
        <v>10546051.704146326</v>
      </c>
      <c r="G16" s="5">
        <f t="shared" si="4"/>
        <v>9466624.4924601149</v>
      </c>
      <c r="H16" s="5">
        <f t="shared" si="4"/>
        <v>8208395.7440604242</v>
      </c>
      <c r="I16" s="5">
        <f t="shared" si="4"/>
        <v>6974286.5512002502</v>
      </c>
      <c r="J16" s="5">
        <f t="shared" si="4"/>
        <v>5828489.8252924653</v>
      </c>
      <c r="K16" s="5">
        <f t="shared" si="4"/>
        <v>5453105.7120280685</v>
      </c>
      <c r="L16" s="5">
        <f t="shared" si="4"/>
        <v>5722261.4799220506</v>
      </c>
      <c r="M16" s="5">
        <f t="shared" si="4"/>
        <v>6408955.3941056803</v>
      </c>
      <c r="N16" s="5">
        <f t="shared" si="4"/>
        <v>8703060.698640937</v>
      </c>
      <c r="O16" s="5">
        <f t="shared" si="4"/>
        <v>11625462.266341319</v>
      </c>
      <c r="P16" s="5">
        <f>SUM(D16:O16)</f>
        <v>103004457.75371532</v>
      </c>
      <c r="Q16" s="16"/>
      <c r="R16" s="16"/>
    </row>
    <row r="17" spans="1:18">
      <c r="A17" s="8">
        <f t="shared" si="1"/>
        <v>8</v>
      </c>
      <c r="B17" s="7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/>
    </row>
    <row r="18" spans="1:18">
      <c r="A18" s="8">
        <f t="shared" si="1"/>
        <v>9</v>
      </c>
      <c r="B18" s="7" t="s">
        <v>14</v>
      </c>
      <c r="C18" s="3" t="str">
        <f>"("&amp;A$12&amp;") - ("&amp;A16&amp;")"</f>
        <v>(3) - (7)</v>
      </c>
      <c r="D18" s="5">
        <f t="shared" ref="D18:O18" si="5">D12-D16</f>
        <v>-395971.86320154741</v>
      </c>
      <c r="E18" s="5">
        <f t="shared" si="5"/>
        <v>-807485.77587645687</v>
      </c>
      <c r="F18" s="5">
        <f t="shared" si="5"/>
        <v>128414.25710904598</v>
      </c>
      <c r="G18" s="5">
        <f t="shared" si="5"/>
        <v>-659723.06051881984</v>
      </c>
      <c r="H18" s="5">
        <f t="shared" si="5"/>
        <v>-847054.77293439675</v>
      </c>
      <c r="I18" s="5">
        <f t="shared" si="5"/>
        <v>-1005499.9965359773</v>
      </c>
      <c r="J18" s="5">
        <f t="shared" si="5"/>
        <v>-293380.71527681034</v>
      </c>
      <c r="K18" s="5">
        <f t="shared" si="5"/>
        <v>179932.38597741164</v>
      </c>
      <c r="L18" s="5">
        <f t="shared" si="5"/>
        <v>214295.8278295435</v>
      </c>
      <c r="M18" s="5">
        <f t="shared" si="5"/>
        <v>1591019.7683019908</v>
      </c>
      <c r="N18" s="5">
        <f t="shared" si="5"/>
        <v>1490516.5333972573</v>
      </c>
      <c r="O18" s="5">
        <f t="shared" si="5"/>
        <v>324910.17621715553</v>
      </c>
      <c r="P18" s="5">
        <f>SUM(D18:O18)</f>
        <v>-80027.235511603765</v>
      </c>
      <c r="Q18" s="16"/>
      <c r="R18" s="16"/>
    </row>
    <row r="19" spans="1:18">
      <c r="A19" s="3">
        <f t="shared" si="1"/>
        <v>10</v>
      </c>
      <c r="B19" s="7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</row>
    <row r="20" spans="1:18">
      <c r="A20" s="3">
        <f t="shared" si="1"/>
        <v>11</v>
      </c>
      <c r="B20" s="7" t="s">
        <v>13</v>
      </c>
      <c r="C20" s="3" t="s">
        <v>3</v>
      </c>
      <c r="D20" s="15">
        <v>2150.3905086294899</v>
      </c>
      <c r="E20" s="15">
        <v>-150.35489824066335</v>
      </c>
      <c r="F20" s="15">
        <v>-1695.5289352147636</v>
      </c>
      <c r="G20" s="15">
        <v>-2973.0078625264973</v>
      </c>
      <c r="H20" s="15">
        <v>-5396.263910856017</v>
      </c>
      <c r="I20" s="15">
        <v>-8124.8130589672937</v>
      </c>
      <c r="J20" s="15">
        <v>-10069.12857458307</v>
      </c>
      <c r="K20" s="15">
        <v>-10386.140767607752</v>
      </c>
      <c r="L20" s="15">
        <v>-10014.135870247441</v>
      </c>
      <c r="M20" s="15">
        <v>-7745.1264452863679</v>
      </c>
      <c r="N20" s="15">
        <v>-3791.0705203911198</v>
      </c>
      <c r="O20" s="15">
        <v>-1627.0853870053272</v>
      </c>
      <c r="P20" s="5">
        <f>SUM(D20:O20)</f>
        <v>-59822.265722296819</v>
      </c>
      <c r="Q20" s="14"/>
      <c r="R20" s="14"/>
    </row>
    <row r="21" spans="1:18">
      <c r="A21" s="3">
        <f t="shared" si="1"/>
        <v>12</v>
      </c>
      <c r="B21" s="7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</row>
    <row r="22" spans="1:18">
      <c r="A22" s="3">
        <f t="shared" si="1"/>
        <v>13</v>
      </c>
      <c r="B22" s="7" t="s">
        <v>12</v>
      </c>
      <c r="C22" s="3" t="str">
        <f>"Σ(("&amp;A$18&amp;") + ("&amp;A20&amp;"))"</f>
        <v>Σ((9) + (11))</v>
      </c>
      <c r="D22" s="5">
        <f>'JAP-23 Page 7'!O22+D18+D20</f>
        <v>1897694.2478368599</v>
      </c>
      <c r="E22" s="5">
        <f t="shared" ref="E22:O22" si="6">D22+E18+E20</f>
        <v>1090058.1170621624</v>
      </c>
      <c r="F22" s="5">
        <f t="shared" si="6"/>
        <v>1216776.8452359936</v>
      </c>
      <c r="G22" s="5">
        <f t="shared" si="6"/>
        <v>554080.77685464732</v>
      </c>
      <c r="H22" s="5">
        <f t="shared" si="6"/>
        <v>-298370.25999060547</v>
      </c>
      <c r="I22" s="5">
        <f t="shared" si="6"/>
        <v>-1311995.0695855501</v>
      </c>
      <c r="J22" s="5">
        <f t="shared" si="6"/>
        <v>-1615444.9134369434</v>
      </c>
      <c r="K22" s="5">
        <f t="shared" si="6"/>
        <v>-1445898.6682271396</v>
      </c>
      <c r="L22" s="5">
        <f t="shared" si="6"/>
        <v>-1241616.9762678435</v>
      </c>
      <c r="M22" s="5">
        <f t="shared" si="6"/>
        <v>341657.66558886092</v>
      </c>
      <c r="N22" s="5">
        <f t="shared" si="6"/>
        <v>1828383.128465727</v>
      </c>
      <c r="O22" s="5">
        <f t="shared" si="6"/>
        <v>2151666.219295877</v>
      </c>
      <c r="P22" s="5"/>
    </row>
    <row r="23" spans="1:18">
      <c r="A23" s="3">
        <f t="shared" si="1"/>
        <v>14</v>
      </c>
      <c r="B23" s="7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/>
    </row>
    <row r="24" spans="1:18">
      <c r="A24" s="3">
        <f t="shared" si="1"/>
        <v>15</v>
      </c>
      <c r="B24" s="7" t="s">
        <v>11</v>
      </c>
      <c r="C24" s="3" t="s">
        <v>10</v>
      </c>
      <c r="D24" s="13">
        <f>'JAP-23 Page 7'!O24</f>
        <v>3.8091430457891447E-3</v>
      </c>
      <c r="E24" s="13">
        <f>$D$24</f>
        <v>3.8091430457891447E-3</v>
      </c>
      <c r="F24" s="13">
        <f>$D$24</f>
        <v>3.8091430457891447E-3</v>
      </c>
      <c r="G24" s="13">
        <f>$D$24</f>
        <v>3.8091430457891447E-3</v>
      </c>
      <c r="H24" s="13">
        <f>'JAP-23 Page 7'!O28/'JAP-23 Page 8'!E30</f>
        <v>2.0464258020749509E-3</v>
      </c>
      <c r="I24" s="13">
        <f t="shared" ref="I24:O24" si="7">$H$24</f>
        <v>2.0464258020749509E-3</v>
      </c>
      <c r="J24" s="13">
        <f t="shared" si="7"/>
        <v>2.0464258020749509E-3</v>
      </c>
      <c r="K24" s="13">
        <f t="shared" si="7"/>
        <v>2.0464258020749509E-3</v>
      </c>
      <c r="L24" s="13">
        <f t="shared" si="7"/>
        <v>2.0464258020749509E-3</v>
      </c>
      <c r="M24" s="13">
        <f t="shared" si="7"/>
        <v>2.0464258020749509E-3</v>
      </c>
      <c r="N24" s="13">
        <f t="shared" si="7"/>
        <v>2.0464258020749509E-3</v>
      </c>
      <c r="O24" s="13">
        <f t="shared" si="7"/>
        <v>2.0464258020749509E-3</v>
      </c>
      <c r="P24" s="5"/>
    </row>
    <row r="25" spans="1:18">
      <c r="A25" s="3">
        <f t="shared" si="1"/>
        <v>16</v>
      </c>
      <c r="B25" s="7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8">
      <c r="A26" s="3">
        <f t="shared" si="1"/>
        <v>17</v>
      </c>
      <c r="B26" s="7" t="s">
        <v>9</v>
      </c>
      <c r="C26" s="3" t="str">
        <f>"("&amp;A14&amp;") x ("&amp;A24&amp;")"</f>
        <v>(5) x (15)</v>
      </c>
      <c r="D26" s="5">
        <f t="shared" ref="D26:O26" si="8">D14*D24</f>
        <v>250717.08407915832</v>
      </c>
      <c r="E26" s="5">
        <f t="shared" si="8"/>
        <v>244837.26960848886</v>
      </c>
      <c r="F26" s="5">
        <f t="shared" si="8"/>
        <v>217142.8081588202</v>
      </c>
      <c r="G26" s="5">
        <f t="shared" si="8"/>
        <v>194917.44244622506</v>
      </c>
      <c r="H26" s="5">
        <f t="shared" si="8"/>
        <v>87786.113636203125</v>
      </c>
      <c r="I26" s="5">
        <f t="shared" si="8"/>
        <v>74587.718575597159</v>
      </c>
      <c r="J26" s="5">
        <f t="shared" si="8"/>
        <v>62333.796527879924</v>
      </c>
      <c r="K26" s="5">
        <f t="shared" si="8"/>
        <v>58319.18594479507</v>
      </c>
      <c r="L26" s="5">
        <f t="shared" si="8"/>
        <v>61197.719042237142</v>
      </c>
      <c r="M26" s="5">
        <f t="shared" si="8"/>
        <v>68541.68634881264</v>
      </c>
      <c r="N26" s="5">
        <f t="shared" si="8"/>
        <v>93076.393889329833</v>
      </c>
      <c r="O26" s="5">
        <f t="shared" si="8"/>
        <v>124330.5249171132</v>
      </c>
      <c r="P26" s="5">
        <f>SUM(D26:O26)</f>
        <v>1537787.7431746605</v>
      </c>
    </row>
    <row r="27" spans="1:18">
      <c r="A27" s="3">
        <f t="shared" si="1"/>
        <v>18</v>
      </c>
      <c r="B27" s="7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8">
      <c r="A28" s="3">
        <f t="shared" si="1"/>
        <v>19</v>
      </c>
      <c r="B28" s="7" t="s">
        <v>8</v>
      </c>
      <c r="C28" s="3" t="str">
        <f>"("&amp;A$28&amp;") + ("&amp;A18&amp;") + ("&amp;A20&amp;") - ("&amp;A26&amp;")"</f>
        <v>(19) + (9) + (11) - (17)</v>
      </c>
      <c r="D28" s="5">
        <f>'JAP-23 Page 7'!O28+'JAP-23 Page 12'!D18+'JAP-23 Page 12'!D20-'JAP-23 Page 12'!D26</f>
        <v>473746.67451016867</v>
      </c>
      <c r="E28" s="5">
        <f t="shared" ref="E28:O28" si="9">D28+E18+E20-E26</f>
        <v>-578726.72587301768</v>
      </c>
      <c r="F28" s="5">
        <f t="shared" si="9"/>
        <v>-669150.8058580067</v>
      </c>
      <c r="G28" s="5">
        <f t="shared" si="9"/>
        <v>-1526764.3166855781</v>
      </c>
      <c r="H28" s="5">
        <f t="shared" si="9"/>
        <v>-2467001.4671670338</v>
      </c>
      <c r="I28" s="5">
        <f t="shared" si="9"/>
        <v>-3555213.9953375757</v>
      </c>
      <c r="J28" s="5">
        <f t="shared" si="9"/>
        <v>-3920997.635716849</v>
      </c>
      <c r="K28" s="5">
        <f t="shared" si="9"/>
        <v>-3809770.5764518403</v>
      </c>
      <c r="L28" s="5">
        <f t="shared" si="9"/>
        <v>-3666686.6035347814</v>
      </c>
      <c r="M28" s="5">
        <f t="shared" si="9"/>
        <v>-2151953.6480268897</v>
      </c>
      <c r="N28" s="5">
        <f t="shared" si="9"/>
        <v>-758304.5790393533</v>
      </c>
      <c r="O28" s="5">
        <f t="shared" si="9"/>
        <v>-559352.01312631636</v>
      </c>
      <c r="P28" s="5"/>
    </row>
    <row r="29" spans="1:18">
      <c r="A29" s="3">
        <f t="shared" si="1"/>
        <v>20</v>
      </c>
      <c r="B29" s="7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8">
      <c r="A30" s="3">
        <f t="shared" si="1"/>
        <v>21</v>
      </c>
      <c r="B30" s="1" t="s">
        <v>7</v>
      </c>
      <c r="C30" s="19" t="s">
        <v>156</v>
      </c>
      <c r="D30" s="127">
        <f>'JAP-23 Page 3'!E34</f>
        <v>8.9200000000000113E-3</v>
      </c>
      <c r="E30" s="127">
        <f>$D$30</f>
        <v>8.9200000000000113E-3</v>
      </c>
      <c r="F30" s="127">
        <f>$D$30</f>
        <v>8.9200000000000113E-3</v>
      </c>
      <c r="G30" s="127">
        <f>$D$30</f>
        <v>8.9200000000000113E-3</v>
      </c>
      <c r="H30" s="127">
        <f>'JAP-23 Page 8'!E34</f>
        <v>1.5270000000000006E-2</v>
      </c>
      <c r="I30" s="127">
        <f t="shared" ref="I30:O30" si="10">$H$30</f>
        <v>1.5270000000000006E-2</v>
      </c>
      <c r="J30" s="127">
        <f t="shared" si="10"/>
        <v>1.5270000000000006E-2</v>
      </c>
      <c r="K30" s="127">
        <f t="shared" si="10"/>
        <v>1.5270000000000006E-2</v>
      </c>
      <c r="L30" s="127">
        <f t="shared" si="10"/>
        <v>1.5270000000000006E-2</v>
      </c>
      <c r="M30" s="127">
        <f t="shared" si="10"/>
        <v>1.5270000000000006E-2</v>
      </c>
      <c r="N30" s="127">
        <f t="shared" si="10"/>
        <v>1.5270000000000006E-2</v>
      </c>
      <c r="O30" s="127">
        <f t="shared" si="10"/>
        <v>1.5270000000000006E-2</v>
      </c>
      <c r="P30" s="5"/>
    </row>
    <row r="31" spans="1:18">
      <c r="A31" s="3">
        <f t="shared" si="1"/>
        <v>22</v>
      </c>
      <c r="B31" s="7"/>
      <c r="C31" s="3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8">
      <c r="A32" s="3">
        <f t="shared" si="1"/>
        <v>23</v>
      </c>
      <c r="B32" s="1" t="s">
        <v>5</v>
      </c>
      <c r="C32" s="3" t="str">
        <f>"("&amp;A14&amp;") x ("&amp;A30&amp;")"</f>
        <v>(5) x (21)</v>
      </c>
      <c r="D32" s="126">
        <f t="shared" ref="D32:O32" si="11">D30*D14</f>
        <v>587112.73457118962</v>
      </c>
      <c r="E32" s="126">
        <f t="shared" si="11"/>
        <v>573343.77277377155</v>
      </c>
      <c r="F32" s="126">
        <f t="shared" si="11"/>
        <v>508490.70919451542</v>
      </c>
      <c r="G32" s="126">
        <f t="shared" si="11"/>
        <v>456444.81336618552</v>
      </c>
      <c r="H32" s="126">
        <f t="shared" si="11"/>
        <v>655041.56264333799</v>
      </c>
      <c r="I32" s="126">
        <f t="shared" si="11"/>
        <v>556557.90769181016</v>
      </c>
      <c r="J32" s="126">
        <f t="shared" si="11"/>
        <v>465121.71221435053</v>
      </c>
      <c r="K32" s="126">
        <f t="shared" si="11"/>
        <v>435165.53029876476</v>
      </c>
      <c r="L32" s="126">
        <f t="shared" si="11"/>
        <v>456644.54036273708</v>
      </c>
      <c r="M32" s="126">
        <f t="shared" si="11"/>
        <v>511443.68365818541</v>
      </c>
      <c r="N32" s="126">
        <f t="shared" si="11"/>
        <v>694516.52400442725</v>
      </c>
      <c r="O32" s="126">
        <f t="shared" si="11"/>
        <v>927728.29269418353</v>
      </c>
      <c r="P32" s="5">
        <f>SUM(D32:O32)</f>
        <v>6827611.7834734581</v>
      </c>
    </row>
    <row r="33" spans="1:16">
      <c r="A33" s="3">
        <f t="shared" si="1"/>
        <v>24</v>
      </c>
      <c r="B33" s="7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>
        <f t="shared" si="1"/>
        <v>25</v>
      </c>
      <c r="B34" s="7" t="s">
        <v>4</v>
      </c>
      <c r="C34" s="3" t="s">
        <v>3</v>
      </c>
      <c r="D34" s="5">
        <v>51764920.283883013</v>
      </c>
      <c r="E34" s="5">
        <v>50615694.175972745</v>
      </c>
      <c r="F34" s="5">
        <v>45202734.583244279</v>
      </c>
      <c r="G34" s="5">
        <v>40858724.97848884</v>
      </c>
      <c r="H34" s="5">
        <v>34971322.235895127</v>
      </c>
      <c r="I34" s="5">
        <v>30128676.388773687</v>
      </c>
      <c r="J34" s="5">
        <v>25632568.760320626</v>
      </c>
      <c r="K34" s="5">
        <v>24159561.081833005</v>
      </c>
      <c r="L34" s="5">
        <v>25215728.614788294</v>
      </c>
      <c r="M34" s="5">
        <v>27910316.298766188</v>
      </c>
      <c r="N34" s="5">
        <v>36912388.068541631</v>
      </c>
      <c r="O34" s="5">
        <v>48379895.074665122</v>
      </c>
      <c r="P34" s="5">
        <f>SUM(D34:O34)</f>
        <v>441752530.54517257</v>
      </c>
    </row>
    <row r="35" spans="1:16">
      <c r="A35" s="3">
        <f t="shared" si="1"/>
        <v>26</v>
      </c>
      <c r="B35" s="7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">
        <f t="shared" si="1"/>
        <v>27</v>
      </c>
      <c r="B36" s="7" t="s">
        <v>158</v>
      </c>
      <c r="C36" s="3" t="str">
        <f>"("&amp;A32&amp;") / ("&amp;A34&amp;")"</f>
        <v>(23) / (25)</v>
      </c>
      <c r="D36" s="125">
        <f t="shared" ref="D36:P36" si="12">D32/D34</f>
        <v>1.1341903577778463E-2</v>
      </c>
      <c r="E36" s="125">
        <f t="shared" si="12"/>
        <v>1.1327391278690349E-2</v>
      </c>
      <c r="F36" s="125">
        <f t="shared" si="12"/>
        <v>1.1249113883986179E-2</v>
      </c>
      <c r="G36" s="125">
        <f t="shared" si="12"/>
        <v>1.1171293612477947E-2</v>
      </c>
      <c r="H36" s="125">
        <f t="shared" si="12"/>
        <v>1.8730820591364224E-2</v>
      </c>
      <c r="I36" s="125">
        <f t="shared" si="12"/>
        <v>1.8472696925351504E-2</v>
      </c>
      <c r="J36" s="125">
        <f t="shared" si="12"/>
        <v>1.81457315715607E-2</v>
      </c>
      <c r="K36" s="125">
        <f t="shared" si="12"/>
        <v>1.8012145536285894E-2</v>
      </c>
      <c r="L36" s="125">
        <f t="shared" si="12"/>
        <v>1.8109512016834139E-2</v>
      </c>
      <c r="M36" s="125">
        <f t="shared" si="12"/>
        <v>1.8324539148300317E-2</v>
      </c>
      <c r="N36" s="125">
        <f t="shared" si="12"/>
        <v>1.8815269353876483E-2</v>
      </c>
      <c r="O36" s="125">
        <f t="shared" si="12"/>
        <v>1.9175905430601124E-2</v>
      </c>
      <c r="P36" s="125">
        <f t="shared" si="12"/>
        <v>1.5455738929321838E-2</v>
      </c>
    </row>
    <row r="37" spans="1:16">
      <c r="A37" s="4"/>
      <c r="B37" s="130"/>
      <c r="C37" s="129"/>
    </row>
    <row r="38" spans="1:16">
      <c r="A38" s="130"/>
      <c r="B38" s="130"/>
      <c r="C38" s="129"/>
    </row>
    <row r="40" spans="1:16">
      <c r="C40" s="129"/>
    </row>
    <row r="43" spans="1:16">
      <c r="C43" s="129"/>
    </row>
    <row r="46" spans="1:16">
      <c r="C46" s="129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B377144-2C3E-4C23-AF03-5B8489E4542B}"/>
</file>

<file path=customXml/itemProps2.xml><?xml version="1.0" encoding="utf-8"?>
<ds:datastoreItem xmlns:ds="http://schemas.openxmlformats.org/officeDocument/2006/customXml" ds:itemID="{EBC294BC-225C-4BFD-A0D4-86AA3A8B664C}"/>
</file>

<file path=customXml/itemProps3.xml><?xml version="1.0" encoding="utf-8"?>
<ds:datastoreItem xmlns:ds="http://schemas.openxmlformats.org/officeDocument/2006/customXml" ds:itemID="{8B90606F-174D-4B7B-9DE9-0CB14EFCA65B}"/>
</file>

<file path=customXml/itemProps4.xml><?xml version="1.0" encoding="utf-8"?>
<ds:datastoreItem xmlns:ds="http://schemas.openxmlformats.org/officeDocument/2006/customXml" ds:itemID="{FF409801-AE30-4BC1-892C-D650237FC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JAP-23 Page 1</vt:lpstr>
      <vt:lpstr>JAP-23 Page 2</vt:lpstr>
      <vt:lpstr>JAP-23 Page 3</vt:lpstr>
      <vt:lpstr>JAP-23 Page 4</vt:lpstr>
      <vt:lpstr>JAP-23 Page 5</vt:lpstr>
      <vt:lpstr>JAP-23 Page 6</vt:lpstr>
      <vt:lpstr>JAP-23 Page 7</vt:lpstr>
      <vt:lpstr>JAP-23 Page 8</vt:lpstr>
      <vt:lpstr>JAP-23 Page 9</vt:lpstr>
      <vt:lpstr>JAP-23 Page 10</vt:lpstr>
      <vt:lpstr>JAP -23 Page 11</vt:lpstr>
      <vt:lpstr>JAP-23 Page 12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2013-02-28T17:24:11Z</cp:lastPrinted>
  <dcterms:created xsi:type="dcterms:W3CDTF">2013-02-28T17:17:51Z</dcterms:created>
  <dcterms:modified xsi:type="dcterms:W3CDTF">2013-02-28T17:24:21Z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