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ACTIVE\Cases\240004-05 - PSE GRC\Testimony\Watkins\"/>
    </mc:Choice>
  </mc:AlternateContent>
  <xr:revisionPtr revIDLastSave="0" documentId="13_ncr:1_{A4D62A49-76A1-4AE2-B379-A495BCD81931}" xr6:coauthVersionLast="47" xr6:coauthVersionMax="47" xr10:uidLastSave="{00000000-0000-0000-0000-000000000000}"/>
  <bookViews>
    <workbookView xWindow="-23148" yWindow="84" windowWidth="23256" windowHeight="12576" xr2:uid="{2BABB434-DCE4-4DBC-A917-97091BD56119}"/>
  </bookViews>
  <sheets>
    <sheet name="Customer Cost" sheetId="1" r:id="rId1"/>
  </sheets>
  <externalReferences>
    <externalReference r:id="rId2"/>
  </externalReferences>
  <definedNames>
    <definedName name="_xlnm.Print_Area" localSheetId="0">'Customer Cost'!$B$5:$E$68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1" l="1"/>
  <c r="D61" i="1"/>
  <c r="E41" i="1"/>
  <c r="D41" i="1"/>
  <c r="E40" i="1"/>
  <c r="D40" i="1"/>
  <c r="E39" i="1"/>
  <c r="D39" i="1"/>
  <c r="E38" i="1"/>
  <c r="D38" i="1"/>
  <c r="E37" i="1"/>
  <c r="D37" i="1"/>
  <c r="E34" i="1"/>
  <c r="E52" i="1" s="1"/>
  <c r="D34" i="1"/>
  <c r="D52" i="1" s="1"/>
  <c r="E23" i="1"/>
  <c r="D23" i="1"/>
  <c r="E15" i="1"/>
  <c r="E25" i="1" s="1"/>
  <c r="D15" i="1"/>
  <c r="D42" i="1" l="1"/>
  <c r="D53" i="1" s="1"/>
  <c r="E42" i="1"/>
  <c r="E53" i="1" s="1"/>
  <c r="D25" i="1"/>
  <c r="D48" i="1"/>
  <c r="E48" i="1"/>
  <c r="E50" i="1" s="1"/>
  <c r="E55" i="1" l="1"/>
  <c r="E58" i="1" s="1"/>
  <c r="E63" i="1" s="1"/>
  <c r="D50" i="1"/>
  <c r="D55" i="1" s="1"/>
  <c r="D58" i="1" s="1"/>
  <c r="D63" i="1" s="1"/>
</calcChain>
</file>

<file path=xl/sharedStrings.xml><?xml version="1.0" encoding="utf-8"?>
<sst xmlns="http://schemas.openxmlformats.org/spreadsheetml/2006/main" count="49" uniqueCount="43">
  <si>
    <t>PUGET SOUND ENERGY</t>
  </si>
  <si>
    <t>Natural Gas Customer Cost Analysis At Staff Proposed ROR</t>
  </si>
  <si>
    <t>Residential (16,23,53)</t>
  </si>
  <si>
    <t>Comm. &amp; Indus. (31,31T)</t>
  </si>
  <si>
    <t>Gross Plant</t>
  </si>
  <si>
    <t>Services</t>
  </si>
  <si>
    <t>Meters</t>
  </si>
  <si>
    <t>Meter Installations</t>
  </si>
  <si>
    <t>House Regulators</t>
  </si>
  <si>
    <t>House Regulators Installations</t>
  </si>
  <si>
    <t>Total Gross Plant</t>
  </si>
  <si>
    <t>Depreciation Reserve</t>
  </si>
  <si>
    <t>Total Accum. Depreciation</t>
  </si>
  <si>
    <t>Total Net Plant</t>
  </si>
  <si>
    <t>Operation &amp; Maintenance Expenses</t>
  </si>
  <si>
    <t>Meters &amp; House Regulators - Oper</t>
  </si>
  <si>
    <t>Customer Installations Expenses</t>
  </si>
  <si>
    <t>Maintenance - Services</t>
  </si>
  <si>
    <t>Maintenance-Meters &amp; House Regulators</t>
  </si>
  <si>
    <t>Meter Reading</t>
  </si>
  <si>
    <t>Records &amp; Collections</t>
  </si>
  <si>
    <t>Total O &amp; M Expenses</t>
  </si>
  <si>
    <t>Depreciation Expense</t>
  </si>
  <si>
    <t>Services (4.14% Weighted Average Depreciation Rate)</t>
  </si>
  <si>
    <t>Meters (4.64% Weight Average Depreciation Rate)</t>
  </si>
  <si>
    <t>Meter Installations (2.91% Depreciation Rate)</t>
  </si>
  <si>
    <t>House Regulators (1.97% Depreciation Rate)</t>
  </si>
  <si>
    <t>House Regulators Installations (1.92% Depreciation Rate)</t>
  </si>
  <si>
    <t>Total Depreciation Expense</t>
  </si>
  <si>
    <t xml:space="preserve">Revenue Requirement </t>
  </si>
  <si>
    <t>Interest</t>
  </si>
  <si>
    <t>Equity Return</t>
  </si>
  <si>
    <t>Income Tax</t>
  </si>
  <si>
    <t>Revenue For Return</t>
  </si>
  <si>
    <t>O&amp;M Expenses</t>
  </si>
  <si>
    <t>Revenue Req. Before Excise &amp; WUTC Gross-Up</t>
  </si>
  <si>
    <t>Uncollect., State Utility Tax &amp; WUTC Fee Gross-Up Factor 1/</t>
  </si>
  <si>
    <t xml:space="preserve">Total Revenue Requirement </t>
  </si>
  <si>
    <t>Number of Customers  2/</t>
  </si>
  <si>
    <t>Number of Bills</t>
  </si>
  <si>
    <t>Total Monthly Customer Cost</t>
  </si>
  <si>
    <t>1/ Per 240004-05-PSE-WP-SEF-3E-8G-ConversionFactor-24GRC-02-2024</t>
  </si>
  <si>
    <t>2/ Per 240004-05-PSE-WP-JDT-4-GCOS-EXT-ALLOC-24GRC-02-2024.xlsx. Tab Customer 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</si>
</sst>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000"/>
    <numFmt numFmtId="165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5" fontId="3" fillId="0" borderId="0" xfId="0" applyNumberFormat="1" applyFont="1"/>
    <xf numFmtId="0" fontId="3" fillId="0" borderId="1" xfId="0" applyFont="1" applyBorder="1"/>
    <xf numFmtId="5" fontId="3" fillId="0" borderId="1" xfId="0" applyNumberFormat="1" applyFont="1" applyBorder="1"/>
    <xf numFmtId="5" fontId="2" fillId="0" borderId="0" xfId="0" applyNumberFormat="1" applyFont="1"/>
    <xf numFmtId="0" fontId="3" fillId="0" borderId="2" xfId="0" applyFont="1" applyBorder="1"/>
    <xf numFmtId="5" fontId="3" fillId="0" borderId="2" xfId="0" applyNumberFormat="1" applyFont="1" applyBorder="1"/>
    <xf numFmtId="164" fontId="4" fillId="0" borderId="0" xfId="0" applyNumberFormat="1" applyFont="1"/>
    <xf numFmtId="165" fontId="3" fillId="0" borderId="0" xfId="1" applyNumberFormat="1" applyFont="1"/>
    <xf numFmtId="0" fontId="3" fillId="0" borderId="3" xfId="0" applyFont="1" applyBorder="1"/>
    <xf numFmtId="7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aiecon.sharepoint.com/Cases/24%20Cases/2409%20Puget%20Sound%20RD/GAW%20Work/Natural%20Gas%20Customer%20Cost%20Analysis.xlsx" TargetMode="External"/><Relationship Id="rId1" Type="http://schemas.openxmlformats.org/officeDocument/2006/relationships/externalLinkPath" Target="https://taiecon.sharepoint.com/Cases/24%20Cases/2409%20Puget%20Sound%20RD/GAW%20Work/Natural%20Gas%20Customer%20Cost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stomer Cost"/>
      <sheetName val="Service &amp; Meters Depr"/>
      <sheetName val="COC"/>
    </sheetNames>
    <sheetDataSet>
      <sheetData sheetId="0"/>
      <sheetData sheetId="1">
        <row r="101">
          <cell r="F101">
            <v>4.1393290872880677E-2</v>
          </cell>
        </row>
        <row r="111">
          <cell r="F111">
            <v>4.6411446112377359E-2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AA00F-0C5B-4706-90A7-38E4FAD7DC4F}">
  <sheetPr>
    <pageSetUpPr fitToPage="1"/>
  </sheetPr>
  <dimension ref="B5:L68"/>
  <sheetViews>
    <sheetView tabSelected="1" topLeftCell="C1" workbookViewId="0">
      <selection activeCell="C4" sqref="C4"/>
    </sheetView>
  </sheetViews>
  <sheetFormatPr defaultColWidth="8.7109375" defaultRowHeight="15" x14ac:dyDescent="0.25"/>
  <cols>
    <col min="1" max="2" width="8.7109375" style="1"/>
    <col min="3" max="3" width="51.42578125" style="1" customWidth="1"/>
    <col min="4" max="4" width="14.5703125" style="1" customWidth="1"/>
    <col min="5" max="5" width="15.85546875" style="1" customWidth="1"/>
    <col min="6" max="16384" width="8.7109375" style="1"/>
  </cols>
  <sheetData>
    <row r="5" spans="2:12" x14ac:dyDescent="0.25">
      <c r="B5" s="15" t="s">
        <v>0</v>
      </c>
      <c r="C5" s="15"/>
      <c r="D5" s="15"/>
      <c r="E5" s="15"/>
    </row>
    <row r="6" spans="2:12" s="2" customFormat="1" ht="14.25" x14ac:dyDescent="0.2">
      <c r="B6" s="16" t="s">
        <v>1</v>
      </c>
      <c r="C6" s="16"/>
      <c r="D6" s="16"/>
      <c r="E6" s="16"/>
    </row>
    <row r="7" spans="2:12" hidden="1" x14ac:dyDescent="0.25"/>
    <row r="8" spans="2:12" s="3" customFormat="1" ht="28.5" x14ac:dyDescent="0.25">
      <c r="D8" s="4" t="s">
        <v>2</v>
      </c>
      <c r="E8" s="4" t="s">
        <v>3</v>
      </c>
    </row>
    <row r="9" spans="2:12" x14ac:dyDescent="0.25">
      <c r="B9" s="2" t="s">
        <v>4</v>
      </c>
    </row>
    <row r="10" spans="2:12" x14ac:dyDescent="0.25">
      <c r="B10" s="1">
        <v>380</v>
      </c>
      <c r="C10" s="1" t="s">
        <v>5</v>
      </c>
      <c r="D10" s="5">
        <v>760012403.10327852</v>
      </c>
      <c r="E10" s="5">
        <v>732280138.71836877</v>
      </c>
      <c r="F10" s="5"/>
      <c r="G10" s="5"/>
      <c r="H10" s="5"/>
      <c r="I10" s="5"/>
      <c r="J10" s="5"/>
      <c r="K10" s="5"/>
      <c r="L10" s="5"/>
    </row>
    <row r="11" spans="2:12" x14ac:dyDescent="0.25">
      <c r="B11" s="1">
        <v>381</v>
      </c>
      <c r="C11" s="1" t="s">
        <v>6</v>
      </c>
      <c r="D11" s="5">
        <v>137200231.20239827</v>
      </c>
      <c r="E11" s="5">
        <v>40104181.425520942</v>
      </c>
      <c r="F11" s="5"/>
      <c r="G11" s="5"/>
      <c r="H11" s="5"/>
      <c r="I11" s="5"/>
      <c r="J11" s="5"/>
      <c r="K11" s="5"/>
      <c r="L11" s="5"/>
    </row>
    <row r="12" spans="2:12" x14ac:dyDescent="0.25">
      <c r="B12" s="1">
        <v>382</v>
      </c>
      <c r="C12" s="1" t="s">
        <v>7</v>
      </c>
      <c r="D12" s="5">
        <v>219783898.67001221</v>
      </c>
      <c r="E12" s="5">
        <v>17233560.322859392</v>
      </c>
      <c r="F12" s="5"/>
      <c r="G12" s="5"/>
      <c r="H12" s="5"/>
      <c r="I12" s="5"/>
      <c r="J12" s="5"/>
      <c r="K12" s="5"/>
      <c r="L12" s="5"/>
    </row>
    <row r="13" spans="2:12" x14ac:dyDescent="0.25">
      <c r="B13" s="1">
        <v>383</v>
      </c>
      <c r="C13" s="1" t="s">
        <v>8</v>
      </c>
      <c r="D13" s="5">
        <v>15638073.092318147</v>
      </c>
      <c r="E13" s="5">
        <v>4571071.892107144</v>
      </c>
      <c r="F13" s="5"/>
      <c r="G13" s="5"/>
      <c r="H13" s="5"/>
      <c r="I13" s="5"/>
      <c r="J13" s="5"/>
      <c r="K13" s="5"/>
      <c r="L13" s="5"/>
    </row>
    <row r="14" spans="2:12" x14ac:dyDescent="0.25">
      <c r="B14" s="6">
        <v>384</v>
      </c>
      <c r="C14" s="6" t="s">
        <v>9</v>
      </c>
      <c r="D14" s="7">
        <v>64305157.103209868</v>
      </c>
      <c r="E14" s="7">
        <v>18796657.006061047</v>
      </c>
      <c r="F14" s="5"/>
      <c r="G14" s="5"/>
      <c r="H14" s="5"/>
      <c r="I14" s="5"/>
      <c r="J14" s="5"/>
      <c r="K14" s="5"/>
      <c r="L14" s="5"/>
    </row>
    <row r="15" spans="2:12" s="2" customFormat="1" ht="14.25" x14ac:dyDescent="0.2">
      <c r="C15" s="2" t="s">
        <v>10</v>
      </c>
      <c r="D15" s="8">
        <f>SUM(D10:D14)</f>
        <v>1196939763.171217</v>
      </c>
      <c r="E15" s="8">
        <f t="shared" ref="E15" si="0">SUM(E10:E14)</f>
        <v>812985609.36491728</v>
      </c>
      <c r="F15" s="8"/>
      <c r="G15" s="8"/>
      <c r="H15" s="8"/>
      <c r="I15" s="8"/>
      <c r="J15" s="8"/>
      <c r="K15" s="8"/>
      <c r="L15" s="8"/>
    </row>
    <row r="16" spans="2:12" x14ac:dyDescent="0.25"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2" t="s">
        <v>11</v>
      </c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C18" s="1" t="s">
        <v>5</v>
      </c>
      <c r="D18" s="5">
        <v>374024598.84885502</v>
      </c>
      <c r="E18" s="5">
        <v>360376730.70962</v>
      </c>
      <c r="F18" s="5"/>
      <c r="G18" s="5"/>
      <c r="H18" s="5"/>
      <c r="I18" s="5"/>
      <c r="J18" s="5"/>
      <c r="K18" s="5"/>
      <c r="L18" s="5"/>
    </row>
    <row r="19" spans="2:12" x14ac:dyDescent="0.25">
      <c r="C19" s="1" t="s">
        <v>6</v>
      </c>
      <c r="D19" s="5">
        <v>38097618.544696502</v>
      </c>
      <c r="E19" s="5">
        <v>11136087.6917392</v>
      </c>
      <c r="F19" s="5"/>
      <c r="G19" s="5"/>
      <c r="H19" s="5"/>
      <c r="I19" s="5"/>
      <c r="J19" s="5"/>
      <c r="K19" s="5"/>
      <c r="L19" s="5"/>
    </row>
    <row r="20" spans="2:12" x14ac:dyDescent="0.25">
      <c r="C20" s="1" t="s">
        <v>7</v>
      </c>
      <c r="D20" s="5">
        <v>71764419.012996405</v>
      </c>
      <c r="E20" s="5">
        <v>5627147.6280995496</v>
      </c>
      <c r="F20" s="5"/>
      <c r="G20" s="5"/>
      <c r="H20" s="5"/>
      <c r="I20" s="5"/>
      <c r="J20" s="5"/>
      <c r="K20" s="5"/>
      <c r="L20" s="5"/>
    </row>
    <row r="21" spans="2:12" x14ac:dyDescent="0.25">
      <c r="C21" s="1" t="s">
        <v>8</v>
      </c>
      <c r="D21" s="5">
        <v>5844024.84605054</v>
      </c>
      <c r="E21" s="5">
        <v>1708232.05345419</v>
      </c>
      <c r="F21" s="5"/>
      <c r="G21" s="5"/>
      <c r="H21" s="5"/>
      <c r="I21" s="5"/>
      <c r="J21" s="5"/>
      <c r="K21" s="5"/>
      <c r="L21" s="5"/>
    </row>
    <row r="22" spans="2:12" x14ac:dyDescent="0.25">
      <c r="B22" s="6"/>
      <c r="C22" s="6" t="s">
        <v>9</v>
      </c>
      <c r="D22" s="7">
        <v>28500244.381320901</v>
      </c>
      <c r="E22" s="7">
        <v>8330736.4814425902</v>
      </c>
      <c r="F22" s="5"/>
      <c r="G22" s="5"/>
      <c r="H22" s="5"/>
      <c r="I22" s="5"/>
      <c r="J22" s="5"/>
      <c r="K22" s="5"/>
      <c r="L22" s="5"/>
    </row>
    <row r="23" spans="2:12" s="2" customFormat="1" ht="14.25" x14ac:dyDescent="0.2">
      <c r="B23" s="2" t="s">
        <v>12</v>
      </c>
      <c r="D23" s="8">
        <f>SUM(D18:D22)</f>
        <v>518230905.63391936</v>
      </c>
      <c r="E23" s="8">
        <f t="shared" ref="E23" si="1">SUM(E18:E22)</f>
        <v>387178934.56435549</v>
      </c>
      <c r="F23" s="8"/>
      <c r="G23" s="8"/>
      <c r="H23" s="8"/>
      <c r="I23" s="8"/>
      <c r="J23" s="8"/>
      <c r="K23" s="8"/>
      <c r="L23" s="8"/>
    </row>
    <row r="24" spans="2:12" ht="15.75" thickBot="1" x14ac:dyDescent="0.3">
      <c r="B24" s="9"/>
      <c r="C24" s="9"/>
      <c r="D24" s="10"/>
      <c r="E24" s="10"/>
      <c r="F24" s="5"/>
      <c r="G24" s="5"/>
      <c r="H24" s="5"/>
      <c r="I24" s="5"/>
      <c r="J24" s="5"/>
      <c r="K24" s="5"/>
      <c r="L24" s="5"/>
    </row>
    <row r="25" spans="2:12" s="2" customFormat="1" ht="14.25" x14ac:dyDescent="0.2">
      <c r="B25" s="2" t="s">
        <v>13</v>
      </c>
      <c r="D25" s="8">
        <f>D15-D23</f>
        <v>678708857.53729761</v>
      </c>
      <c r="E25" s="8">
        <f t="shared" ref="E25" si="2">E15-E23</f>
        <v>425806674.80056179</v>
      </c>
      <c r="F25" s="8"/>
      <c r="G25" s="8"/>
      <c r="H25" s="8"/>
      <c r="I25" s="8"/>
      <c r="J25" s="8"/>
      <c r="K25" s="8"/>
      <c r="L25" s="8"/>
    </row>
    <row r="26" spans="2:12" x14ac:dyDescent="0.25"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2" t="s">
        <v>14</v>
      </c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1">
        <v>878</v>
      </c>
      <c r="C28" s="1" t="s">
        <v>15</v>
      </c>
      <c r="D28" s="5">
        <v>1846348.6021439014</v>
      </c>
      <c r="E28" s="5">
        <v>539695.14968165499</v>
      </c>
      <c r="F28" s="5"/>
      <c r="G28" s="5"/>
      <c r="H28" s="5"/>
      <c r="I28" s="5"/>
      <c r="J28" s="5"/>
      <c r="K28" s="5"/>
      <c r="L28" s="5"/>
    </row>
    <row r="29" spans="2:12" x14ac:dyDescent="0.25">
      <c r="B29" s="1">
        <v>879</v>
      </c>
      <c r="C29" s="1" t="s">
        <v>16</v>
      </c>
      <c r="D29" s="5">
        <v>1302967.018622536</v>
      </c>
      <c r="E29" s="5">
        <v>502252.1864956225</v>
      </c>
      <c r="F29" s="5"/>
      <c r="G29" s="5"/>
      <c r="H29" s="5"/>
      <c r="I29" s="5"/>
      <c r="J29" s="5"/>
      <c r="K29" s="5"/>
      <c r="L29" s="5"/>
    </row>
    <row r="30" spans="2:12" x14ac:dyDescent="0.25">
      <c r="B30" s="1">
        <v>892</v>
      </c>
      <c r="C30" s="1" t="s">
        <v>17</v>
      </c>
      <c r="D30" s="5">
        <v>2726114.0720873047</v>
      </c>
      <c r="E30" s="5">
        <v>2626640.2794467462</v>
      </c>
      <c r="F30" s="5"/>
      <c r="G30" s="5"/>
      <c r="H30" s="5"/>
      <c r="I30" s="5"/>
      <c r="J30" s="5"/>
      <c r="K30" s="5"/>
      <c r="L30" s="5"/>
    </row>
    <row r="31" spans="2:12" x14ac:dyDescent="0.25">
      <c r="B31" s="1">
        <v>893</v>
      </c>
      <c r="C31" s="1" t="s">
        <v>18</v>
      </c>
      <c r="D31" s="5">
        <v>416316.60883859906</v>
      </c>
      <c r="E31" s="5">
        <v>121691.02533574276</v>
      </c>
      <c r="F31" s="5"/>
      <c r="G31" s="5"/>
      <c r="H31" s="5"/>
      <c r="I31" s="5"/>
      <c r="J31" s="5"/>
      <c r="K31" s="5"/>
      <c r="L31" s="5"/>
    </row>
    <row r="32" spans="2:12" x14ac:dyDescent="0.25">
      <c r="B32" s="1">
        <v>902</v>
      </c>
      <c r="C32" s="1" t="s">
        <v>19</v>
      </c>
      <c r="D32" s="5">
        <v>9286585.5998202115</v>
      </c>
      <c r="E32" s="5">
        <v>661493.86409152858</v>
      </c>
      <c r="F32" s="5"/>
      <c r="G32" s="5"/>
      <c r="H32" s="5"/>
      <c r="I32" s="5"/>
      <c r="J32" s="5"/>
      <c r="K32" s="5"/>
      <c r="L32" s="5"/>
    </row>
    <row r="33" spans="2:12" x14ac:dyDescent="0.25">
      <c r="B33" s="6">
        <v>903</v>
      </c>
      <c r="C33" s="6" t="s">
        <v>20</v>
      </c>
      <c r="D33" s="7">
        <v>10560144.247637387</v>
      </c>
      <c r="E33" s="7">
        <v>806011.73805147526</v>
      </c>
      <c r="F33" s="5"/>
      <c r="G33" s="5"/>
      <c r="H33" s="5"/>
      <c r="I33" s="5"/>
      <c r="J33" s="5"/>
      <c r="K33" s="5"/>
      <c r="L33" s="5"/>
    </row>
    <row r="34" spans="2:12" s="2" customFormat="1" ht="14.25" x14ac:dyDescent="0.2">
      <c r="B34" s="2" t="s">
        <v>21</v>
      </c>
      <c r="D34" s="8">
        <f>SUM(D28:D33)</f>
        <v>26138476.149149939</v>
      </c>
      <c r="E34" s="8">
        <f t="shared" ref="E34" si="3">SUM(E28:E33)</f>
        <v>5257784.2431027694</v>
      </c>
      <c r="F34" s="8"/>
      <c r="G34" s="8"/>
      <c r="H34" s="8"/>
      <c r="I34" s="8"/>
      <c r="J34" s="8"/>
      <c r="K34" s="8"/>
      <c r="L34" s="8"/>
    </row>
    <row r="36" spans="2:12" x14ac:dyDescent="0.25">
      <c r="B36" s="2" t="s">
        <v>22</v>
      </c>
    </row>
    <row r="37" spans="2:12" x14ac:dyDescent="0.25">
      <c r="C37" s="1" t="s">
        <v>23</v>
      </c>
      <c r="D37" s="5">
        <f>D10*'[1]Service &amp; Meters Depr'!$F$101</f>
        <v>31459414.468651049</v>
      </c>
      <c r="E37" s="5">
        <f>E10*'[1]Service &amp; Meters Depr'!$F$101</f>
        <v>30311484.782402851</v>
      </c>
    </row>
    <row r="38" spans="2:12" x14ac:dyDescent="0.25">
      <c r="C38" s="1" t="s">
        <v>24</v>
      </c>
      <c r="D38" s="5">
        <f>D11*'[1]Service &amp; Meters Depr'!$F$111</f>
        <v>6367661.1370558217</v>
      </c>
      <c r="E38" s="5">
        <f>E11*'[1]Service &amp; Meters Depr'!$F$111</f>
        <v>1861293.0551115703</v>
      </c>
    </row>
    <row r="39" spans="2:12" x14ac:dyDescent="0.25">
      <c r="C39" s="1" t="s">
        <v>25</v>
      </c>
      <c r="D39" s="5">
        <f>D12*2.91%</f>
        <v>6395711.4512973558</v>
      </c>
      <c r="E39" s="5">
        <f t="shared" ref="E39" si="4">E12*2.91%</f>
        <v>501496.60539520829</v>
      </c>
    </row>
    <row r="40" spans="2:12" x14ac:dyDescent="0.25">
      <c r="C40" s="1" t="s">
        <v>26</v>
      </c>
      <c r="D40" s="5">
        <f>D13*1.97%</f>
        <v>308070.03991866746</v>
      </c>
      <c r="E40" s="5">
        <f t="shared" ref="E40" si="5">E13*1.97%</f>
        <v>90050.116274510729</v>
      </c>
    </row>
    <row r="41" spans="2:12" x14ac:dyDescent="0.25">
      <c r="B41" s="6"/>
      <c r="C41" s="6" t="s">
        <v>27</v>
      </c>
      <c r="D41" s="7">
        <f>D14*1.92%</f>
        <v>1234659.0163816293</v>
      </c>
      <c r="E41" s="7">
        <f t="shared" ref="E41" si="6">E14*1.92%</f>
        <v>360895.81451637211</v>
      </c>
    </row>
    <row r="42" spans="2:12" s="2" customFormat="1" ht="14.25" x14ac:dyDescent="0.2">
      <c r="B42" s="2" t="s">
        <v>28</v>
      </c>
      <c r="D42" s="8">
        <f>SUM(D37:D41)</f>
        <v>45765516.113304526</v>
      </c>
      <c r="E42" s="8">
        <f t="shared" ref="E42" si="7">SUM(E37:E41)</f>
        <v>33125220.373700514</v>
      </c>
    </row>
    <row r="44" spans="2:12" x14ac:dyDescent="0.25">
      <c r="B44" s="2" t="s">
        <v>29</v>
      </c>
    </row>
    <row r="46" spans="2:12" x14ac:dyDescent="0.25">
      <c r="C46" s="1" t="s">
        <v>30</v>
      </c>
      <c r="D46" s="5">
        <v>18664222.098732669</v>
      </c>
      <c r="E46" s="5">
        <v>11709513.234345529</v>
      </c>
    </row>
    <row r="47" spans="2:12" x14ac:dyDescent="0.25">
      <c r="C47" s="1" t="s">
        <v>31</v>
      </c>
      <c r="D47" s="5">
        <v>31271510.611030985</v>
      </c>
      <c r="E47" s="5">
        <v>19619042.541435882</v>
      </c>
    </row>
    <row r="48" spans="2:12" x14ac:dyDescent="0.25">
      <c r="C48" s="1" t="s">
        <v>32</v>
      </c>
      <c r="D48" s="5">
        <f>(D47*(0.21/(1-0.21)))</f>
        <v>8312680.0358436788</v>
      </c>
      <c r="E48" s="5">
        <f t="shared" ref="E48" si="8">(E47*(0.21/(1-0.21)))</f>
        <v>5215188.5236728294</v>
      </c>
    </row>
    <row r="50" spans="2:5" x14ac:dyDescent="0.25">
      <c r="C50" s="1" t="s">
        <v>33</v>
      </c>
      <c r="D50" s="5">
        <f>SUM(D46:D48)</f>
        <v>58248412.745607331</v>
      </c>
      <c r="E50" s="5">
        <f t="shared" ref="E50" si="9">SUM(E46:E48)</f>
        <v>36543744.299454242</v>
      </c>
    </row>
    <row r="52" spans="2:5" x14ac:dyDescent="0.25">
      <c r="C52" s="1" t="s">
        <v>34</v>
      </c>
      <c r="D52" s="5">
        <f>D34</f>
        <v>26138476.149149939</v>
      </c>
      <c r="E52" s="5">
        <f t="shared" ref="E52" si="10">E34</f>
        <v>5257784.2431027694</v>
      </c>
    </row>
    <row r="53" spans="2:5" x14ac:dyDescent="0.25">
      <c r="C53" s="1" t="s">
        <v>22</v>
      </c>
      <c r="D53" s="5">
        <f>D42</f>
        <v>45765516.113304526</v>
      </c>
      <c r="E53" s="5">
        <f t="shared" ref="E53" si="11">E42</f>
        <v>33125220.373700514</v>
      </c>
    </row>
    <row r="55" spans="2:5" x14ac:dyDescent="0.25">
      <c r="C55" s="1" t="s">
        <v>35</v>
      </c>
      <c r="D55" s="5">
        <f>SUM(D50:D53)</f>
        <v>130152405.0080618</v>
      </c>
      <c r="E55" s="5">
        <f t="shared" ref="E55" si="12">SUM(E50:E53)</f>
        <v>74926748.91625753</v>
      </c>
    </row>
    <row r="56" spans="2:5" x14ac:dyDescent="0.25">
      <c r="C56" s="1" t="s">
        <v>36</v>
      </c>
      <c r="D56" s="11">
        <v>0.95469999999999999</v>
      </c>
      <c r="E56" s="11">
        <v>0.95469999999999999</v>
      </c>
    </row>
    <row r="57" spans="2:5" x14ac:dyDescent="0.25">
      <c r="B57" s="6"/>
      <c r="C57" s="6"/>
      <c r="D57" s="6"/>
      <c r="E57" s="6"/>
    </row>
    <row r="58" spans="2:5" x14ac:dyDescent="0.25">
      <c r="B58" s="2" t="s">
        <v>37</v>
      </c>
      <c r="C58" s="2"/>
      <c r="D58" s="5">
        <f>D55/D56</f>
        <v>136328066.41674012</v>
      </c>
      <c r="E58" s="5">
        <f t="shared" ref="E58" si="13">E55/E56</f>
        <v>78481982.734112844</v>
      </c>
    </row>
    <row r="60" spans="2:5" x14ac:dyDescent="0.25">
      <c r="C60" s="1" t="s">
        <v>38</v>
      </c>
      <c r="D60" s="12">
        <v>812905.5</v>
      </c>
      <c r="E60" s="12">
        <v>57904.166666666664</v>
      </c>
    </row>
    <row r="61" spans="2:5" x14ac:dyDescent="0.25">
      <c r="C61" s="1" t="s">
        <v>39</v>
      </c>
      <c r="D61" s="12">
        <f>D60*12</f>
        <v>9754866</v>
      </c>
      <c r="E61" s="12">
        <f t="shared" ref="E61" si="14">E60*12</f>
        <v>694850</v>
      </c>
    </row>
    <row r="62" spans="2:5" ht="15.75" thickBot="1" x14ac:dyDescent="0.3">
      <c r="B62" s="13"/>
      <c r="C62" s="13"/>
      <c r="D62" s="13"/>
      <c r="E62" s="13"/>
    </row>
    <row r="63" spans="2:5" ht="15.75" thickTop="1" x14ac:dyDescent="0.25">
      <c r="B63" s="2" t="s">
        <v>40</v>
      </c>
      <c r="D63" s="14">
        <f>D58/D61</f>
        <v>13.975390991197637</v>
      </c>
      <c r="E63" s="14">
        <f t="shared" ref="E63" si="15">E58/E61</f>
        <v>112.94809345054738</v>
      </c>
    </row>
    <row r="65" spans="2:2" hidden="1" x14ac:dyDescent="0.25"/>
    <row r="66" spans="2:2" ht="12.95" hidden="1" customHeight="1" x14ac:dyDescent="0.25"/>
    <row r="67" spans="2:2" x14ac:dyDescent="0.25">
      <c r="B67" s="1" t="s">
        <v>41</v>
      </c>
    </row>
    <row r="68" spans="2:2" x14ac:dyDescent="0.25">
      <c r="B68" s="1" t="s">
        <v>42</v>
      </c>
    </row>
  </sheetData>
  <mergeCells count="2">
    <mergeCell ref="B5:E5"/>
    <mergeCell ref="B6:E6"/>
  </mergeCells>
  <printOptions horizontalCentered="1"/>
  <pageMargins left="0.7" right="0.7" top="0.75" bottom="0.75" header="0.3" footer="0.3"/>
  <pageSetup scale="74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2024-08-06T17:57:43+00:00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2882FC0-5CE4-4F2A-AA48-9154FCB72F80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89a46536-e78d-4d6c-8a03-83d02364c101"/>
    <ds:schemaRef ds:uri="205a9df3-79aa-4020-ad5d-febd6588ded0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8423C7-4782-43E7-8997-1FE246B031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1C048-54DC-4B79-90E1-FE94145F9741}"/>
</file>

<file path=customXml/itemProps4.xml><?xml version="1.0" encoding="utf-8"?>
<ds:datastoreItem xmlns:ds="http://schemas.openxmlformats.org/officeDocument/2006/customXml" ds:itemID="{65DE86CC-062A-4BF1-92AA-4C10E2A1AA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Customer Cost</vt:lpstr>
      <vt:lpstr>'Customer Cost'!Print_Area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Dolen</dc:creator>
  <cp:lastModifiedBy>Gafken, Lisa (ATG)</cp:lastModifiedBy>
  <dcterms:created xsi:type="dcterms:W3CDTF">2024-07-29T17:28:31Z</dcterms:created>
  <dcterms:modified xsi:type="dcterms:W3CDTF">2024-07-29T18:48:14Z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