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01 PF Revenue Normalization\"/>
    </mc:Choice>
  </mc:AlternateContent>
  <xr:revisionPtr revIDLastSave="0" documentId="13_ncr:1_{AA5C03E3-FB71-41D4-B082-234D081E6181}" xr6:coauthVersionLast="44" xr6:coauthVersionMax="44" xr10:uidLastSave="{00000000-0000-0000-0000-000000000000}"/>
  <bookViews>
    <workbookView xWindow="1905" yWindow="30" windowWidth="13440" windowHeight="16200" xr2:uid="{00000000-000D-0000-FFFF-FFFF00000000}"/>
  </bookViews>
  <sheets>
    <sheet name="PF Revenue Adj" sheetId="16" r:id="rId1"/>
    <sheet name="Reconcile ROO to Restated" sheetId="15" r:id="rId2"/>
    <sheet name="2010" sheetId="11" state="hidden" r:id="rId3"/>
    <sheet name="2010 Component Analysis" sheetId="14" state="hidden" r:id="rId4"/>
  </sheets>
  <externalReferences>
    <externalReference r:id="rId5"/>
  </externalReferences>
  <definedNames>
    <definedName name="_xlnm.Print_Area" localSheetId="2">'2010'!$A$1:$H$64</definedName>
    <definedName name="_xlnm.Print_Area" localSheetId="0">'PF Revenue Adj'!$A$1:$J$32</definedName>
    <definedName name="_xlnm.Print_Area" localSheetId="1">'Reconcile ROO to Restated'!$A$1:$N$56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0" i="15" l="1"/>
  <c r="G17" i="15"/>
  <c r="M51" i="15"/>
  <c r="M50" i="15"/>
  <c r="M49" i="15"/>
  <c r="D46" i="15" l="1"/>
  <c r="D41" i="15"/>
  <c r="D28" i="15" l="1"/>
  <c r="D27" i="15"/>
  <c r="D25" i="15" s="1"/>
  <c r="D26" i="15"/>
  <c r="D18" i="15"/>
  <c r="E36" i="15" l="1"/>
  <c r="K21" i="15" l="1"/>
  <c r="F22" i="15"/>
  <c r="G22" i="15"/>
  <c r="H22" i="15"/>
  <c r="I22" i="15"/>
  <c r="J22" i="15"/>
  <c r="E22" i="15"/>
  <c r="D21" i="15"/>
  <c r="L21" i="15" s="1"/>
  <c r="D24" i="15" l="1"/>
  <c r="G29" i="15"/>
  <c r="K29" i="15" s="1"/>
  <c r="L29" i="15" s="1"/>
  <c r="G27" i="15"/>
  <c r="E32" i="15" l="1"/>
  <c r="F32" i="15"/>
  <c r="G32" i="15"/>
  <c r="H32" i="15"/>
  <c r="I32" i="15"/>
  <c r="J32" i="15"/>
  <c r="K25" i="15" l="1"/>
  <c r="K24" i="15"/>
  <c r="K20" i="15"/>
  <c r="I39" i="15"/>
  <c r="I37" i="15"/>
  <c r="L20" i="15" l="1"/>
  <c r="L22" i="15" s="1"/>
  <c r="K22" i="15"/>
  <c r="L25" i="15"/>
  <c r="G48" i="15" l="1"/>
  <c r="K48" i="15" s="1"/>
  <c r="L48" i="15" s="1"/>
  <c r="I21" i="16" l="1"/>
  <c r="I19" i="16"/>
  <c r="I20" i="16" l="1"/>
  <c r="K30" i="15"/>
  <c r="L30" i="15" s="1"/>
  <c r="D14" i="16" s="1"/>
  <c r="G14" i="16" s="1"/>
  <c r="H14" i="16" s="1"/>
  <c r="H18" i="15" l="1"/>
  <c r="H33" i="15" s="1"/>
  <c r="K7" i="15"/>
  <c r="D32" i="15" l="1"/>
  <c r="D33" i="15" s="1"/>
  <c r="L24" i="15"/>
  <c r="K27" i="15"/>
  <c r="L27" i="15" s="1"/>
  <c r="E52" i="15" l="1"/>
  <c r="G38" i="15" l="1"/>
  <c r="H51" i="15" l="1"/>
  <c r="H50" i="15"/>
  <c r="H49" i="15"/>
  <c r="H52" i="15" l="1"/>
  <c r="H54" i="15" s="1"/>
  <c r="G41" i="15"/>
  <c r="K31" i="15" l="1"/>
  <c r="L31" i="15" l="1"/>
  <c r="K39" i="15"/>
  <c r="L39" i="15" s="1"/>
  <c r="D15" i="16" l="1"/>
  <c r="G15" i="16" s="1"/>
  <c r="H15" i="16" s="1"/>
  <c r="K28" i="15"/>
  <c r="G40" i="15"/>
  <c r="K40" i="15" s="1"/>
  <c r="L40" i="15" s="1"/>
  <c r="L28" i="15" l="1"/>
  <c r="K26" i="15"/>
  <c r="K32" i="15" s="1"/>
  <c r="D13" i="16" l="1"/>
  <c r="G13" i="16" s="1"/>
  <c r="H13" i="16" s="1"/>
  <c r="L26" i="15"/>
  <c r="L32" i="15" s="1"/>
  <c r="G42" i="15" l="1"/>
  <c r="K38" i="15"/>
  <c r="L38" i="15" s="1"/>
  <c r="K36" i="15"/>
  <c r="L36" i="15" s="1"/>
  <c r="G44" i="15"/>
  <c r="G45" i="15"/>
  <c r="G46" i="15"/>
  <c r="G47" i="15"/>
  <c r="K47" i="15" s="1"/>
  <c r="L47" i="15" s="1"/>
  <c r="K41" i="15"/>
  <c r="L41" i="15" s="1"/>
  <c r="K37" i="15"/>
  <c r="L37" i="15" s="1"/>
  <c r="G43" i="15"/>
  <c r="K43" i="15" s="1"/>
  <c r="L43" i="15" s="1"/>
  <c r="K45" i="15" l="1"/>
  <c r="L45" i="15" s="1"/>
  <c r="K46" i="15"/>
  <c r="L46" i="15" s="1"/>
  <c r="K44" i="15"/>
  <c r="L44" i="15" s="1"/>
  <c r="D49" i="15"/>
  <c r="D51" i="15"/>
  <c r="D50" i="15"/>
  <c r="K42" i="15"/>
  <c r="L42" i="15" s="1"/>
  <c r="F18" i="15" l="1"/>
  <c r="F33" i="15" s="1"/>
  <c r="E18" i="15"/>
  <c r="E33" i="15" s="1"/>
  <c r="L6" i="15"/>
  <c r="L7" i="15"/>
  <c r="D8" i="16" s="1"/>
  <c r="K8" i="15"/>
  <c r="K5" i="15"/>
  <c r="E54" i="15" l="1"/>
  <c r="F51" i="15"/>
  <c r="F50" i="15"/>
  <c r="F49" i="15"/>
  <c r="D8" i="15"/>
  <c r="L8" i="15" l="1"/>
  <c r="F52" i="15"/>
  <c r="F54" i="15" s="1"/>
  <c r="G8" i="16"/>
  <c r="H8" i="16" s="1"/>
  <c r="I22" i="16"/>
  <c r="I29" i="16" s="1"/>
  <c r="F11" i="16"/>
  <c r="M52" i="15"/>
  <c r="M53" i="15" l="1"/>
  <c r="I16" i="15" l="1"/>
  <c r="I18" i="15" s="1"/>
  <c r="G10" i="15"/>
  <c r="K10" i="15" s="1"/>
  <c r="D10" i="15" s="1"/>
  <c r="L10" i="15" s="1"/>
  <c r="G16" i="15"/>
  <c r="G11" i="15"/>
  <c r="K11" i="15" s="1"/>
  <c r="D11" i="15" s="1"/>
  <c r="L11" i="15" s="1"/>
  <c r="G12" i="15"/>
  <c r="K12" i="15" s="1"/>
  <c r="G15" i="15"/>
  <c r="K15" i="15" s="1"/>
  <c r="D15" i="15" s="1"/>
  <c r="G9" i="15"/>
  <c r="G14" i="15"/>
  <c r="K14" i="15" s="1"/>
  <c r="I33" i="15" l="1"/>
  <c r="I49" i="15"/>
  <c r="I51" i="15"/>
  <c r="K16" i="15"/>
  <c r="D16" i="15" s="1"/>
  <c r="L16" i="15" s="1"/>
  <c r="L15" i="15"/>
  <c r="D14" i="15"/>
  <c r="L14" i="15" s="1"/>
  <c r="D12" i="15"/>
  <c r="L12" i="15" s="1"/>
  <c r="J18" i="15"/>
  <c r="J33" i="15" s="1"/>
  <c r="K13" i="15"/>
  <c r="D13" i="15" s="1"/>
  <c r="K9" i="15"/>
  <c r="D9" i="15" s="1"/>
  <c r="D5" i="15" l="1"/>
  <c r="L5" i="15" s="1"/>
  <c r="D6" i="16" s="1"/>
  <c r="G6" i="16" s="1"/>
  <c r="I52" i="15"/>
  <c r="I54" i="15" s="1"/>
  <c r="J50" i="15"/>
  <c r="J51" i="15"/>
  <c r="J49" i="15"/>
  <c r="L9" i="15"/>
  <c r="L13" i="15"/>
  <c r="H6" i="16" l="1"/>
  <c r="J52" i="15"/>
  <c r="J54" i="15" s="1"/>
  <c r="I11" i="14" l="1"/>
  <c r="I12" i="14" s="1"/>
  <c r="I16" i="14" s="1"/>
  <c r="G41" i="14"/>
  <c r="G40" i="14"/>
  <c r="G38" i="14"/>
  <c r="G36" i="14"/>
  <c r="F36" i="14"/>
  <c r="C36" i="14"/>
  <c r="G35" i="14"/>
  <c r="F35" i="14"/>
  <c r="C35" i="14"/>
  <c r="G34" i="14"/>
  <c r="F34" i="14"/>
  <c r="C34" i="14"/>
  <c r="K30" i="14"/>
  <c r="K32" i="14" s="1"/>
  <c r="J30" i="14"/>
  <c r="J32" i="14" s="1"/>
  <c r="I30" i="14"/>
  <c r="I32" i="14" s="1"/>
  <c r="H30" i="14"/>
  <c r="H32" i="14" s="1"/>
  <c r="E30" i="14"/>
  <c r="E32" i="14" s="1"/>
  <c r="D30" i="14"/>
  <c r="D32" i="14" s="1"/>
  <c r="L29" i="14"/>
  <c r="L28" i="14"/>
  <c r="L27" i="14"/>
  <c r="L26" i="14"/>
  <c r="L25" i="14"/>
  <c r="L20" i="14"/>
  <c r="L14" i="14"/>
  <c r="K12" i="14"/>
  <c r="K16" i="14" s="1"/>
  <c r="J12" i="14"/>
  <c r="J16" i="14" s="1"/>
  <c r="H12" i="14"/>
  <c r="H16" i="14" s="1"/>
  <c r="E12" i="14"/>
  <c r="E16" i="14" s="1"/>
  <c r="D12" i="14"/>
  <c r="D16" i="14" s="1"/>
  <c r="L10" i="14"/>
  <c r="L30" i="14" l="1"/>
  <c r="F38" i="14"/>
  <c r="F40" i="14" s="1"/>
  <c r="F41" i="14" s="1"/>
  <c r="C38" i="14"/>
  <c r="C40" i="14" s="1"/>
  <c r="C41" i="14" s="1"/>
  <c r="D36" i="14"/>
  <c r="D35" i="14"/>
  <c r="D34" i="14"/>
  <c r="H36" i="14"/>
  <c r="H35" i="14"/>
  <c r="H34" i="14"/>
  <c r="K36" i="14"/>
  <c r="K35" i="14"/>
  <c r="K34" i="14"/>
  <c r="I36" i="14"/>
  <c r="I35" i="14"/>
  <c r="I34" i="14"/>
  <c r="E36" i="14"/>
  <c r="E35" i="14"/>
  <c r="E34" i="14"/>
  <c r="J36" i="14"/>
  <c r="J35" i="14"/>
  <c r="J34" i="14"/>
  <c r="L12" i="14"/>
  <c r="L16" i="14" s="1"/>
  <c r="L32" i="14"/>
  <c r="L11" i="14"/>
  <c r="K38" i="14" l="1"/>
  <c r="K40" i="14" s="1"/>
  <c r="I38" i="14"/>
  <c r="I40" i="14" s="1"/>
  <c r="H38" i="14"/>
  <c r="H40" i="14" s="1"/>
  <c r="H41" i="14" s="1"/>
  <c r="H42" i="14" s="1"/>
  <c r="E38" i="14"/>
  <c r="E40" i="14" s="1"/>
  <c r="E41" i="14" s="1"/>
  <c r="E42" i="14" s="1"/>
  <c r="D38" i="14"/>
  <c r="D40" i="14" s="1"/>
  <c r="D41" i="14" s="1"/>
  <c r="D42" i="14" s="1"/>
  <c r="J38" i="14"/>
  <c r="J40" i="14" s="1"/>
  <c r="J41" i="14" s="1"/>
  <c r="J42" i="14" s="1"/>
  <c r="I41" i="14"/>
  <c r="I42" i="14" s="1"/>
  <c r="K41" i="14"/>
  <c r="K42" i="14" s="1"/>
  <c r="L35" i="14"/>
  <c r="L34" i="14"/>
  <c r="L36" i="14"/>
  <c r="L38" i="14" l="1"/>
  <c r="L40" i="14" s="1"/>
  <c r="L41" i="14" s="1"/>
  <c r="L42" i="14" s="1"/>
  <c r="C23" i="11" l="1"/>
  <c r="C8" i="11" l="1"/>
  <c r="E13" i="11" l="1"/>
  <c r="F13" i="11" s="1"/>
  <c r="E8" i="11"/>
  <c r="F8" i="11" s="1"/>
  <c r="E24" i="11"/>
  <c r="C19" i="11"/>
  <c r="E19" i="11" s="1"/>
  <c r="C26" i="11"/>
  <c r="E26" i="11" s="1"/>
  <c r="F26" i="11" s="1"/>
  <c r="E7" i="11"/>
  <c r="E12" i="11"/>
  <c r="F12" i="11" s="1"/>
  <c r="E11" i="11"/>
  <c r="C16" i="11"/>
  <c r="G30" i="11"/>
  <c r="E25" i="11"/>
  <c r="F25" i="11" s="1"/>
  <c r="E22" i="11"/>
  <c r="F22" i="11" s="1"/>
  <c r="E21" i="11"/>
  <c r="F21" i="11" s="1"/>
  <c r="F49" i="11" s="1"/>
  <c r="E20" i="11"/>
  <c r="E6" i="11"/>
  <c r="F6" i="11" s="1"/>
  <c r="G37" i="11" l="1"/>
  <c r="C9" i="11"/>
  <c r="E10" i="11"/>
  <c r="E23" i="11"/>
  <c r="F23" i="11" s="1"/>
  <c r="F50" i="11" s="1"/>
  <c r="F56" i="11"/>
  <c r="E15" i="11"/>
  <c r="F15" i="11" s="1"/>
  <c r="F45" i="11" s="1"/>
  <c r="C4" i="11"/>
  <c r="D14" i="11"/>
  <c r="D16" i="11" l="1"/>
  <c r="E9" i="11"/>
  <c r="F9" i="11" s="1"/>
  <c r="E4" i="11"/>
  <c r="F4" i="11" s="1"/>
  <c r="F14" i="11" l="1"/>
  <c r="E14" i="11"/>
  <c r="E16" i="11" s="1"/>
  <c r="F44" i="11" l="1"/>
  <c r="F16" i="11"/>
  <c r="F28" i="11" s="1"/>
  <c r="F55" i="11" s="1"/>
  <c r="F27" i="11" l="1"/>
  <c r="F53" i="11" s="1"/>
  <c r="F29" i="11"/>
  <c r="F59" i="11" s="1"/>
  <c r="G36" i="11"/>
  <c r="G38" i="11" s="1"/>
  <c r="F62" i="11" l="1"/>
  <c r="F64" i="11" s="1"/>
  <c r="F30" i="11"/>
  <c r="F32" i="11" s="1"/>
  <c r="F33" i="11" s="1"/>
  <c r="F34" i="11" s="1"/>
  <c r="G39" i="11"/>
  <c r="G40" i="11" s="1"/>
  <c r="F65" i="11" l="1"/>
  <c r="G18" i="15" l="1"/>
  <c r="G33" i="15" s="1"/>
  <c r="K17" i="15"/>
  <c r="L17" i="15" s="1"/>
  <c r="G49" i="15" l="1"/>
  <c r="K49" i="15" s="1"/>
  <c r="G50" i="15"/>
  <c r="K50" i="15" s="1"/>
  <c r="L50" i="15" s="1"/>
  <c r="G51" i="15"/>
  <c r="K51" i="15" s="1"/>
  <c r="L51" i="15" s="1"/>
  <c r="L18" i="15"/>
  <c r="L33" i="15" s="1"/>
  <c r="D10" i="16"/>
  <c r="K18" i="15"/>
  <c r="K33" i="15" s="1"/>
  <c r="G10" i="16" l="1"/>
  <c r="H10" i="16" s="1"/>
  <c r="H11" i="16" s="1"/>
  <c r="I28" i="16" s="1"/>
  <c r="D11" i="16"/>
  <c r="D16" i="16" s="1"/>
  <c r="L49" i="15"/>
  <c r="L52" i="15" s="1"/>
  <c r="L54" i="15" s="1"/>
  <c r="K52" i="15"/>
  <c r="D52" i="15"/>
  <c r="D54" i="15" s="1"/>
  <c r="G52" i="15"/>
  <c r="G54" i="15" s="1"/>
  <c r="K54" i="15" l="1"/>
  <c r="H19" i="16"/>
  <c r="H16" i="16"/>
  <c r="H21" i="16"/>
  <c r="H20" i="16"/>
  <c r="I30" i="16"/>
  <c r="G11" i="16"/>
  <c r="G16" i="16" s="1"/>
  <c r="I31" i="16" l="1"/>
  <c r="I32" i="16" s="1"/>
  <c r="H22" i="16"/>
  <c r="H24" i="16" s="1"/>
  <c r="H25" i="16" s="1"/>
  <c r="H26" i="16" s="1"/>
  <c r="F16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G1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added rounding</t>
        </r>
      </text>
    </comment>
  </commentList>
</comments>
</file>

<file path=xl/sharedStrings.xml><?xml version="1.0" encoding="utf-8"?>
<sst xmlns="http://schemas.openxmlformats.org/spreadsheetml/2006/main" count="296" uniqueCount="174">
  <si>
    <t>Actuals</t>
  </si>
  <si>
    <t>Pro-Forma</t>
  </si>
  <si>
    <t>Adjust</t>
  </si>
  <si>
    <t>Expense</t>
  </si>
  <si>
    <t>Total Rev.</t>
  </si>
  <si>
    <t>Uncollectibles</t>
  </si>
  <si>
    <t>Commission Fees</t>
  </si>
  <si>
    <t>Sales to Ultimate Consumers</t>
  </si>
  <si>
    <t>Total</t>
  </si>
  <si>
    <t>Operating Income before FIT</t>
  </si>
  <si>
    <t>B&amp;O Tax</t>
  </si>
  <si>
    <t>State Excise Tax</t>
  </si>
  <si>
    <t>Net Operating Income</t>
  </si>
  <si>
    <t>Revenue</t>
  </si>
  <si>
    <t>FIT Expense</t>
  </si>
  <si>
    <t>Norm. Adj.</t>
  </si>
  <si>
    <t>Nominal Rate</t>
  </si>
  <si>
    <t>Effective Rate</t>
  </si>
  <si>
    <t>Rev related exp.</t>
  </si>
  <si>
    <t>check</t>
  </si>
  <si>
    <t>Diff</t>
  </si>
  <si>
    <t>Weather Normalization</t>
  </si>
  <si>
    <t>* zero in Pro-forma revenues</t>
  </si>
  <si>
    <t>Unbilled Revenue</t>
  </si>
  <si>
    <t>BPA Residential Exchange</t>
  </si>
  <si>
    <t>BPA Residential Exchange Unbilled</t>
  </si>
  <si>
    <t>Public Purpose Rider</t>
  </si>
  <si>
    <t>Public Purpose Rider Unbilled</t>
  </si>
  <si>
    <t xml:space="preserve">REVENUES  </t>
  </si>
  <si>
    <t xml:space="preserve">Total General Business  </t>
  </si>
  <si>
    <t xml:space="preserve">EXPENSES  </t>
  </si>
  <si>
    <t xml:space="preserve">Production and Transmission  </t>
  </si>
  <si>
    <t xml:space="preserve">Distribution  </t>
  </si>
  <si>
    <t xml:space="preserve">Customer Accounting  </t>
  </si>
  <si>
    <t xml:space="preserve">Customer Service &amp; Information  </t>
  </si>
  <si>
    <t xml:space="preserve">Administrative &amp; General  </t>
  </si>
  <si>
    <t xml:space="preserve">FEDERAL INCOME TAX  </t>
  </si>
  <si>
    <t xml:space="preserve">Current Accrual  </t>
  </si>
  <si>
    <t xml:space="preserve">NET OPERATING INCOME  </t>
  </si>
  <si>
    <t>for Commission Basis Adjustments file:</t>
  </si>
  <si>
    <t xml:space="preserve">Operating Expenses  </t>
  </si>
  <si>
    <t xml:space="preserve">Depreciation and Amortization  </t>
  </si>
  <si>
    <t xml:space="preserve">Taxes  </t>
  </si>
  <si>
    <t>Conver. Factor b4 FIT</t>
  </si>
  <si>
    <t>Power Cost Surcharge Amort. - ERM</t>
  </si>
  <si>
    <t>Power Cost Surcharge Amort. - ERM Unbilled</t>
  </si>
  <si>
    <t>Other Revenue</t>
  </si>
  <si>
    <t>amort only; excluding deferrals</t>
  </si>
  <si>
    <t xml:space="preserve">Special Contract--transfer to Other Op Rev. </t>
  </si>
  <si>
    <t>Sch 28 Waste-to-Egy</t>
  </si>
  <si>
    <t xml:space="preserve">   Rounding matches column B results</t>
  </si>
  <si>
    <t>WA Electric Revenue Normalization Adjustment--12-mo ended Dec 2010</t>
  </si>
  <si>
    <t>B&amp;O Tax - Sch 58</t>
  </si>
  <si>
    <t>Power Cost Surcharge - ERM Sch 93</t>
  </si>
  <si>
    <t>Public Purpose Rider - Sch 91</t>
  </si>
  <si>
    <t>Optional Renewable Power - Sch 95</t>
  </si>
  <si>
    <t>Optional Renewable Power - Revenue Offset</t>
  </si>
  <si>
    <t>Special Contract Revenue</t>
  </si>
  <si>
    <t>Base Rate Revenue</t>
  </si>
  <si>
    <t>BPA Residential Exchange Credit - Sch 59</t>
  </si>
  <si>
    <t>Adj. T</t>
  </si>
  <si>
    <t>Adj. Z</t>
  </si>
  <si>
    <t>Adj. AI</t>
  </si>
  <si>
    <t>WP Source</t>
  </si>
  <si>
    <t>Calc</t>
  </si>
  <si>
    <t>Avista Utilities</t>
  </si>
  <si>
    <t>Docket No. UE-110876 &amp; UG-110877</t>
  </si>
  <si>
    <t>Response to Staff Data Request No. 224</t>
  </si>
  <si>
    <t>Electric</t>
  </si>
  <si>
    <t>Electric Revenue Normalization Adjustment Segregated Components</t>
  </si>
  <si>
    <t>Eliminate Adder Schedules</t>
  </si>
  <si>
    <t>Transfer</t>
  </si>
  <si>
    <t>$000's</t>
  </si>
  <si>
    <t>B &amp; O Tax Revenue Sch 58</t>
  </si>
  <si>
    <t>Residential Exchange Sch 59</t>
  </si>
  <si>
    <t>Pub Purp Tariff Rider Sch 91</t>
  </si>
  <si>
    <t>ERM Surcharge Sch 93</t>
  </si>
  <si>
    <t>Sch 95</t>
  </si>
  <si>
    <t>Special Contract</t>
  </si>
  <si>
    <t>Re-pricing Billed Revenue</t>
  </si>
  <si>
    <t>Unbilled Revenue (1)</t>
  </si>
  <si>
    <t>REVENUES</t>
  </si>
  <si>
    <t>Pro forma Gen Bus Revenue</t>
  </si>
  <si>
    <t>Actual Gen Bus Revenue</t>
  </si>
  <si>
    <t>General Business Revenue Adjustment</t>
  </si>
  <si>
    <t>Adj T</t>
  </si>
  <si>
    <t>Adj Z</t>
  </si>
  <si>
    <t>Adj Al</t>
  </si>
  <si>
    <t>Other Revenue Adjustment</t>
  </si>
  <si>
    <t>Total Revenue Adjustment</t>
  </si>
  <si>
    <t>EXPENSES</t>
  </si>
  <si>
    <t>Pro Forma Expense</t>
  </si>
  <si>
    <t>Optional Renewable Power - Rev Offset</t>
  </si>
  <si>
    <t>Power Cost Surcharge Amort - ERM</t>
  </si>
  <si>
    <t>Power Cost Surcharge Amort - ERM Unbilled</t>
  </si>
  <si>
    <t>BPA Residential Exchange Amort</t>
  </si>
  <si>
    <t>BPA Residential Exchange Amort unbilled</t>
  </si>
  <si>
    <t>Public Purpose Rider Offset Expense</t>
  </si>
  <si>
    <t>Public Purpose Rider Offset Expense Unbilled</t>
  </si>
  <si>
    <t>Actual per Books Expense</t>
  </si>
  <si>
    <t>Adj X</t>
  </si>
  <si>
    <t>Expense Adjustment</t>
  </si>
  <si>
    <t>Total Expense Adjustment</t>
  </si>
  <si>
    <t>(1)  Adder schedule revenues in unbilled are segregated on workpapers TLK-R-19</t>
  </si>
  <si>
    <t>Eliminate</t>
  </si>
  <si>
    <t>B&amp;O Taxes</t>
  </si>
  <si>
    <t>Weather</t>
  </si>
  <si>
    <t>Normalization</t>
  </si>
  <si>
    <t>Adder Sched</t>
  </si>
  <si>
    <t>Eliminate WA</t>
  </si>
  <si>
    <t>Power Cost Def</t>
  </si>
  <si>
    <t>Base Revenue</t>
  </si>
  <si>
    <t>B&amp;O</t>
  </si>
  <si>
    <t>EWPC</t>
  </si>
  <si>
    <t>BPA Capacity Support Rebate - Sch 94</t>
  </si>
  <si>
    <t>Billed Base Rate Revenue</t>
  </si>
  <si>
    <t>CF</t>
  </si>
  <si>
    <t>Expense Gross Up Factor</t>
  </si>
  <si>
    <t>BPA Capacity Support Amort</t>
  </si>
  <si>
    <t xml:space="preserve">BPA Capacity Support Unbilled </t>
  </si>
  <si>
    <t>EAS-2</t>
  </si>
  <si>
    <t>ROO</t>
  </si>
  <si>
    <t>ROO / Calc</t>
  </si>
  <si>
    <t>Pro Forma</t>
  </si>
  <si>
    <t>Revenue Adj</t>
  </si>
  <si>
    <t>Net Revenue</t>
  </si>
  <si>
    <t xml:space="preserve">     Total Revenue</t>
  </si>
  <si>
    <t>CB Restated</t>
  </si>
  <si>
    <t>PF</t>
  </si>
  <si>
    <t>E-PREV-2</t>
  </si>
  <si>
    <t>E-PREV-5</t>
  </si>
  <si>
    <t>REC Rev Rebate Amort.</t>
  </si>
  <si>
    <t>REC Rev Rebate Unbilled Amort</t>
  </si>
  <si>
    <t>REC Revenue Rebate - Sch 98</t>
  </si>
  <si>
    <t xml:space="preserve"> Decoupling deferred revenue is net of revenue related expenses to be paid with recovery through surcharge or rebate in a later period.</t>
  </si>
  <si>
    <t>Decoupled Deferred Revenue</t>
  </si>
  <si>
    <t xml:space="preserve"> Weather adj excludes weather related revenue captured in decoupling mechanism (began January 2015)</t>
  </si>
  <si>
    <t>Pro Forma includes Sch 25 unbilled in this total</t>
  </si>
  <si>
    <t>Restating</t>
  </si>
  <si>
    <t>Misc</t>
  </si>
  <si>
    <t>Other Revenue - Decoupling Deferred Revenue</t>
  </si>
  <si>
    <t>Other Revenue - Decoupling Amortization</t>
  </si>
  <si>
    <t>Provision For Rate Refund - Decoupling</t>
  </si>
  <si>
    <t>Provision For Rate Refund - Tax Reform</t>
  </si>
  <si>
    <t>Tax Reform Refund - Sch 74</t>
  </si>
  <si>
    <t>Tax Reform Amortization</t>
  </si>
  <si>
    <t>Commission Basis</t>
  </si>
  <si>
    <t>Power Supply Adj</t>
  </si>
  <si>
    <t>Other Revenue - Misc</t>
  </si>
  <si>
    <t>Other Revenue - ERM Related</t>
  </si>
  <si>
    <t>ROO / B&amp;O</t>
  </si>
  <si>
    <t>Other Revenue - From Electric Property</t>
  </si>
  <si>
    <t xml:space="preserve">     Total Other Revenue</t>
  </si>
  <si>
    <t>Public Purpose Rider - Sch 89/91/92</t>
  </si>
  <si>
    <t>ROO/EAS</t>
  </si>
  <si>
    <t>ROO/WN</t>
  </si>
  <si>
    <t>ROO/MR</t>
  </si>
  <si>
    <t>Decoupling Amort - Sch 75</t>
  </si>
  <si>
    <t>Normalized Restated</t>
  </si>
  <si>
    <t>Other Revenue - Contra Decoupling Deferral</t>
  </si>
  <si>
    <t>Elim Decoupling Earnings Sharing in Test Period</t>
  </si>
  <si>
    <t>E-APS</t>
  </si>
  <si>
    <t>Sales for Resale Revenue - Other</t>
  </si>
  <si>
    <t xml:space="preserve">     Total Sales for Resale Revenue</t>
  </si>
  <si>
    <t>Sales for Resale Revenue - ERM Related</t>
  </si>
  <si>
    <t>Solar Select</t>
  </si>
  <si>
    <t>WA Electric Revenue Normalization Adjustment--12-mo ended December 31, 2019</t>
  </si>
  <si>
    <t>Rates Effective April 1st, 2020</t>
  </si>
  <si>
    <t>WA Electric Normalized Revenue --12-months ended December 31, 2019</t>
  </si>
  <si>
    <t>Line</t>
  </si>
  <si>
    <t>Elim 2019 Decoupling deferrals - GRC resets Base</t>
  </si>
  <si>
    <t>Elim Tax Reform Deferral true-up entry</t>
  </si>
  <si>
    <t>Schedule 25 Unbilled per books was -$42</t>
  </si>
  <si>
    <t>Rounding matches column 1.00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</si>
</sst>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00,"/>
    <numFmt numFmtId="165" formatCode="0.000000"/>
    <numFmt numFmtId="166" formatCode="0.0000%"/>
    <numFmt numFmtId="167" formatCode="&quot;$&quot;#,##0"/>
    <numFmt numFmtId="168" formatCode="#,##0;\-#,##0;"/>
    <numFmt numFmtId="169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color rgb="FF00B05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5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/>
    <xf numFmtId="165" fontId="0" fillId="0" borderId="0" xfId="0" applyNumberFormat="1"/>
    <xf numFmtId="164" fontId="0" fillId="0" borderId="0" xfId="0" applyNumberFormat="1" applyBorder="1"/>
    <xf numFmtId="3" fontId="1" fillId="0" borderId="0" xfId="0" applyNumberFormat="1" applyFont="1" applyFill="1"/>
    <xf numFmtId="3" fontId="3" fillId="0" borderId="0" xfId="0" applyNumberFormat="1" applyFont="1" applyFill="1" applyBorder="1"/>
    <xf numFmtId="3" fontId="1" fillId="0" borderId="0" xfId="0" applyNumberFormat="1" applyFont="1"/>
    <xf numFmtId="3" fontId="3" fillId="0" borderId="0" xfId="0" applyNumberFormat="1" applyFont="1" applyFill="1"/>
    <xf numFmtId="3" fontId="3" fillId="0" borderId="0" xfId="0" applyNumberFormat="1" applyFont="1" applyBorder="1"/>
    <xf numFmtId="3" fontId="3" fillId="0" borderId="1" xfId="0" applyNumberFormat="1" applyFont="1" applyFill="1" applyBorder="1"/>
    <xf numFmtId="3" fontId="1" fillId="0" borderId="1" xfId="0" applyNumberFormat="1" applyFont="1" applyBorder="1"/>
    <xf numFmtId="3" fontId="1" fillId="0" borderId="1" xfId="0" applyNumberFormat="1" applyFont="1" applyFill="1" applyBorder="1"/>
    <xf numFmtId="3" fontId="0" fillId="0" borderId="0" xfId="0" applyNumberFormat="1" applyFill="1"/>
    <xf numFmtId="3" fontId="1" fillId="0" borderId="0" xfId="0" applyNumberFormat="1" applyFont="1" applyBorder="1"/>
    <xf numFmtId="3" fontId="3" fillId="2" borderId="0" xfId="0" applyNumberFormat="1" applyFont="1" applyFill="1"/>
    <xf numFmtId="3" fontId="3" fillId="2" borderId="0" xfId="0" applyNumberFormat="1" applyFont="1" applyFill="1" applyBorder="1"/>
    <xf numFmtId="3" fontId="1" fillId="2" borderId="0" xfId="0" applyNumberFormat="1" applyFont="1" applyFill="1" applyBorder="1"/>
    <xf numFmtId="3" fontId="0" fillId="0" borderId="1" xfId="0" applyNumberFormat="1" applyBorder="1"/>
    <xf numFmtId="0" fontId="6" fillId="0" borderId="0" xfId="0" applyFont="1"/>
    <xf numFmtId="0" fontId="4" fillId="0" borderId="0" xfId="0" applyFont="1" applyAlignment="1"/>
    <xf numFmtId="0" fontId="0" fillId="0" borderId="0" xfId="0" applyAlignment="1">
      <alignment horizontal="left" indent="1"/>
    </xf>
    <xf numFmtId="166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3" xfId="0" applyBorder="1"/>
    <xf numFmtId="3" fontId="0" fillId="0" borderId="3" xfId="0" applyNumberFormat="1" applyBorder="1"/>
    <xf numFmtId="3" fontId="1" fillId="0" borderId="2" xfId="0" applyNumberFormat="1" applyFont="1" applyBorder="1"/>
    <xf numFmtId="3" fontId="0" fillId="0" borderId="4" xfId="0" applyNumberFormat="1" applyBorder="1"/>
    <xf numFmtId="0" fontId="0" fillId="0" borderId="5" xfId="0" applyBorder="1"/>
    <xf numFmtId="0" fontId="7" fillId="0" borderId="0" xfId="0" applyFont="1"/>
    <xf numFmtId="0" fontId="0" fillId="0" borderId="0" xfId="0" applyAlignment="1">
      <alignment horizontal="center"/>
    </xf>
    <xf numFmtId="167" fontId="0" fillId="0" borderId="0" xfId="0" applyNumberFormat="1"/>
    <xf numFmtId="0" fontId="8" fillId="0" borderId="0" xfId="0" applyFont="1"/>
    <xf numFmtId="168" fontId="1" fillId="0" borderId="0" xfId="0" applyNumberFormat="1" applyFont="1" applyBorder="1"/>
    <xf numFmtId="3" fontId="0" fillId="0" borderId="3" xfId="0" applyNumberFormat="1" applyFill="1" applyBorder="1"/>
    <xf numFmtId="3" fontId="5" fillId="0" borderId="3" xfId="0" quotePrefix="1" applyNumberFormat="1" applyFont="1" applyFill="1" applyBorder="1" applyAlignment="1">
      <alignment horizontal="right"/>
    </xf>
    <xf numFmtId="0" fontId="4" fillId="0" borderId="0" xfId="0" applyFont="1"/>
    <xf numFmtId="0" fontId="0" fillId="0" borderId="0" xfId="0" applyFill="1"/>
    <xf numFmtId="9" fontId="1" fillId="0" borderId="0" xfId="0" applyNumberFormat="1" applyFont="1" applyFill="1"/>
    <xf numFmtId="168" fontId="10" fillId="0" borderId="0" xfId="0" applyNumberFormat="1" applyFont="1"/>
    <xf numFmtId="166" fontId="0" fillId="0" borderId="0" xfId="0" applyNumberFormat="1" applyFill="1"/>
    <xf numFmtId="166" fontId="11" fillId="0" borderId="0" xfId="0" applyNumberFormat="1" applyFont="1" applyFill="1"/>
    <xf numFmtId="3" fontId="9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165" fontId="0" fillId="0" borderId="0" xfId="0" applyNumberFormat="1" applyFill="1"/>
    <xf numFmtId="0" fontId="13" fillId="0" borderId="0" xfId="0" applyFont="1" applyAlignment="1"/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left" indent="1"/>
    </xf>
    <xf numFmtId="0" fontId="14" fillId="0" borderId="0" xfId="0" applyFont="1"/>
    <xf numFmtId="0" fontId="15" fillId="0" borderId="0" xfId="0" applyFont="1" applyAlignment="1"/>
    <xf numFmtId="3" fontId="13" fillId="0" borderId="0" xfId="0" applyNumberFormat="1" applyFont="1" applyFill="1"/>
    <xf numFmtId="3" fontId="16" fillId="0" borderId="0" xfId="0" applyNumberFormat="1" applyFont="1" applyFill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9" fontId="0" fillId="0" borderId="0" xfId="1" applyNumberFormat="1" applyFont="1"/>
    <xf numFmtId="169" fontId="0" fillId="0" borderId="1" xfId="0" applyNumberFormat="1" applyBorder="1" applyAlignment="1">
      <alignment horizontal="center"/>
    </xf>
    <xf numFmtId="169" fontId="0" fillId="0" borderId="1" xfId="0" applyNumberFormat="1" applyBorder="1"/>
    <xf numFmtId="169" fontId="0" fillId="0" borderId="1" xfId="1" applyNumberFormat="1" applyFont="1" applyBorder="1"/>
    <xf numFmtId="169" fontId="0" fillId="0" borderId="0" xfId="0" applyNumberFormat="1"/>
    <xf numFmtId="0" fontId="0" fillId="0" borderId="0" xfId="0" applyAlignment="1">
      <alignment horizontal="left"/>
    </xf>
    <xf numFmtId="169" fontId="0" fillId="0" borderId="0" xfId="1" applyNumberFormat="1" applyFont="1" applyBorder="1"/>
    <xf numFmtId="169" fontId="0" fillId="0" borderId="0" xfId="0" applyNumberFormat="1" applyBorder="1"/>
    <xf numFmtId="169" fontId="0" fillId="0" borderId="1" xfId="0" applyNumberFormat="1" applyBorder="1" applyAlignment="1">
      <alignment horizontal="left" indent="1"/>
    </xf>
    <xf numFmtId="169" fontId="0" fillId="0" borderId="0" xfId="0" applyNumberFormat="1" applyAlignment="1">
      <alignment horizontal="left" indent="1"/>
    </xf>
    <xf numFmtId="16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wrapText="1"/>
    </xf>
    <xf numFmtId="3" fontId="1" fillId="0" borderId="12" xfId="0" applyNumberFormat="1" applyFont="1" applyBorder="1"/>
    <xf numFmtId="0" fontId="0" fillId="0" borderId="0" xfId="0" applyFont="1" applyAlignment="1"/>
    <xf numFmtId="3" fontId="1" fillId="3" borderId="0" xfId="0" applyNumberFormat="1" applyFont="1" applyFill="1"/>
    <xf numFmtId="3" fontId="1" fillId="0" borderId="0" xfId="0" applyNumberFormat="1" applyFont="1" applyFill="1" applyBorder="1"/>
    <xf numFmtId="2" fontId="4" fillId="0" borderId="0" xfId="0" applyNumberFormat="1" applyFont="1" applyAlignment="1">
      <alignment horizontal="center"/>
    </xf>
    <xf numFmtId="3" fontId="0" fillId="3" borderId="0" xfId="0" applyNumberFormat="1" applyFill="1"/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13" fillId="0" borderId="0" xfId="0" applyFont="1" applyFill="1" applyAlignment="1">
      <alignment horizontal="left" indent="1"/>
    </xf>
    <xf numFmtId="3" fontId="16" fillId="0" borderId="1" xfId="0" applyNumberFormat="1" applyFont="1" applyFill="1" applyBorder="1"/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" fontId="11" fillId="0" borderId="0" xfId="0" applyNumberFormat="1" applyFont="1" applyFill="1"/>
    <xf numFmtId="3" fontId="11" fillId="0" borderId="0" xfId="0" applyNumberFormat="1" applyFont="1" applyFill="1" applyBorder="1"/>
    <xf numFmtId="166" fontId="17" fillId="0" borderId="0" xfId="0" applyNumberFormat="1" applyFont="1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9" fontId="11" fillId="0" borderId="0" xfId="1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1" fillId="0" borderId="3" xfId="0" applyNumberFormat="1" applyFont="1" applyBorder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14" xfId="0" applyNumberFormat="1" applyFont="1" applyFill="1" applyBorder="1"/>
    <xf numFmtId="3" fontId="4" fillId="0" borderId="15" xfId="0" applyNumberFormat="1" applyFont="1" applyFill="1" applyBorder="1"/>
    <xf numFmtId="3" fontId="4" fillId="0" borderId="0" xfId="0" applyNumberFormat="1" applyFont="1" applyFill="1" applyBorder="1"/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9" fontId="1" fillId="0" borderId="0" xfId="1" applyNumberFormat="1" applyFont="1"/>
    <xf numFmtId="3" fontId="1" fillId="0" borderId="3" xfId="0" applyNumberFormat="1" applyFont="1" applyFill="1" applyBorder="1"/>
    <xf numFmtId="3" fontId="4" fillId="0" borderId="2" xfId="0" applyNumberFormat="1" applyFont="1" applyFill="1" applyBorder="1"/>
    <xf numFmtId="3" fontId="20" fillId="0" borderId="1" xfId="0" applyNumberFormat="1" applyFont="1" applyFill="1" applyBorder="1"/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omma" xfId="1" builtinId="3"/>
    <cellStyle name="Normal" xfId="0" builtinId="0"/>
  </cellStyles>
  <dxfs count="4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2020%20WA%20Elec%20and%20Gas%20GRC/Adjustments/2019%20WA%20Electric%20RR%20Model%20AMA%20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cerno_Cache_XXXXX"/>
      <sheetName val="ADJ DETAIL-INPUT"/>
      <sheetName val="ADJ SUMMARY"/>
      <sheetName val="LEAD SHEETS-DO NOT ENTER"/>
      <sheetName val="ROO INPUT"/>
      <sheetName val="DEBT CALC"/>
      <sheetName val="COMPARISON"/>
      <sheetName val="Normalized ROE - Elec&amp;Gas"/>
      <sheetName val="COC table for settlement"/>
    </sheetNames>
    <sheetDataSet>
      <sheetData sheetId="0"/>
      <sheetData sheetId="1"/>
      <sheetData sheetId="2">
        <row r="12">
          <cell r="E12">
            <v>3.3262885794710221E-3</v>
          </cell>
        </row>
        <row r="14">
          <cell r="E14">
            <v>2E-3</v>
          </cell>
        </row>
        <row r="16">
          <cell r="E16">
            <v>3.8605159538162764E-2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2"/>
  <sheetViews>
    <sheetView tabSelected="1" topLeftCell="C1" zoomScaleNormal="100" zoomScaleSheetLayoutView="110" workbookViewId="0">
      <selection activeCell="I43" sqref="I43"/>
    </sheetView>
  </sheetViews>
  <sheetFormatPr defaultRowHeight="12.75" x14ac:dyDescent="0.2"/>
  <cols>
    <col min="1" max="1" width="4.7109375" customWidth="1"/>
    <col min="2" max="2" width="34.28515625" customWidth="1"/>
    <col min="3" max="3" width="11.140625" bestFit="1" customWidth="1"/>
    <col min="4" max="4" width="12.140625" bestFit="1" customWidth="1"/>
    <col min="5" max="5" width="11.140625" style="40" bestFit="1" customWidth="1"/>
    <col min="6" max="6" width="9.85546875" customWidth="1"/>
    <col min="7" max="7" width="7.28515625" bestFit="1" customWidth="1"/>
    <col min="8" max="8" width="12.85546875" bestFit="1" customWidth="1"/>
    <col min="9" max="9" width="9.28515625" customWidth="1"/>
    <col min="10" max="10" width="42" customWidth="1"/>
  </cols>
  <sheetData>
    <row r="1" spans="1:12" x14ac:dyDescent="0.2">
      <c r="A1" s="39" t="s">
        <v>166</v>
      </c>
    </row>
    <row r="2" spans="1:12" x14ac:dyDescent="0.2">
      <c r="A2" s="39"/>
    </row>
    <row r="3" spans="1:12" x14ac:dyDescent="0.2">
      <c r="A3" s="39"/>
      <c r="B3" s="33" t="s">
        <v>72</v>
      </c>
      <c r="G3" s="2" t="s">
        <v>8</v>
      </c>
      <c r="H3" s="25" t="s">
        <v>123</v>
      </c>
    </row>
    <row r="4" spans="1:12" x14ac:dyDescent="0.2">
      <c r="A4" s="75"/>
      <c r="B4" s="75" t="s">
        <v>167</v>
      </c>
      <c r="D4" s="76" t="s">
        <v>127</v>
      </c>
      <c r="E4" s="46"/>
      <c r="F4" s="76" t="s">
        <v>128</v>
      </c>
      <c r="G4" s="2" t="s">
        <v>2</v>
      </c>
      <c r="H4" s="26" t="s">
        <v>124</v>
      </c>
    </row>
    <row r="5" spans="1:12" x14ac:dyDescent="0.2">
      <c r="A5" s="33"/>
      <c r="B5" s="20" t="s">
        <v>13</v>
      </c>
      <c r="C5" s="20" t="s">
        <v>63</v>
      </c>
      <c r="E5" s="20" t="s">
        <v>63</v>
      </c>
      <c r="F5" s="1"/>
      <c r="G5" s="1"/>
      <c r="H5" s="27"/>
    </row>
    <row r="6" spans="1:12" x14ac:dyDescent="0.2">
      <c r="A6" s="33">
        <v>1</v>
      </c>
      <c r="B6" s="24" t="s">
        <v>58</v>
      </c>
      <c r="C6" s="90" t="s">
        <v>129</v>
      </c>
      <c r="D6" s="6">
        <f>'Reconcile ROO to Restated'!L5</f>
        <v>508246</v>
      </c>
      <c r="E6" s="90" t="s">
        <v>130</v>
      </c>
      <c r="F6" s="95">
        <v>536595</v>
      </c>
      <c r="G6" s="6">
        <f>F6-D6</f>
        <v>28349</v>
      </c>
      <c r="H6" s="37">
        <f>ROUND(G6,0)</f>
        <v>28349</v>
      </c>
      <c r="J6" t="s">
        <v>137</v>
      </c>
    </row>
    <row r="7" spans="1:12" x14ac:dyDescent="0.2">
      <c r="A7" s="33"/>
      <c r="C7" s="91"/>
      <c r="D7" s="6"/>
      <c r="E7" s="92"/>
      <c r="F7" s="7"/>
      <c r="G7" s="6"/>
      <c r="H7" s="37"/>
    </row>
    <row r="8" spans="1:12" x14ac:dyDescent="0.2">
      <c r="A8" s="33">
        <v>2</v>
      </c>
      <c r="B8" t="s">
        <v>21</v>
      </c>
      <c r="C8" s="90" t="s">
        <v>129</v>
      </c>
      <c r="D8" s="6">
        <f>'Reconcile ROO to Restated'!L7</f>
        <v>-3836</v>
      </c>
      <c r="E8" s="90" t="s">
        <v>130</v>
      </c>
      <c r="F8" s="95">
        <v>-4058</v>
      </c>
      <c r="G8" s="6">
        <f t="shared" ref="G8:G15" si="0">F8-D8</f>
        <v>-222</v>
      </c>
      <c r="H8" s="37">
        <f>ROUND(G8,0)</f>
        <v>-222</v>
      </c>
    </row>
    <row r="9" spans="1:12" x14ac:dyDescent="0.2">
      <c r="A9" s="33"/>
      <c r="C9" s="90"/>
      <c r="D9" s="6"/>
      <c r="E9" s="90"/>
      <c r="F9" s="45"/>
      <c r="G9" s="6"/>
      <c r="H9" s="37"/>
    </row>
    <row r="10" spans="1:12" x14ac:dyDescent="0.2">
      <c r="A10" s="33">
        <v>3</v>
      </c>
      <c r="B10" t="s">
        <v>23</v>
      </c>
      <c r="C10" s="90" t="s">
        <v>129</v>
      </c>
      <c r="D10" s="6">
        <f>'Reconcile ROO to Restated'!L17</f>
        <v>673</v>
      </c>
      <c r="E10" s="90" t="s">
        <v>130</v>
      </c>
      <c r="F10" s="95">
        <v>-815</v>
      </c>
      <c r="G10" s="6">
        <f t="shared" si="0"/>
        <v>-1488</v>
      </c>
      <c r="H10" s="37">
        <f>ROUND(G10,0)</f>
        <v>-1488</v>
      </c>
      <c r="J10" s="97" t="s">
        <v>172</v>
      </c>
      <c r="K10" s="97"/>
      <c r="L10" s="97"/>
    </row>
    <row r="11" spans="1:12" x14ac:dyDescent="0.2">
      <c r="A11" s="33">
        <v>4</v>
      </c>
      <c r="B11" s="22" t="s">
        <v>7</v>
      </c>
      <c r="C11" s="86"/>
      <c r="D11" s="13">
        <f>SUM(D6:D10)</f>
        <v>505083</v>
      </c>
      <c r="E11" s="89"/>
      <c r="F11" s="13">
        <f>SUM(F6:F10)</f>
        <v>531722</v>
      </c>
      <c r="G11" s="12">
        <f>IF(ROUND(F11-D11,3)&lt;&gt;ROUND(SUM(G6:G10),3),#VALUE!,SUM(G6:G10))</f>
        <v>26639</v>
      </c>
      <c r="H11" s="29">
        <f>SUM(H6:H10)</f>
        <v>26639</v>
      </c>
    </row>
    <row r="12" spans="1:12" x14ac:dyDescent="0.2">
      <c r="A12" s="33"/>
      <c r="B12" s="78" t="s">
        <v>46</v>
      </c>
      <c r="C12" s="87"/>
      <c r="D12" s="83"/>
      <c r="E12" s="54"/>
      <c r="F12" s="7"/>
      <c r="G12" s="6"/>
      <c r="H12" s="37"/>
      <c r="I12" s="22"/>
    </row>
    <row r="13" spans="1:12" x14ac:dyDescent="0.2">
      <c r="A13" s="33">
        <v>5</v>
      </c>
      <c r="B13" s="78" t="s">
        <v>135</v>
      </c>
      <c r="C13" s="87"/>
      <c r="D13" s="83">
        <f>'Reconcile ROO to Restated'!L28</f>
        <v>10788.947</v>
      </c>
      <c r="E13" s="54"/>
      <c r="F13" s="7">
        <v>0</v>
      </c>
      <c r="G13" s="6">
        <f t="shared" si="0"/>
        <v>-10788.947</v>
      </c>
      <c r="H13" s="37">
        <f>ROUND(G13,0)</f>
        <v>-10789</v>
      </c>
      <c r="I13" s="22"/>
      <c r="J13" s="75" t="s">
        <v>170</v>
      </c>
    </row>
    <row r="14" spans="1:12" x14ac:dyDescent="0.2">
      <c r="A14" s="33">
        <v>6</v>
      </c>
      <c r="B14" s="78" t="s">
        <v>142</v>
      </c>
      <c r="C14" s="87"/>
      <c r="D14" s="83">
        <f>'Reconcile ROO to Restated'!L30</f>
        <v>0</v>
      </c>
      <c r="E14" s="54"/>
      <c r="F14" s="7">
        <v>0</v>
      </c>
      <c r="G14" s="6">
        <f t="shared" ref="G14" si="1">F14-D14</f>
        <v>0</v>
      </c>
      <c r="H14" s="37">
        <f>ROUND(G14,0)</f>
        <v>0</v>
      </c>
      <c r="I14" s="22"/>
      <c r="J14" s="75" t="s">
        <v>160</v>
      </c>
    </row>
    <row r="15" spans="1:12" x14ac:dyDescent="0.2">
      <c r="A15" s="33">
        <v>7</v>
      </c>
      <c r="B15" s="78" t="s">
        <v>143</v>
      </c>
      <c r="C15" s="87"/>
      <c r="D15" s="83">
        <f>'Reconcile ROO to Restated'!L31</f>
        <v>-181</v>
      </c>
      <c r="E15" s="54"/>
      <c r="F15" s="7">
        <v>0</v>
      </c>
      <c r="G15" s="6">
        <f t="shared" si="0"/>
        <v>181</v>
      </c>
      <c r="H15" s="37">
        <f>ROUND(G15,0)</f>
        <v>181</v>
      </c>
      <c r="I15" s="22"/>
      <c r="J15" s="75" t="s">
        <v>171</v>
      </c>
    </row>
    <row r="16" spans="1:12" x14ac:dyDescent="0.2">
      <c r="A16" s="33">
        <v>8</v>
      </c>
      <c r="B16" s="22" t="s">
        <v>4</v>
      </c>
      <c r="C16" s="88"/>
      <c r="D16" s="12">
        <f>SUM(D11:D15)</f>
        <v>515690.94699999999</v>
      </c>
      <c r="E16" s="86"/>
      <c r="F16" s="12">
        <f>SUM(F11:F15)</f>
        <v>531722</v>
      </c>
      <c r="G16" s="12">
        <f>SUM(G11:G15)</f>
        <v>16031.053</v>
      </c>
      <c r="H16" s="29">
        <f>SUM(H11:H15)</f>
        <v>16031</v>
      </c>
      <c r="J16" s="75"/>
    </row>
    <row r="17" spans="1:10" x14ac:dyDescent="0.2">
      <c r="A17" s="33"/>
      <c r="D17" s="14"/>
      <c r="E17" s="14"/>
      <c r="F17" s="36">
        <v>0</v>
      </c>
      <c r="G17" s="15"/>
      <c r="H17" s="28"/>
    </row>
    <row r="18" spans="1:10" x14ac:dyDescent="0.2">
      <c r="A18" s="33"/>
      <c r="B18" s="20" t="s">
        <v>3</v>
      </c>
      <c r="D18" s="14"/>
      <c r="E18" s="14"/>
      <c r="F18" s="15"/>
      <c r="G18" s="15"/>
      <c r="H18" s="28"/>
    </row>
    <row r="19" spans="1:10" x14ac:dyDescent="0.2">
      <c r="A19" s="33">
        <v>9</v>
      </c>
      <c r="B19" s="3" t="s">
        <v>11</v>
      </c>
      <c r="C19" s="93" t="s">
        <v>116</v>
      </c>
      <c r="D19" s="9"/>
      <c r="E19" s="7"/>
      <c r="F19" s="7"/>
      <c r="G19" s="83"/>
      <c r="H19" s="28">
        <f>ROUND(H$11*$I19,0)</f>
        <v>1028</v>
      </c>
      <c r="I19" s="96">
        <f>'Reconcile ROO to Restated'!M49</f>
        <v>3.8605159538162764E-2</v>
      </c>
      <c r="J19" t="s">
        <v>17</v>
      </c>
    </row>
    <row r="20" spans="1:10" x14ac:dyDescent="0.2">
      <c r="A20" s="33">
        <v>10</v>
      </c>
      <c r="B20" s="3" t="s">
        <v>5</v>
      </c>
      <c r="C20" s="93" t="s">
        <v>116</v>
      </c>
      <c r="D20" s="9"/>
      <c r="E20" s="7"/>
      <c r="F20" s="7"/>
      <c r="G20" s="83"/>
      <c r="H20" s="28">
        <f t="shared" ref="H20:H21" si="2">ROUND(H$11*$I20,0)</f>
        <v>89</v>
      </c>
      <c r="I20" s="96">
        <f>'Reconcile ROO to Restated'!M50</f>
        <v>3.3262885794710221E-3</v>
      </c>
      <c r="J20" t="s">
        <v>17</v>
      </c>
    </row>
    <row r="21" spans="1:10" x14ac:dyDescent="0.2">
      <c r="A21" s="33">
        <v>11</v>
      </c>
      <c r="B21" s="3" t="s">
        <v>6</v>
      </c>
      <c r="C21" s="93" t="s">
        <v>116</v>
      </c>
      <c r="D21" s="9"/>
      <c r="E21" s="7"/>
      <c r="F21" s="7"/>
      <c r="G21" s="83"/>
      <c r="H21" s="28">
        <f t="shared" si="2"/>
        <v>53</v>
      </c>
      <c r="I21" s="96">
        <f>'Reconcile ROO to Restated'!M51</f>
        <v>2E-3</v>
      </c>
      <c r="J21" t="s">
        <v>16</v>
      </c>
    </row>
    <row r="22" spans="1:10" x14ac:dyDescent="0.2">
      <c r="A22" s="33"/>
      <c r="D22" s="9"/>
      <c r="E22" s="7"/>
      <c r="F22" s="7"/>
      <c r="G22" s="83"/>
      <c r="H22" s="29">
        <f>SUM(H19:H21)</f>
        <v>1170</v>
      </c>
      <c r="I22" s="43">
        <f>SUM(I19:I21)</f>
        <v>4.393144811763379E-2</v>
      </c>
      <c r="J22" t="s">
        <v>43</v>
      </c>
    </row>
    <row r="23" spans="1:10" x14ac:dyDescent="0.2">
      <c r="A23" s="33"/>
      <c r="D23" s="9"/>
      <c r="E23" s="7"/>
      <c r="F23" s="7"/>
      <c r="G23" s="83"/>
      <c r="H23" s="28"/>
      <c r="I23" s="40"/>
    </row>
    <row r="24" spans="1:10" x14ac:dyDescent="0.2">
      <c r="A24" s="33">
        <v>12</v>
      </c>
      <c r="B24" s="21" t="s">
        <v>9</v>
      </c>
      <c r="D24" s="9"/>
      <c r="E24" s="7"/>
      <c r="F24" s="7"/>
      <c r="G24" s="83"/>
      <c r="H24" s="28">
        <f>H16-H22</f>
        <v>14861</v>
      </c>
      <c r="I24" s="40"/>
    </row>
    <row r="25" spans="1:10" x14ac:dyDescent="0.2">
      <c r="A25" s="33">
        <v>13</v>
      </c>
      <c r="B25" s="22" t="s">
        <v>14</v>
      </c>
      <c r="D25" s="9"/>
      <c r="E25" s="7"/>
      <c r="F25" s="7"/>
      <c r="G25" s="83"/>
      <c r="H25" s="28">
        <f>ROUND(H24*$I25,0)</f>
        <v>3121</v>
      </c>
      <c r="I25" s="41">
        <v>0.21</v>
      </c>
      <c r="J25" t="s">
        <v>20</v>
      </c>
    </row>
    <row r="26" spans="1:10" ht="13.5" thickBot="1" x14ac:dyDescent="0.25">
      <c r="A26" s="33">
        <v>14</v>
      </c>
      <c r="B26" s="21" t="s">
        <v>12</v>
      </c>
      <c r="C26" s="53"/>
      <c r="D26" s="9"/>
      <c r="E26" s="7"/>
      <c r="F26" s="7"/>
      <c r="G26" s="83"/>
      <c r="H26" s="30">
        <f>H24-H25</f>
        <v>11740</v>
      </c>
    </row>
    <row r="27" spans="1:10" ht="13.5" thickTop="1" x14ac:dyDescent="0.2">
      <c r="A27" s="33"/>
      <c r="G27" s="5"/>
      <c r="H27" s="31"/>
    </row>
    <row r="28" spans="1:10" x14ac:dyDescent="0.2">
      <c r="A28" s="33">
        <v>15</v>
      </c>
      <c r="B28" s="35" t="s">
        <v>22</v>
      </c>
      <c r="C28" s="35"/>
      <c r="D28" s="1"/>
      <c r="E28" s="14"/>
      <c r="F28" s="1"/>
      <c r="G28" s="1"/>
      <c r="I28" s="1">
        <f>H11</f>
        <v>26639</v>
      </c>
      <c r="J28" t="s">
        <v>13</v>
      </c>
    </row>
    <row r="29" spans="1:10" x14ac:dyDescent="0.2">
      <c r="A29" s="33">
        <v>16</v>
      </c>
      <c r="D29" s="4"/>
      <c r="E29" s="47"/>
      <c r="I29" s="23">
        <f>I22</f>
        <v>4.393144811763379E-2</v>
      </c>
      <c r="J29" t="s">
        <v>43</v>
      </c>
    </row>
    <row r="30" spans="1:10" x14ac:dyDescent="0.2">
      <c r="A30" s="33">
        <v>17</v>
      </c>
      <c r="D30" s="4"/>
      <c r="E30" s="47"/>
      <c r="I30" s="19">
        <f>ROUND(I28*I29,0)</f>
        <v>1170</v>
      </c>
      <c r="J30" t="s">
        <v>18</v>
      </c>
    </row>
    <row r="31" spans="1:10" x14ac:dyDescent="0.2">
      <c r="A31" s="33">
        <v>18</v>
      </c>
      <c r="D31" s="4"/>
      <c r="E31" s="47"/>
      <c r="I31" s="1">
        <f>SUM(H19:H21)</f>
        <v>1170</v>
      </c>
      <c r="J31" t="s">
        <v>19</v>
      </c>
    </row>
    <row r="32" spans="1:10" x14ac:dyDescent="0.2">
      <c r="A32" s="33">
        <v>19</v>
      </c>
      <c r="I32" s="19">
        <f>I30-I31</f>
        <v>0</v>
      </c>
    </row>
  </sheetData>
  <conditionalFormatting sqref="F17">
    <cfRule type="expression" dxfId="3" priority="1" stopIfTrue="1">
      <formula>ABS(F17)&gt;0</formula>
    </cfRule>
  </conditionalFormatting>
  <printOptions horizontalCentered="1" verticalCentered="1"/>
  <pageMargins left="0.45" right="0.45" top="0.96" bottom="0.75" header="0.61" footer="0.51"/>
  <pageSetup scale="85" orientation="landscape" r:id="rId1"/>
  <headerFooter scaleWithDoc="0">
    <oddHeader xml:space="preserve">&amp;RAdjustment No.   &amp;"Arial,Bold"&amp;12 3.01
&amp;"Arial,Regular"&amp;10Workpaper Ref.&amp;"Arial,Bold" &amp;"Arial,Regular"E-PREV-1
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87"/>
  <sheetViews>
    <sheetView tabSelected="1" view="pageBreakPreview" zoomScaleNormal="100" zoomScaleSheetLayoutView="100" workbookViewId="0">
      <selection activeCell="I43" sqref="I43"/>
    </sheetView>
  </sheetViews>
  <sheetFormatPr defaultRowHeight="12.75" x14ac:dyDescent="0.2"/>
  <cols>
    <col min="1" max="1" width="4.7109375" customWidth="1"/>
    <col min="2" max="2" width="42" customWidth="1"/>
    <col min="3" max="3" width="11.140625" bestFit="1" customWidth="1"/>
    <col min="4" max="4" width="9.28515625" customWidth="1"/>
    <col min="5" max="5" width="11.140625" bestFit="1" customWidth="1"/>
    <col min="6" max="6" width="14.140625" bestFit="1" customWidth="1"/>
    <col min="7" max="7" width="13.140625" style="40" bestFit="1" customWidth="1"/>
    <col min="8" max="8" width="9.7109375" bestFit="1" customWidth="1"/>
    <col min="9" max="9" width="14.5703125" customWidth="1"/>
    <col min="10" max="10" width="16.7109375" customWidth="1"/>
    <col min="11" max="11" width="9" customWidth="1"/>
    <col min="12" max="12" width="15" bestFit="1" customWidth="1"/>
    <col min="13" max="13" width="11.5703125" customWidth="1"/>
    <col min="14" max="14" width="22.28515625" customWidth="1"/>
  </cols>
  <sheetData>
    <row r="1" spans="1:14" x14ac:dyDescent="0.2">
      <c r="A1" s="39" t="s">
        <v>168</v>
      </c>
      <c r="L1" s="120" t="s">
        <v>158</v>
      </c>
    </row>
    <row r="2" spans="1:14" x14ac:dyDescent="0.2">
      <c r="B2" s="93" t="s">
        <v>72</v>
      </c>
      <c r="E2" s="76" t="s">
        <v>104</v>
      </c>
      <c r="F2" s="76" t="s">
        <v>106</v>
      </c>
      <c r="G2" s="76" t="s">
        <v>104</v>
      </c>
      <c r="H2" s="76" t="s">
        <v>139</v>
      </c>
      <c r="I2" s="76" t="s">
        <v>109</v>
      </c>
      <c r="J2" s="76" t="s">
        <v>146</v>
      </c>
      <c r="K2" s="2" t="s">
        <v>8</v>
      </c>
      <c r="L2" s="120"/>
    </row>
    <row r="3" spans="1:14" x14ac:dyDescent="0.2">
      <c r="A3" s="75" t="s">
        <v>169</v>
      </c>
      <c r="D3" s="2" t="s">
        <v>0</v>
      </c>
      <c r="E3" s="76" t="s">
        <v>105</v>
      </c>
      <c r="F3" s="76" t="s">
        <v>107</v>
      </c>
      <c r="G3" s="76" t="s">
        <v>108</v>
      </c>
      <c r="H3" s="76" t="s">
        <v>138</v>
      </c>
      <c r="I3" s="76" t="s">
        <v>110</v>
      </c>
      <c r="J3" s="76" t="s">
        <v>147</v>
      </c>
      <c r="K3" s="2" t="s">
        <v>2</v>
      </c>
      <c r="L3" s="26" t="s">
        <v>111</v>
      </c>
    </row>
    <row r="4" spans="1:14" x14ac:dyDescent="0.2">
      <c r="B4" s="20" t="s">
        <v>13</v>
      </c>
      <c r="C4" s="77" t="s">
        <v>63</v>
      </c>
      <c r="D4" s="84">
        <v>1</v>
      </c>
      <c r="E4" s="98">
        <v>2.0099999999999998</v>
      </c>
      <c r="F4" s="99">
        <v>2.1</v>
      </c>
      <c r="G4" s="98">
        <v>2.11</v>
      </c>
      <c r="H4" s="98">
        <v>2.12</v>
      </c>
      <c r="I4" s="98">
        <v>2.13</v>
      </c>
      <c r="J4" s="98">
        <v>2.1800000000000002</v>
      </c>
      <c r="K4" s="1"/>
      <c r="L4" s="27"/>
    </row>
    <row r="5" spans="1:14" x14ac:dyDescent="0.2">
      <c r="A5" s="33">
        <v>1</v>
      </c>
      <c r="B5" s="79" t="s">
        <v>115</v>
      </c>
      <c r="C5" s="49" t="s">
        <v>64</v>
      </c>
      <c r="D5" s="6">
        <f>D18-SUM(D8:D17)</f>
        <v>508246</v>
      </c>
      <c r="E5" s="6"/>
      <c r="F5" s="6"/>
      <c r="G5" s="54"/>
      <c r="H5" s="45"/>
      <c r="I5" s="45"/>
      <c r="J5" s="45"/>
      <c r="K5" s="6">
        <f>SUM(E5:J5)</f>
        <v>0</v>
      </c>
      <c r="L5" s="37">
        <f t="shared" ref="L5:L21" si="0">D5+K5</f>
        <v>508246</v>
      </c>
    </row>
    <row r="6" spans="1:14" x14ac:dyDescent="0.2">
      <c r="A6" s="33"/>
      <c r="C6" s="50"/>
      <c r="D6" s="6"/>
      <c r="E6" s="6"/>
      <c r="F6" s="6"/>
      <c r="G6" s="54"/>
      <c r="H6" s="7"/>
      <c r="I6" s="7"/>
      <c r="J6" s="7"/>
      <c r="K6" s="6"/>
      <c r="L6" s="37">
        <f t="shared" si="0"/>
        <v>0</v>
      </c>
    </row>
    <row r="7" spans="1:14" x14ac:dyDescent="0.2">
      <c r="A7" s="33">
        <v>2</v>
      </c>
      <c r="B7" t="s">
        <v>21</v>
      </c>
      <c r="C7" s="50"/>
      <c r="D7" s="82"/>
      <c r="E7" s="9"/>
      <c r="F7" s="9">
        <v>-3836</v>
      </c>
      <c r="G7" s="54"/>
      <c r="H7" s="45"/>
      <c r="I7" s="45"/>
      <c r="J7" s="45"/>
      <c r="K7" s="6">
        <f t="shared" ref="K7:K21" si="1">SUM(E7:J7)</f>
        <v>-3836</v>
      </c>
      <c r="L7" s="37">
        <f t="shared" si="0"/>
        <v>-3836</v>
      </c>
      <c r="M7" s="118" t="s">
        <v>136</v>
      </c>
      <c r="N7" s="119"/>
    </row>
    <row r="8" spans="1:14" x14ac:dyDescent="0.2">
      <c r="A8" s="33">
        <v>3</v>
      </c>
      <c r="B8" s="3" t="s">
        <v>52</v>
      </c>
      <c r="C8" s="48" t="s">
        <v>112</v>
      </c>
      <c r="D8" s="6">
        <f>-K8</f>
        <v>18871</v>
      </c>
      <c r="E8" s="9">
        <v>-18871</v>
      </c>
      <c r="F8" s="9"/>
      <c r="G8" s="55"/>
      <c r="H8" s="7"/>
      <c r="I8" s="7"/>
      <c r="J8" s="7"/>
      <c r="K8" s="6">
        <f t="shared" si="1"/>
        <v>-18871</v>
      </c>
      <c r="L8" s="37">
        <f t="shared" si="0"/>
        <v>0</v>
      </c>
      <c r="M8" s="118"/>
      <c r="N8" s="119"/>
    </row>
    <row r="9" spans="1:14" x14ac:dyDescent="0.2">
      <c r="A9" s="33">
        <v>4</v>
      </c>
      <c r="B9" s="3" t="s">
        <v>59</v>
      </c>
      <c r="C9" s="48" t="s">
        <v>64</v>
      </c>
      <c r="D9" s="6">
        <f>-K9</f>
        <v>-3245</v>
      </c>
      <c r="E9" s="6"/>
      <c r="F9" s="9"/>
      <c r="G9" s="6">
        <f>ROUND(G41*$M$53,0)</f>
        <v>3245</v>
      </c>
      <c r="H9" s="9"/>
      <c r="I9" s="9"/>
      <c r="J9" s="9"/>
      <c r="K9" s="6">
        <f t="shared" si="1"/>
        <v>3245</v>
      </c>
      <c r="L9" s="37">
        <f t="shared" si="0"/>
        <v>0</v>
      </c>
      <c r="M9" s="118"/>
      <c r="N9" s="119"/>
    </row>
    <row r="10" spans="1:14" x14ac:dyDescent="0.2">
      <c r="A10" s="33">
        <v>5</v>
      </c>
      <c r="B10" s="3" t="s">
        <v>144</v>
      </c>
      <c r="C10" s="48" t="s">
        <v>64</v>
      </c>
      <c r="D10" s="6">
        <f>-K10</f>
        <v>-4094</v>
      </c>
      <c r="E10" s="6"/>
      <c r="F10" s="9"/>
      <c r="G10" s="6">
        <f>ROUND(G48*$M$53,0)</f>
        <v>4094</v>
      </c>
      <c r="H10" s="9"/>
      <c r="I10" s="9"/>
      <c r="J10" s="9"/>
      <c r="K10" s="6">
        <f t="shared" si="1"/>
        <v>4094</v>
      </c>
      <c r="L10" s="37">
        <f t="shared" si="0"/>
        <v>0</v>
      </c>
      <c r="M10" s="103"/>
      <c r="N10" s="101"/>
    </row>
    <row r="11" spans="1:14" x14ac:dyDescent="0.2">
      <c r="A11" s="33">
        <v>6</v>
      </c>
      <c r="B11" s="78" t="s">
        <v>157</v>
      </c>
      <c r="C11" s="48" t="s">
        <v>120</v>
      </c>
      <c r="D11" s="6">
        <f>-K11</f>
        <v>1239</v>
      </c>
      <c r="E11" s="9"/>
      <c r="F11" s="9"/>
      <c r="G11" s="6">
        <f>ROUND((-G27)*$M$53,0)</f>
        <v>-1239</v>
      </c>
      <c r="H11" s="9"/>
      <c r="I11" s="9"/>
      <c r="J11" s="9"/>
      <c r="K11" s="6">
        <f>SUM(E11:J11)</f>
        <v>-1239</v>
      </c>
      <c r="L11" s="37">
        <f>D11+K11</f>
        <v>0</v>
      </c>
      <c r="M11" s="103"/>
      <c r="N11" s="102"/>
    </row>
    <row r="12" spans="1:14" x14ac:dyDescent="0.2">
      <c r="A12" s="33">
        <v>7</v>
      </c>
      <c r="B12" s="78" t="s">
        <v>153</v>
      </c>
      <c r="C12" s="48" t="s">
        <v>64</v>
      </c>
      <c r="D12" s="6">
        <f t="shared" ref="D12:D15" si="2">-K12</f>
        <v>28473</v>
      </c>
      <c r="E12" s="6"/>
      <c r="F12" s="9"/>
      <c r="G12" s="6">
        <f>ROUND(G46*$M$53,0)</f>
        <v>-28473</v>
      </c>
      <c r="H12" s="9"/>
      <c r="I12" s="9"/>
      <c r="J12" s="9"/>
      <c r="K12" s="6">
        <f t="shared" si="1"/>
        <v>-28473</v>
      </c>
      <c r="L12" s="37">
        <f t="shared" si="0"/>
        <v>0</v>
      </c>
    </row>
    <row r="13" spans="1:14" x14ac:dyDescent="0.2">
      <c r="A13" s="33">
        <v>8</v>
      </c>
      <c r="B13" s="3" t="s">
        <v>53</v>
      </c>
      <c r="C13" s="48" t="s">
        <v>113</v>
      </c>
      <c r="D13" s="6">
        <f t="shared" si="2"/>
        <v>0</v>
      </c>
      <c r="E13" s="9"/>
      <c r="F13" s="9"/>
      <c r="G13" s="6"/>
      <c r="H13" s="94"/>
      <c r="I13" s="94">
        <v>0</v>
      </c>
      <c r="J13" s="94">
        <v>0</v>
      </c>
      <c r="K13" s="6">
        <f t="shared" si="1"/>
        <v>0</v>
      </c>
      <c r="L13" s="37">
        <f t="shared" si="0"/>
        <v>0</v>
      </c>
    </row>
    <row r="14" spans="1:14" x14ac:dyDescent="0.2">
      <c r="A14" s="33">
        <v>9</v>
      </c>
      <c r="B14" s="78" t="s">
        <v>114</v>
      </c>
      <c r="C14" s="48" t="s">
        <v>64</v>
      </c>
      <c r="D14" s="6">
        <f t="shared" si="2"/>
        <v>0</v>
      </c>
      <c r="E14" s="9"/>
      <c r="F14" s="9"/>
      <c r="G14" s="6">
        <f>ROUND(G43*$M$53,0)</f>
        <v>0</v>
      </c>
      <c r="H14" s="9"/>
      <c r="I14" s="9"/>
      <c r="J14" s="9"/>
      <c r="K14" s="6">
        <f t="shared" si="1"/>
        <v>0</v>
      </c>
      <c r="L14" s="37">
        <f t="shared" si="0"/>
        <v>0</v>
      </c>
    </row>
    <row r="15" spans="1:14" x14ac:dyDescent="0.2">
      <c r="A15" s="33">
        <v>10</v>
      </c>
      <c r="B15" s="3" t="s">
        <v>55</v>
      </c>
      <c r="C15" s="48" t="s">
        <v>64</v>
      </c>
      <c r="D15" s="6">
        <f t="shared" si="2"/>
        <v>163</v>
      </c>
      <c r="E15" s="9"/>
      <c r="F15" s="9"/>
      <c r="G15" s="6">
        <f>ROUND(G45*$M$53,0)</f>
        <v>-163</v>
      </c>
      <c r="H15" s="9"/>
      <c r="I15" s="9"/>
      <c r="J15" s="9"/>
      <c r="K15" s="6">
        <f t="shared" si="1"/>
        <v>-163</v>
      </c>
      <c r="L15" s="37">
        <f t="shared" si="0"/>
        <v>0</v>
      </c>
    </row>
    <row r="16" spans="1:14" x14ac:dyDescent="0.2">
      <c r="A16" s="33">
        <v>11</v>
      </c>
      <c r="B16" s="78" t="s">
        <v>133</v>
      </c>
      <c r="C16" s="48" t="s">
        <v>64</v>
      </c>
      <c r="D16" s="6">
        <f>-K16</f>
        <v>-1740</v>
      </c>
      <c r="E16" s="9"/>
      <c r="F16" s="9"/>
      <c r="G16" s="6">
        <f>ROUND(G39*$M$53,0)</f>
        <v>0</v>
      </c>
      <c r="H16" s="94"/>
      <c r="I16" s="6">
        <f>ROUND(I39*$M$53,0)+5</f>
        <v>1740</v>
      </c>
      <c r="K16" s="6">
        <f t="shared" si="1"/>
        <v>1740</v>
      </c>
      <c r="L16" s="37">
        <f t="shared" si="0"/>
        <v>0</v>
      </c>
    </row>
    <row r="17" spans="1:15" x14ac:dyDescent="0.2">
      <c r="A17" s="33">
        <v>12</v>
      </c>
      <c r="B17" t="s">
        <v>23</v>
      </c>
      <c r="C17" s="50" t="s">
        <v>122</v>
      </c>
      <c r="D17" s="9">
        <v>-136</v>
      </c>
      <c r="E17" s="9"/>
      <c r="F17" s="9"/>
      <c r="G17" s="6">
        <f>ROUND((G38+G40+G42+G44+G47)*$M$53,0)+0</f>
        <v>809</v>
      </c>
      <c r="H17" s="9"/>
      <c r="I17" s="9"/>
      <c r="J17" s="9"/>
      <c r="K17" s="6">
        <f t="shared" si="1"/>
        <v>809</v>
      </c>
      <c r="L17" s="37">
        <f t="shared" si="0"/>
        <v>673</v>
      </c>
    </row>
    <row r="18" spans="1:15" x14ac:dyDescent="0.2">
      <c r="A18" s="33">
        <v>13</v>
      </c>
      <c r="B18" s="22" t="s">
        <v>7</v>
      </c>
      <c r="C18" s="48" t="s">
        <v>121</v>
      </c>
      <c r="D18" s="105">
        <f>546549+1228</f>
        <v>547777</v>
      </c>
      <c r="E18" s="106">
        <f t="shared" ref="E18:L18" si="3">SUM(E5:E17)</f>
        <v>-18871</v>
      </c>
      <c r="F18" s="106">
        <f t="shared" si="3"/>
        <v>-3836</v>
      </c>
      <c r="G18" s="106">
        <f t="shared" si="3"/>
        <v>-21727</v>
      </c>
      <c r="H18" s="106">
        <f t="shared" si="3"/>
        <v>0</v>
      </c>
      <c r="I18" s="106">
        <f t="shared" si="3"/>
        <v>1740</v>
      </c>
      <c r="J18" s="106">
        <f t="shared" si="3"/>
        <v>0</v>
      </c>
      <c r="K18" s="107">
        <f t="shared" si="3"/>
        <v>-42694</v>
      </c>
      <c r="L18" s="108">
        <f t="shared" si="3"/>
        <v>505083</v>
      </c>
      <c r="M18" s="75" t="s">
        <v>173</v>
      </c>
    </row>
    <row r="19" spans="1:15" x14ac:dyDescent="0.2">
      <c r="A19" s="33"/>
      <c r="B19" s="22"/>
      <c r="C19" s="48"/>
      <c r="D19" s="7"/>
      <c r="E19" s="83"/>
      <c r="F19" s="83"/>
      <c r="G19" s="83"/>
      <c r="H19" s="83"/>
      <c r="I19" s="83"/>
      <c r="J19" s="83"/>
      <c r="K19" s="15"/>
      <c r="L19" s="104"/>
    </row>
    <row r="20" spans="1:15" x14ac:dyDescent="0.2">
      <c r="A20" s="33">
        <v>14</v>
      </c>
      <c r="B20" s="75" t="s">
        <v>164</v>
      </c>
      <c r="C20" s="48" t="s">
        <v>161</v>
      </c>
      <c r="D20" s="95">
        <v>52658</v>
      </c>
      <c r="E20" s="111"/>
      <c r="F20" s="111"/>
      <c r="G20" s="111"/>
      <c r="H20" s="111"/>
      <c r="I20" s="111"/>
      <c r="J20" s="95">
        <v>-17144</v>
      </c>
      <c r="K20" s="6">
        <f t="shared" si="1"/>
        <v>-17144</v>
      </c>
      <c r="L20" s="115">
        <f t="shared" si="0"/>
        <v>35514</v>
      </c>
    </row>
    <row r="21" spans="1:15" x14ac:dyDescent="0.2">
      <c r="A21" s="33">
        <v>15</v>
      </c>
      <c r="B21" s="75" t="s">
        <v>162</v>
      </c>
      <c r="C21" s="48" t="s">
        <v>64</v>
      </c>
      <c r="D21" s="83">
        <f>D22-D20</f>
        <v>772</v>
      </c>
      <c r="E21" s="111"/>
      <c r="F21" s="111"/>
      <c r="G21" s="111"/>
      <c r="H21" s="111"/>
      <c r="I21" s="111"/>
      <c r="J21" s="95"/>
      <c r="K21" s="6">
        <f t="shared" si="1"/>
        <v>0</v>
      </c>
      <c r="L21" s="115">
        <f t="shared" si="0"/>
        <v>772</v>
      </c>
      <c r="O21" s="75" t="s">
        <v>165</v>
      </c>
    </row>
    <row r="22" spans="1:15" x14ac:dyDescent="0.2">
      <c r="A22" s="33">
        <v>16</v>
      </c>
      <c r="B22" s="75" t="s">
        <v>163</v>
      </c>
      <c r="C22" s="48" t="s">
        <v>121</v>
      </c>
      <c r="D22" s="117">
        <v>53430</v>
      </c>
      <c r="E22" s="106">
        <f>SUM(E20+E21)</f>
        <v>0</v>
      </c>
      <c r="F22" s="106">
        <f t="shared" ref="F22:L22" si="4">SUM(F20+F21)</f>
        <v>0</v>
      </c>
      <c r="G22" s="106">
        <f t="shared" si="4"/>
        <v>0</v>
      </c>
      <c r="H22" s="106">
        <f t="shared" si="4"/>
        <v>0</v>
      </c>
      <c r="I22" s="106">
        <f t="shared" si="4"/>
        <v>0</v>
      </c>
      <c r="J22" s="106">
        <f t="shared" si="4"/>
        <v>-17144</v>
      </c>
      <c r="K22" s="106">
        <f t="shared" si="4"/>
        <v>-17144</v>
      </c>
      <c r="L22" s="116">
        <f t="shared" si="4"/>
        <v>36286</v>
      </c>
    </row>
    <row r="23" spans="1:15" x14ac:dyDescent="0.2">
      <c r="A23" s="33"/>
      <c r="B23" s="75"/>
      <c r="C23" s="48"/>
      <c r="D23" s="7"/>
      <c r="E23" s="83"/>
      <c r="F23" s="83"/>
      <c r="G23" s="83"/>
      <c r="H23" s="83"/>
      <c r="I23" s="83"/>
      <c r="J23" s="95"/>
      <c r="K23" s="6"/>
      <c r="L23" s="37"/>
    </row>
    <row r="24" spans="1:15" x14ac:dyDescent="0.2">
      <c r="A24" s="33">
        <v>17</v>
      </c>
      <c r="B24" s="75" t="s">
        <v>148</v>
      </c>
      <c r="C24" s="48" t="s">
        <v>122</v>
      </c>
      <c r="D24" s="7">
        <f>60250-SUM(D25:D31)</f>
        <v>1631</v>
      </c>
      <c r="E24" s="83"/>
      <c r="F24" s="83"/>
      <c r="G24" s="83"/>
      <c r="H24" s="83"/>
      <c r="I24" s="83"/>
      <c r="J24" s="95"/>
      <c r="K24" s="6">
        <f t="shared" ref="K24" si="5">SUM(E24:J24)</f>
        <v>0</v>
      </c>
      <c r="L24" s="37">
        <f t="shared" ref="L24" si="6">D24+K24</f>
        <v>1631</v>
      </c>
    </row>
    <row r="25" spans="1:15" x14ac:dyDescent="0.2">
      <c r="A25" s="33">
        <v>18</v>
      </c>
      <c r="B25" s="75" t="s">
        <v>149</v>
      </c>
      <c r="C25" s="48" t="s">
        <v>161</v>
      </c>
      <c r="D25" s="7">
        <f>58463-SUM(D27:D29)-1191</f>
        <v>49153.180999999997</v>
      </c>
      <c r="E25" s="83"/>
      <c r="F25" s="83"/>
      <c r="G25" s="83"/>
      <c r="H25" s="83"/>
      <c r="I25" s="83"/>
      <c r="J25" s="95">
        <v>-39208</v>
      </c>
      <c r="K25" s="6">
        <f t="shared" ref="K25" si="7">SUM(E25:J25)</f>
        <v>-39208</v>
      </c>
      <c r="L25" s="37">
        <f t="shared" ref="L25" si="8">D25+K25</f>
        <v>9945.1809999999969</v>
      </c>
    </row>
    <row r="26" spans="1:15" x14ac:dyDescent="0.2">
      <c r="A26" s="33">
        <v>19</v>
      </c>
      <c r="B26" s="75" t="s">
        <v>151</v>
      </c>
      <c r="C26" s="48" t="s">
        <v>150</v>
      </c>
      <c r="D26" s="94">
        <f>1523+5</f>
        <v>1528</v>
      </c>
      <c r="E26" s="9">
        <v>-14</v>
      </c>
      <c r="G26"/>
      <c r="K26" s="6">
        <f>SUM(E26:J26)</f>
        <v>-14</v>
      </c>
      <c r="L26" s="37">
        <f t="shared" ref="L26:L31" si="9">D26+K26</f>
        <v>1514</v>
      </c>
      <c r="M26" s="22"/>
    </row>
    <row r="27" spans="1:15" x14ac:dyDescent="0.2">
      <c r="A27" s="33">
        <v>20</v>
      </c>
      <c r="B27" t="s">
        <v>141</v>
      </c>
      <c r="C27" s="54" t="s">
        <v>154</v>
      </c>
      <c r="D27" s="94">
        <f>(929435-2113563)/1000</f>
        <v>-1184.1279999999999</v>
      </c>
      <c r="E27" s="9"/>
      <c r="F27" s="100"/>
      <c r="G27" s="114">
        <f>-D27</f>
        <v>1184.1279999999999</v>
      </c>
      <c r="H27" s="63"/>
      <c r="K27" s="6">
        <f t="shared" ref="K27" si="10">SUM(E27:J27)</f>
        <v>1184.1279999999999</v>
      </c>
      <c r="L27" s="37">
        <f t="shared" si="9"/>
        <v>0</v>
      </c>
      <c r="M27" s="121" t="s">
        <v>134</v>
      </c>
      <c r="N27" s="122"/>
    </row>
    <row r="28" spans="1:15" ht="13.15" customHeight="1" x14ac:dyDescent="0.2">
      <c r="A28" s="33">
        <v>21</v>
      </c>
      <c r="B28" t="s">
        <v>140</v>
      </c>
      <c r="C28" s="48" t="s">
        <v>155</v>
      </c>
      <c r="D28" s="94">
        <f>(1191798+6714149)/1000</f>
        <v>7905.9470000000001</v>
      </c>
      <c r="E28" s="9"/>
      <c r="F28" s="100">
        <v>2883</v>
      </c>
      <c r="G28" s="63"/>
      <c r="H28" s="63"/>
      <c r="K28" s="6">
        <f>SUM(E28:J28)</f>
        <v>2883</v>
      </c>
      <c r="L28" s="37">
        <f t="shared" si="9"/>
        <v>10788.947</v>
      </c>
      <c r="M28" s="121"/>
      <c r="N28" s="122"/>
    </row>
    <row r="29" spans="1:15" x14ac:dyDescent="0.2">
      <c r="A29" s="33">
        <v>22</v>
      </c>
      <c r="B29" s="75" t="s">
        <v>159</v>
      </c>
      <c r="C29" s="54" t="s">
        <v>154</v>
      </c>
      <c r="D29" s="94">
        <v>1397</v>
      </c>
      <c r="E29" s="9"/>
      <c r="F29" s="100"/>
      <c r="G29" s="6">
        <f>-D29</f>
        <v>-1397</v>
      </c>
      <c r="H29" s="63"/>
      <c r="K29" s="6">
        <f>SUM(E29:J29)</f>
        <v>-1397</v>
      </c>
      <c r="L29" s="37">
        <f t="shared" si="9"/>
        <v>0</v>
      </c>
      <c r="M29" s="121"/>
      <c r="N29" s="122"/>
    </row>
    <row r="30" spans="1:15" x14ac:dyDescent="0.2">
      <c r="A30" s="33">
        <v>23</v>
      </c>
      <c r="B30" s="75" t="s">
        <v>142</v>
      </c>
      <c r="C30" s="48" t="s">
        <v>156</v>
      </c>
      <c r="D30" s="94">
        <v>0</v>
      </c>
      <c r="E30" s="9"/>
      <c r="F30" s="63"/>
      <c r="G30" s="63"/>
      <c r="H30" s="9">
        <v>0</v>
      </c>
      <c r="K30" s="6">
        <f>SUM(E30:J30)</f>
        <v>0</v>
      </c>
      <c r="L30" s="37">
        <f t="shared" si="9"/>
        <v>0</v>
      </c>
      <c r="M30" s="121"/>
      <c r="N30" s="122"/>
    </row>
    <row r="31" spans="1:15" x14ac:dyDescent="0.2">
      <c r="A31" s="33">
        <v>24</v>
      </c>
      <c r="B31" s="75" t="s">
        <v>143</v>
      </c>
      <c r="C31" s="48" t="s">
        <v>121</v>
      </c>
      <c r="D31" s="94">
        <v>-181</v>
      </c>
      <c r="E31" s="9"/>
      <c r="F31" s="63"/>
      <c r="G31" s="63"/>
      <c r="H31" s="9"/>
      <c r="K31" s="6">
        <f>SUM(E31:J31)</f>
        <v>0</v>
      </c>
      <c r="L31" s="37">
        <f t="shared" si="9"/>
        <v>-181</v>
      </c>
      <c r="M31" s="112"/>
      <c r="N31" s="113"/>
    </row>
    <row r="32" spans="1:15" x14ac:dyDescent="0.2">
      <c r="A32" s="33">
        <v>25</v>
      </c>
      <c r="B32" s="75" t="s">
        <v>152</v>
      </c>
      <c r="C32" s="48"/>
      <c r="D32" s="109">
        <f>SUM(D24:D31)</f>
        <v>60250</v>
      </c>
      <c r="E32" s="109">
        <f t="shared" ref="E32:K32" si="11">SUM(E24:E31)</f>
        <v>-14</v>
      </c>
      <c r="F32" s="109">
        <f t="shared" si="11"/>
        <v>2883</v>
      </c>
      <c r="G32" s="109">
        <f t="shared" si="11"/>
        <v>-212.87200000000007</v>
      </c>
      <c r="H32" s="109">
        <f t="shared" si="11"/>
        <v>0</v>
      </c>
      <c r="I32" s="109">
        <f t="shared" si="11"/>
        <v>0</v>
      </c>
      <c r="J32" s="109">
        <f t="shared" si="11"/>
        <v>-39208</v>
      </c>
      <c r="K32" s="109">
        <f t="shared" si="11"/>
        <v>-36551.872000000003</v>
      </c>
      <c r="L32" s="110">
        <f>SUM(L24:L31)</f>
        <v>23698.127999999997</v>
      </c>
      <c r="M32" s="112"/>
      <c r="N32" s="113"/>
    </row>
    <row r="33" spans="1:14" ht="18.600000000000001" customHeight="1" x14ac:dyDescent="0.2">
      <c r="A33" s="33">
        <v>26</v>
      </c>
      <c r="B33" t="s">
        <v>126</v>
      </c>
      <c r="D33" s="107">
        <f>D18+D22+D32</f>
        <v>661457</v>
      </c>
      <c r="E33" s="107">
        <f t="shared" ref="E33:K33" si="12">E18+E22+E32</f>
        <v>-18885</v>
      </c>
      <c r="F33" s="107">
        <f t="shared" si="12"/>
        <v>-953</v>
      </c>
      <c r="G33" s="107">
        <f t="shared" si="12"/>
        <v>-21939.871999999999</v>
      </c>
      <c r="H33" s="107">
        <f t="shared" si="12"/>
        <v>0</v>
      </c>
      <c r="I33" s="107">
        <f t="shared" si="12"/>
        <v>1740</v>
      </c>
      <c r="J33" s="107">
        <f t="shared" si="12"/>
        <v>-56352</v>
      </c>
      <c r="K33" s="107">
        <f t="shared" si="12"/>
        <v>-96389.872000000003</v>
      </c>
      <c r="L33" s="108">
        <f>L18+L22+L32</f>
        <v>565067.12800000003</v>
      </c>
      <c r="M33" s="112"/>
      <c r="N33" s="113"/>
    </row>
    <row r="34" spans="1:14" x14ac:dyDescent="0.2">
      <c r="A34" s="33"/>
      <c r="C34" s="50"/>
      <c r="D34" s="14"/>
      <c r="E34" s="14"/>
      <c r="F34" s="14"/>
      <c r="G34" s="14"/>
      <c r="H34" s="36"/>
      <c r="I34" s="36"/>
      <c r="J34" s="36"/>
      <c r="K34" s="15"/>
      <c r="L34" s="28"/>
      <c r="M34" s="112"/>
      <c r="N34" s="113"/>
    </row>
    <row r="35" spans="1:14" x14ac:dyDescent="0.2">
      <c r="A35" s="33"/>
      <c r="B35" s="20" t="s">
        <v>3</v>
      </c>
      <c r="C35" s="52"/>
      <c r="D35" s="14"/>
      <c r="E35" s="14"/>
      <c r="F35" s="14"/>
      <c r="G35" s="14"/>
      <c r="H35" s="15"/>
      <c r="I35" s="15"/>
      <c r="J35" s="15"/>
      <c r="K35" s="15"/>
      <c r="L35" s="28"/>
      <c r="M35" s="112"/>
      <c r="N35" s="113"/>
    </row>
    <row r="36" spans="1:14" x14ac:dyDescent="0.2">
      <c r="A36" s="33">
        <v>27</v>
      </c>
      <c r="B36" s="3" t="s">
        <v>10</v>
      </c>
      <c r="C36" s="48" t="s">
        <v>112</v>
      </c>
      <c r="D36" s="9">
        <v>-18805</v>
      </c>
      <c r="E36" s="6">
        <f>-D36</f>
        <v>18805</v>
      </c>
      <c r="F36" s="9"/>
      <c r="G36" s="9"/>
      <c r="H36" s="10"/>
      <c r="I36" s="10"/>
      <c r="J36" s="10"/>
      <c r="K36" s="6">
        <f t="shared" ref="K36:K51" si="13">SUM(E36:J36)</f>
        <v>18805</v>
      </c>
      <c r="L36" s="28">
        <f t="shared" ref="L36:L51" si="14">D36+K36</f>
        <v>0</v>
      </c>
    </row>
    <row r="37" spans="1:14" x14ac:dyDescent="0.2">
      <c r="A37" s="33">
        <v>28</v>
      </c>
      <c r="B37" s="3" t="s">
        <v>44</v>
      </c>
      <c r="C37" s="48" t="s">
        <v>113</v>
      </c>
      <c r="D37" s="9">
        <v>0</v>
      </c>
      <c r="E37" s="9"/>
      <c r="F37" s="9"/>
      <c r="G37" s="9"/>
      <c r="H37" s="6"/>
      <c r="I37" s="6">
        <f>-D37</f>
        <v>0</v>
      </c>
      <c r="J37" s="6"/>
      <c r="K37" s="6">
        <f t="shared" si="13"/>
        <v>0</v>
      </c>
      <c r="L37" s="28">
        <f t="shared" si="14"/>
        <v>0</v>
      </c>
      <c r="M37" s="22" t="s">
        <v>47</v>
      </c>
    </row>
    <row r="38" spans="1:14" x14ac:dyDescent="0.2">
      <c r="A38" s="33">
        <v>29</v>
      </c>
      <c r="B38" s="3" t="s">
        <v>45</v>
      </c>
      <c r="C38" s="48" t="s">
        <v>120</v>
      </c>
      <c r="D38" s="9">
        <v>0</v>
      </c>
      <c r="E38" s="9"/>
      <c r="F38" s="9"/>
      <c r="G38" s="6">
        <f>-D38</f>
        <v>0</v>
      </c>
      <c r="H38" s="10"/>
      <c r="I38" s="10"/>
      <c r="J38" s="10"/>
      <c r="K38" s="6">
        <f t="shared" si="13"/>
        <v>0</v>
      </c>
      <c r="L38" s="28">
        <f t="shared" si="14"/>
        <v>0</v>
      </c>
    </row>
    <row r="39" spans="1:14" x14ac:dyDescent="0.2">
      <c r="A39" s="33">
        <v>30</v>
      </c>
      <c r="B39" s="3" t="s">
        <v>131</v>
      </c>
      <c r="C39" s="48" t="s">
        <v>113</v>
      </c>
      <c r="D39" s="9">
        <v>-1659</v>
      </c>
      <c r="E39" s="9"/>
      <c r="F39" s="9"/>
      <c r="G39" s="6"/>
      <c r="H39" s="15"/>
      <c r="I39" s="15">
        <f>-D39</f>
        <v>1659</v>
      </c>
      <c r="J39" s="15"/>
      <c r="K39" s="6">
        <f t="shared" si="13"/>
        <v>1659</v>
      </c>
      <c r="L39" s="28">
        <f t="shared" si="14"/>
        <v>0</v>
      </c>
      <c r="M39" s="22" t="s">
        <v>47</v>
      </c>
    </row>
    <row r="40" spans="1:14" x14ac:dyDescent="0.2">
      <c r="A40" s="33">
        <v>31</v>
      </c>
      <c r="B40" s="3" t="s">
        <v>132</v>
      </c>
      <c r="C40" s="48" t="s">
        <v>120</v>
      </c>
      <c r="D40" s="9">
        <v>34</v>
      </c>
      <c r="E40" s="9"/>
      <c r="F40" s="9"/>
      <c r="G40" s="6">
        <f t="shared" ref="G40" si="15">-D40</f>
        <v>-34</v>
      </c>
      <c r="H40" s="10"/>
      <c r="I40" s="10"/>
      <c r="J40" s="10"/>
      <c r="K40" s="6">
        <f t="shared" si="13"/>
        <v>-34</v>
      </c>
      <c r="L40" s="28">
        <f t="shared" si="14"/>
        <v>0</v>
      </c>
    </row>
    <row r="41" spans="1:14" x14ac:dyDescent="0.2">
      <c r="A41" s="33">
        <v>32</v>
      </c>
      <c r="B41" s="3" t="s">
        <v>24</v>
      </c>
      <c r="C41" s="48" t="s">
        <v>120</v>
      </c>
      <c r="D41" s="9">
        <f>-3522-D42</f>
        <v>-3102</v>
      </c>
      <c r="E41" s="9"/>
      <c r="F41" s="9"/>
      <c r="G41" s="6">
        <f>-D41</f>
        <v>3102</v>
      </c>
      <c r="H41" s="10"/>
      <c r="I41" s="10"/>
      <c r="J41" s="10"/>
      <c r="K41" s="6">
        <f t="shared" si="13"/>
        <v>3102</v>
      </c>
      <c r="L41" s="28">
        <f t="shared" si="14"/>
        <v>0</v>
      </c>
    </row>
    <row r="42" spans="1:14" x14ac:dyDescent="0.2">
      <c r="A42" s="33">
        <v>33</v>
      </c>
      <c r="B42" s="3" t="s">
        <v>25</v>
      </c>
      <c r="C42" s="48" t="s">
        <v>120</v>
      </c>
      <c r="D42" s="9">
        <v>-420</v>
      </c>
      <c r="E42" s="9"/>
      <c r="F42" s="9"/>
      <c r="G42" s="6">
        <f>-D42</f>
        <v>420</v>
      </c>
      <c r="H42" s="10"/>
      <c r="I42" s="10"/>
      <c r="J42" s="10"/>
      <c r="K42" s="6">
        <f t="shared" si="13"/>
        <v>420</v>
      </c>
      <c r="L42" s="28">
        <f t="shared" si="14"/>
        <v>0</v>
      </c>
    </row>
    <row r="43" spans="1:14" x14ac:dyDescent="0.2">
      <c r="A43" s="33">
        <v>34</v>
      </c>
      <c r="B43" s="81" t="s">
        <v>118</v>
      </c>
      <c r="C43" s="48" t="s">
        <v>120</v>
      </c>
      <c r="D43" s="9">
        <v>0</v>
      </c>
      <c r="E43" s="9"/>
      <c r="F43" s="9"/>
      <c r="G43" s="6">
        <f t="shared" ref="G43:G48" si="16">-D43</f>
        <v>0</v>
      </c>
      <c r="H43" s="10"/>
      <c r="I43" s="10"/>
      <c r="J43" s="10"/>
      <c r="K43" s="6">
        <f t="shared" si="13"/>
        <v>0</v>
      </c>
      <c r="L43" s="28">
        <f t="shared" si="14"/>
        <v>0</v>
      </c>
      <c r="M43" s="22" t="s">
        <v>47</v>
      </c>
    </row>
    <row r="44" spans="1:14" x14ac:dyDescent="0.2">
      <c r="A44" s="33">
        <v>35</v>
      </c>
      <c r="B44" s="78" t="s">
        <v>119</v>
      </c>
      <c r="C44" s="48" t="s">
        <v>120</v>
      </c>
      <c r="D44" s="9">
        <v>0</v>
      </c>
      <c r="E44" s="9"/>
      <c r="F44" s="9"/>
      <c r="G44" s="6">
        <f t="shared" si="16"/>
        <v>0</v>
      </c>
      <c r="H44" s="10"/>
      <c r="I44" s="10"/>
      <c r="J44" s="10"/>
      <c r="K44" s="6">
        <f t="shared" si="13"/>
        <v>0</v>
      </c>
      <c r="L44" s="28">
        <f t="shared" si="14"/>
        <v>0</v>
      </c>
    </row>
    <row r="45" spans="1:14" x14ac:dyDescent="0.2">
      <c r="A45" s="33">
        <v>36</v>
      </c>
      <c r="B45" s="3" t="s">
        <v>56</v>
      </c>
      <c r="C45" s="48" t="s">
        <v>120</v>
      </c>
      <c r="D45" s="9">
        <v>156</v>
      </c>
      <c r="E45" s="9"/>
      <c r="F45" s="9"/>
      <c r="G45" s="6">
        <f t="shared" si="16"/>
        <v>-156</v>
      </c>
      <c r="H45" s="10"/>
      <c r="I45" s="10"/>
      <c r="J45" s="10"/>
      <c r="K45" s="6">
        <f t="shared" si="13"/>
        <v>-156</v>
      </c>
      <c r="L45" s="28">
        <f t="shared" si="14"/>
        <v>0</v>
      </c>
    </row>
    <row r="46" spans="1:14" x14ac:dyDescent="0.2">
      <c r="A46" s="33">
        <v>37</v>
      </c>
      <c r="B46" s="3" t="s">
        <v>26</v>
      </c>
      <c r="C46" s="48" t="s">
        <v>120</v>
      </c>
      <c r="D46" s="9">
        <f>26835-D47</f>
        <v>27222</v>
      </c>
      <c r="E46" s="9"/>
      <c r="F46" s="9"/>
      <c r="G46" s="6">
        <f t="shared" si="16"/>
        <v>-27222</v>
      </c>
      <c r="H46" s="10"/>
      <c r="I46" s="10"/>
      <c r="J46" s="10"/>
      <c r="K46" s="6">
        <f t="shared" si="13"/>
        <v>-27222</v>
      </c>
      <c r="L46" s="28">
        <f t="shared" si="14"/>
        <v>0</v>
      </c>
    </row>
    <row r="47" spans="1:14" x14ac:dyDescent="0.2">
      <c r="A47" s="33">
        <v>38</v>
      </c>
      <c r="B47" s="3" t="s">
        <v>27</v>
      </c>
      <c r="C47" s="48" t="s">
        <v>120</v>
      </c>
      <c r="D47" s="9">
        <v>-387</v>
      </c>
      <c r="E47" s="9"/>
      <c r="F47" s="9"/>
      <c r="G47" s="6">
        <f t="shared" si="16"/>
        <v>387</v>
      </c>
      <c r="H47" s="10"/>
      <c r="I47" s="10"/>
      <c r="J47" s="10"/>
      <c r="K47" s="6">
        <f t="shared" si="13"/>
        <v>387</v>
      </c>
      <c r="L47" s="28">
        <f t="shared" si="14"/>
        <v>0</v>
      </c>
    </row>
    <row r="48" spans="1:14" x14ac:dyDescent="0.2">
      <c r="A48" s="33">
        <v>39</v>
      </c>
      <c r="B48" s="3" t="s">
        <v>145</v>
      </c>
      <c r="C48" s="48" t="s">
        <v>120</v>
      </c>
      <c r="D48" s="9">
        <v>-3914</v>
      </c>
      <c r="E48" s="9"/>
      <c r="F48" s="9"/>
      <c r="G48" s="6">
        <f t="shared" si="16"/>
        <v>3914</v>
      </c>
      <c r="H48" s="10"/>
      <c r="I48" s="10"/>
      <c r="J48" s="10"/>
      <c r="K48" s="6">
        <f t="shared" si="13"/>
        <v>3914</v>
      </c>
      <c r="L48" s="28">
        <f t="shared" si="14"/>
        <v>0</v>
      </c>
    </row>
    <row r="49" spans="1:14" x14ac:dyDescent="0.2">
      <c r="A49" s="33">
        <v>40</v>
      </c>
      <c r="B49" s="3" t="s">
        <v>11</v>
      </c>
      <c r="C49" s="48" t="s">
        <v>116</v>
      </c>
      <c r="D49" s="85">
        <f>ROUND(D$18*$M49,0)</f>
        <v>21147</v>
      </c>
      <c r="E49" s="85"/>
      <c r="F49" s="85">
        <f t="shared" ref="F49:J51" si="17">ROUND(F$18*$M49,0)</f>
        <v>-148</v>
      </c>
      <c r="G49" s="85">
        <f t="shared" si="17"/>
        <v>-839</v>
      </c>
      <c r="H49" s="85">
        <f t="shared" si="17"/>
        <v>0</v>
      </c>
      <c r="I49" s="85">
        <f t="shared" si="17"/>
        <v>67</v>
      </c>
      <c r="J49" s="85">
        <f t="shared" si="17"/>
        <v>0</v>
      </c>
      <c r="K49" s="82">
        <f t="shared" si="13"/>
        <v>-920</v>
      </c>
      <c r="L49" s="28">
        <f t="shared" si="14"/>
        <v>20227</v>
      </c>
      <c r="M49" s="96">
        <f>'[1]CF '!$E$16</f>
        <v>3.8605159538162764E-2</v>
      </c>
      <c r="N49" t="s">
        <v>17</v>
      </c>
    </row>
    <row r="50" spans="1:14" x14ac:dyDescent="0.2">
      <c r="A50" s="33">
        <v>41</v>
      </c>
      <c r="B50" s="3" t="s">
        <v>5</v>
      </c>
      <c r="C50" s="48" t="s">
        <v>116</v>
      </c>
      <c r="D50" s="85">
        <f>ROUND(D$18*$M50,0)</f>
        <v>1822</v>
      </c>
      <c r="E50" s="85"/>
      <c r="F50" s="85">
        <f t="shared" si="17"/>
        <v>-13</v>
      </c>
      <c r="G50" s="85">
        <f t="shared" si="17"/>
        <v>-72</v>
      </c>
      <c r="H50" s="85">
        <f t="shared" si="17"/>
        <v>0</v>
      </c>
      <c r="I50" s="85">
        <f>ROUND(I$18*$M50,0)+5</f>
        <v>11</v>
      </c>
      <c r="J50" s="85">
        <f t="shared" si="17"/>
        <v>0</v>
      </c>
      <c r="K50" s="82">
        <f t="shared" si="13"/>
        <v>-74</v>
      </c>
      <c r="L50" s="28">
        <f t="shared" si="14"/>
        <v>1748</v>
      </c>
      <c r="M50" s="96">
        <f>'[1]CF '!$E$12</f>
        <v>3.3262885794710221E-3</v>
      </c>
      <c r="N50" t="s">
        <v>17</v>
      </c>
    </row>
    <row r="51" spans="1:14" x14ac:dyDescent="0.2">
      <c r="A51" s="33">
        <v>42</v>
      </c>
      <c r="B51" s="3" t="s">
        <v>6</v>
      </c>
      <c r="C51" s="48" t="s">
        <v>116</v>
      </c>
      <c r="D51" s="85">
        <f>ROUND(D$18*$M51,0)</f>
        <v>1096</v>
      </c>
      <c r="E51" s="85"/>
      <c r="F51" s="85">
        <f t="shared" si="17"/>
        <v>-8</v>
      </c>
      <c r="G51" s="85">
        <f t="shared" si="17"/>
        <v>-43</v>
      </c>
      <c r="H51" s="85">
        <f t="shared" si="17"/>
        <v>0</v>
      </c>
      <c r="I51" s="85">
        <f t="shared" si="17"/>
        <v>3</v>
      </c>
      <c r="J51" s="85">
        <f t="shared" si="17"/>
        <v>0</v>
      </c>
      <c r="K51" s="82">
        <f t="shared" si="13"/>
        <v>-48</v>
      </c>
      <c r="L51" s="28">
        <f t="shared" si="14"/>
        <v>1048</v>
      </c>
      <c r="M51" s="96">
        <f>'[1]CF '!$E$14</f>
        <v>2E-3</v>
      </c>
      <c r="N51" t="s">
        <v>16</v>
      </c>
    </row>
    <row r="52" spans="1:14" x14ac:dyDescent="0.2">
      <c r="A52" s="33">
        <v>43</v>
      </c>
      <c r="C52" s="50"/>
      <c r="D52" s="12">
        <f t="shared" ref="D52:K52" si="18">SUM(D36:D51)</f>
        <v>23190</v>
      </c>
      <c r="E52" s="12">
        <f>SUM(E36:E51)</f>
        <v>18805</v>
      </c>
      <c r="F52" s="12">
        <f t="shared" si="18"/>
        <v>-169</v>
      </c>
      <c r="G52" s="12">
        <f t="shared" si="18"/>
        <v>-20543</v>
      </c>
      <c r="H52" s="12">
        <f t="shared" ref="H52:I52" si="19">SUM(H36:H51)</f>
        <v>0</v>
      </c>
      <c r="I52" s="12">
        <f t="shared" si="19"/>
        <v>1740</v>
      </c>
      <c r="J52" s="12">
        <f t="shared" si="18"/>
        <v>0</v>
      </c>
      <c r="K52" s="12">
        <f t="shared" si="18"/>
        <v>-167</v>
      </c>
      <c r="L52" s="80">
        <f>SUM(L37:L51)</f>
        <v>23023</v>
      </c>
      <c r="M52" s="43">
        <f>SUM(M49:M51)</f>
        <v>4.393144811763379E-2</v>
      </c>
      <c r="N52" t="s">
        <v>43</v>
      </c>
    </row>
    <row r="53" spans="1:14" x14ac:dyDescent="0.2">
      <c r="A53" s="33"/>
      <c r="C53" s="50"/>
      <c r="G53"/>
      <c r="M53" s="43">
        <f>1/(1-M52)</f>
        <v>1.0459501026690385</v>
      </c>
      <c r="N53" s="75" t="s">
        <v>117</v>
      </c>
    </row>
    <row r="54" spans="1:14" x14ac:dyDescent="0.2">
      <c r="A54" s="33">
        <v>44</v>
      </c>
      <c r="B54" t="s">
        <v>125</v>
      </c>
      <c r="C54" s="53"/>
      <c r="D54" s="1">
        <f>D33-D52</f>
        <v>638267</v>
      </c>
      <c r="E54" s="1">
        <f t="shared" ref="E54:L54" si="20">E33-E52</f>
        <v>-37690</v>
      </c>
      <c r="F54" s="1">
        <f t="shared" si="20"/>
        <v>-784</v>
      </c>
      <c r="G54" s="1">
        <f t="shared" si="20"/>
        <v>-1396.8719999999994</v>
      </c>
      <c r="H54" s="1">
        <f t="shared" si="20"/>
        <v>0</v>
      </c>
      <c r="I54" s="1">
        <f t="shared" ref="I54" si="21">I33-I52</f>
        <v>0</v>
      </c>
      <c r="J54" s="1">
        <f t="shared" si="20"/>
        <v>-56352</v>
      </c>
      <c r="K54" s="1">
        <f t="shared" si="20"/>
        <v>-96222.872000000003</v>
      </c>
      <c r="L54" s="1">
        <f t="shared" si="20"/>
        <v>542044.12800000003</v>
      </c>
    </row>
    <row r="55" spans="1:14" x14ac:dyDescent="0.2">
      <c r="A55" s="33"/>
      <c r="C55" s="51"/>
      <c r="G55"/>
    </row>
    <row r="56" spans="1:14" x14ac:dyDescent="0.2">
      <c r="A56" s="33"/>
      <c r="C56" s="53"/>
      <c r="G56"/>
    </row>
    <row r="58" spans="1:14" x14ac:dyDescent="0.2">
      <c r="C58" s="35"/>
      <c r="D58" s="1"/>
      <c r="E58" s="1"/>
      <c r="F58" s="1"/>
      <c r="G58" s="14"/>
      <c r="H58" s="1"/>
      <c r="I58" s="1"/>
      <c r="J58" s="1"/>
      <c r="K58" s="1"/>
    </row>
    <row r="59" spans="1:14" x14ac:dyDescent="0.2">
      <c r="D59" s="4"/>
      <c r="E59" s="4"/>
      <c r="F59" s="4"/>
      <c r="G59" s="47"/>
    </row>
    <row r="60" spans="1:14" x14ac:dyDescent="0.2">
      <c r="D60" s="4"/>
      <c r="E60" s="4"/>
      <c r="F60" s="4"/>
      <c r="G60" s="47"/>
    </row>
    <row r="61" spans="1:14" x14ac:dyDescent="0.2">
      <c r="D61" s="4"/>
      <c r="E61" s="4"/>
      <c r="F61" s="4"/>
      <c r="G61" s="47"/>
    </row>
    <row r="64" spans="1:14" ht="13.15" customHeight="1" x14ac:dyDescent="0.2">
      <c r="G64"/>
    </row>
    <row r="65" spans="7:7" x14ac:dyDescent="0.2">
      <c r="G65"/>
    </row>
    <row r="66" spans="7:7" x14ac:dyDescent="0.2">
      <c r="G66"/>
    </row>
    <row r="67" spans="7:7" x14ac:dyDescent="0.2">
      <c r="G67"/>
    </row>
    <row r="68" spans="7:7" x14ac:dyDescent="0.2">
      <c r="G68"/>
    </row>
    <row r="69" spans="7:7" x14ac:dyDescent="0.2">
      <c r="G69"/>
    </row>
    <row r="70" spans="7:7" x14ac:dyDescent="0.2">
      <c r="G70"/>
    </row>
    <row r="71" spans="7:7" x14ac:dyDescent="0.2">
      <c r="G71"/>
    </row>
    <row r="72" spans="7:7" x14ac:dyDescent="0.2">
      <c r="G72"/>
    </row>
    <row r="73" spans="7:7" x14ac:dyDescent="0.2">
      <c r="G73"/>
    </row>
    <row r="74" spans="7:7" x14ac:dyDescent="0.2">
      <c r="G74"/>
    </row>
    <row r="75" spans="7:7" x14ac:dyDescent="0.2">
      <c r="G75"/>
    </row>
    <row r="76" spans="7:7" x14ac:dyDescent="0.2">
      <c r="G76"/>
    </row>
    <row r="77" spans="7:7" x14ac:dyDescent="0.2">
      <c r="G77"/>
    </row>
    <row r="78" spans="7:7" x14ac:dyDescent="0.2">
      <c r="G78"/>
    </row>
    <row r="79" spans="7:7" x14ac:dyDescent="0.2">
      <c r="G79"/>
    </row>
    <row r="80" spans="7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</sheetData>
  <mergeCells count="3">
    <mergeCell ref="M7:N9"/>
    <mergeCell ref="L1:L2"/>
    <mergeCell ref="M27:N30"/>
  </mergeCells>
  <conditionalFormatting sqref="H34 J34">
    <cfRule type="expression" dxfId="2" priority="2" stopIfTrue="1">
      <formula>ABS(H34)&gt;0</formula>
    </cfRule>
  </conditionalFormatting>
  <conditionalFormatting sqref="I34">
    <cfRule type="expression" dxfId="1" priority="1" stopIfTrue="1">
      <formula>ABS(I34)&gt;0</formula>
    </cfRule>
  </conditionalFormatting>
  <pageMargins left="0.61" right="0.62" top="0.96" bottom="0.91" header="0.61" footer="0.5"/>
  <pageSetup scale="62" orientation="landscape" r:id="rId1"/>
  <headerFooter scaleWithDoc="0">
    <oddHeader>&amp;L
&amp;RAdjustment No.   &amp;"Arial,Bold"&amp;12 &amp;U3.01&amp;"Arial,Regular"&amp;10&amp;U
Workpaper Ref E-PREV-2</oddHeader>
    <oddFooter>&amp;L&amp;F&amp;RPrep by: ____________     1st Review:__________
          Date:  &amp;D           Mgr. Review:__________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65"/>
  <sheetViews>
    <sheetView workbookViewId="0">
      <selection activeCell="C8" sqref="C8"/>
    </sheetView>
  </sheetViews>
  <sheetFormatPr defaultRowHeight="12.75" x14ac:dyDescent="0.2"/>
  <cols>
    <col min="1" max="1" width="4.7109375" customWidth="1"/>
    <col min="2" max="2" width="39.7109375" customWidth="1"/>
    <col min="3" max="6" width="10.7109375" customWidth="1"/>
    <col min="7" max="7" width="11.7109375" customWidth="1"/>
    <col min="8" max="8" width="20.85546875" customWidth="1"/>
  </cols>
  <sheetData>
    <row r="1" spans="1:7" x14ac:dyDescent="0.2">
      <c r="A1" s="39" t="s">
        <v>51</v>
      </c>
      <c r="E1" s="2" t="s">
        <v>8</v>
      </c>
      <c r="F1" s="25" t="s">
        <v>13</v>
      </c>
    </row>
    <row r="2" spans="1:7" x14ac:dyDescent="0.2">
      <c r="C2" s="2" t="s">
        <v>0</v>
      </c>
      <c r="D2" s="2" t="s">
        <v>1</v>
      </c>
      <c r="E2" s="2" t="s">
        <v>2</v>
      </c>
      <c r="F2" s="26" t="s">
        <v>15</v>
      </c>
    </row>
    <row r="3" spans="1:7" x14ac:dyDescent="0.2">
      <c r="B3" s="20" t="s">
        <v>13</v>
      </c>
      <c r="D3" s="1"/>
      <c r="E3" s="1"/>
      <c r="F3" s="27"/>
    </row>
    <row r="4" spans="1:7" x14ac:dyDescent="0.2">
      <c r="B4" s="24" t="s">
        <v>58</v>
      </c>
      <c r="C4" s="6">
        <f>C14-SUM(C7:C13)</f>
        <v>400549</v>
      </c>
      <c r="D4" s="45">
        <v>430547</v>
      </c>
      <c r="E4" s="6">
        <f>D4-C4</f>
        <v>29998</v>
      </c>
      <c r="F4" s="37">
        <f>E4</f>
        <v>29998</v>
      </c>
    </row>
    <row r="5" spans="1:7" x14ac:dyDescent="0.2">
      <c r="C5" s="6"/>
      <c r="D5" s="7"/>
      <c r="E5" s="6"/>
      <c r="F5" s="37"/>
    </row>
    <row r="6" spans="1:7" x14ac:dyDescent="0.2">
      <c r="B6" t="s">
        <v>21</v>
      </c>
      <c r="C6" s="16"/>
      <c r="D6" s="45">
        <v>5305</v>
      </c>
      <c r="E6" s="6">
        <f>D6-C6</f>
        <v>5305</v>
      </c>
      <c r="F6" s="37">
        <f>E6</f>
        <v>5305</v>
      </c>
    </row>
    <row r="7" spans="1:7" x14ac:dyDescent="0.2">
      <c r="B7" s="3" t="s">
        <v>52</v>
      </c>
      <c r="C7" s="9">
        <v>14789</v>
      </c>
      <c r="D7" s="7">
        <v>0</v>
      </c>
      <c r="E7" s="6">
        <f>D7-C7</f>
        <v>-14789</v>
      </c>
      <c r="F7" s="38" t="s">
        <v>60</v>
      </c>
    </row>
    <row r="8" spans="1:7" x14ac:dyDescent="0.2">
      <c r="B8" s="3" t="s">
        <v>59</v>
      </c>
      <c r="C8" s="9">
        <f>ROUND(C22/(1-G29),0)</f>
        <v>-6622</v>
      </c>
      <c r="D8" s="7">
        <v>0</v>
      </c>
      <c r="E8" s="6">
        <f>D8-C8</f>
        <v>6622</v>
      </c>
      <c r="F8" s="37">
        <f>E8</f>
        <v>6622</v>
      </c>
    </row>
    <row r="9" spans="1:7" x14ac:dyDescent="0.2">
      <c r="B9" s="3" t="s">
        <v>54</v>
      </c>
      <c r="C9" s="9">
        <f>ROUND(C25/(1-G30),0)</f>
        <v>20489</v>
      </c>
      <c r="D9" s="7">
        <v>0</v>
      </c>
      <c r="E9" s="6">
        <f>D9-C9</f>
        <v>-20489</v>
      </c>
      <c r="F9" s="37">
        <f>E9</f>
        <v>-20489</v>
      </c>
    </row>
    <row r="10" spans="1:7" x14ac:dyDescent="0.2">
      <c r="B10" s="3" t="s">
        <v>53</v>
      </c>
      <c r="C10" s="9">
        <v>7113</v>
      </c>
      <c r="D10" s="7">
        <v>0</v>
      </c>
      <c r="E10" s="6">
        <f>D10-C10</f>
        <v>-7113</v>
      </c>
      <c r="F10" s="38" t="s">
        <v>61</v>
      </c>
    </row>
    <row r="11" spans="1:7" x14ac:dyDescent="0.2">
      <c r="B11" s="3" t="s">
        <v>55</v>
      </c>
      <c r="C11" s="9">
        <v>179</v>
      </c>
      <c r="D11" s="7">
        <v>0</v>
      </c>
      <c r="E11" s="6">
        <f t="shared" ref="E11:E12" si="0">D11-C11</f>
        <v>-179</v>
      </c>
      <c r="F11" s="38" t="s">
        <v>62</v>
      </c>
    </row>
    <row r="12" spans="1:7" x14ac:dyDescent="0.2">
      <c r="B12" s="3" t="s">
        <v>57</v>
      </c>
      <c r="C12" s="9">
        <v>337</v>
      </c>
      <c r="D12" s="7">
        <v>0</v>
      </c>
      <c r="E12" s="6">
        <f t="shared" si="0"/>
        <v>-337</v>
      </c>
      <c r="F12" s="37">
        <f>E12</f>
        <v>-337</v>
      </c>
    </row>
    <row r="13" spans="1:7" x14ac:dyDescent="0.2">
      <c r="B13" t="s">
        <v>23</v>
      </c>
      <c r="C13" s="9">
        <v>-2426</v>
      </c>
      <c r="D13" s="45">
        <v>-2845</v>
      </c>
      <c r="E13" s="6">
        <f>D13-C13</f>
        <v>-419</v>
      </c>
      <c r="F13" s="37">
        <f>E13</f>
        <v>-419</v>
      </c>
    </row>
    <row r="14" spans="1:7" x14ac:dyDescent="0.2">
      <c r="B14" s="22" t="s">
        <v>7</v>
      </c>
      <c r="C14" s="11">
        <v>434408</v>
      </c>
      <c r="D14" s="12">
        <f>SUM(D4:D13)</f>
        <v>433007</v>
      </c>
      <c r="E14" s="12">
        <f>IF(ROUND(D14-C14,3)&lt;&gt;ROUND(SUM(E4:E13),3),#VALUE!,SUM(E4:E13))</f>
        <v>-1401</v>
      </c>
      <c r="F14" s="29">
        <f>SUM(F4:F13)</f>
        <v>20680</v>
      </c>
      <c r="G14" t="s">
        <v>50</v>
      </c>
    </row>
    <row r="15" spans="1:7" x14ac:dyDescent="0.2">
      <c r="B15" s="3" t="s">
        <v>48</v>
      </c>
      <c r="C15" s="7">
        <v>0</v>
      </c>
      <c r="D15" s="10">
        <v>337</v>
      </c>
      <c r="E15" s="8">
        <f>D15-C15</f>
        <v>337</v>
      </c>
      <c r="F15" s="28">
        <f>E15</f>
        <v>337</v>
      </c>
      <c r="G15" s="22" t="s">
        <v>49</v>
      </c>
    </row>
    <row r="16" spans="1:7" x14ac:dyDescent="0.2">
      <c r="B16" s="22" t="s">
        <v>4</v>
      </c>
      <c r="C16" s="13">
        <f>C14+C15</f>
        <v>434408</v>
      </c>
      <c r="D16" s="12">
        <f>D14+D15</f>
        <v>433344</v>
      </c>
      <c r="E16" s="12">
        <f>IF(ROUND(E14+E15,3)&lt;&gt;ROUND(D16-C16,3),#VALUE!,E14+E15)</f>
        <v>-1064</v>
      </c>
      <c r="F16" s="29">
        <f>F14+F15</f>
        <v>21017</v>
      </c>
    </row>
    <row r="17" spans="2:8" x14ac:dyDescent="0.2">
      <c r="C17" s="14"/>
      <c r="D17" s="36">
        <v>-433007</v>
      </c>
      <c r="E17" s="15"/>
      <c r="F17" s="28"/>
    </row>
    <row r="18" spans="2:8" x14ac:dyDescent="0.2">
      <c r="B18" s="20" t="s">
        <v>3</v>
      </c>
      <c r="C18" s="14"/>
      <c r="D18" s="15"/>
      <c r="E18" s="15"/>
      <c r="F18" s="28"/>
    </row>
    <row r="19" spans="2:8" x14ac:dyDescent="0.2">
      <c r="B19" s="3" t="s">
        <v>10</v>
      </c>
      <c r="C19" s="9">
        <f>ROUND((14849283-88660)/1000,0)</f>
        <v>14761</v>
      </c>
      <c r="D19" s="10">
        <v>0</v>
      </c>
      <c r="E19" s="15">
        <f t="shared" ref="E19:E26" si="1">D19-C19</f>
        <v>-14761</v>
      </c>
      <c r="F19" s="38" t="s">
        <v>60</v>
      </c>
    </row>
    <row r="20" spans="2:8" x14ac:dyDescent="0.2">
      <c r="B20" s="3" t="s">
        <v>44</v>
      </c>
      <c r="C20" s="9">
        <v>6276</v>
      </c>
      <c r="D20" s="10">
        <v>0</v>
      </c>
      <c r="E20" s="15">
        <f t="shared" si="1"/>
        <v>-6276</v>
      </c>
      <c r="F20" s="38" t="s">
        <v>61</v>
      </c>
      <c r="G20" s="22" t="s">
        <v>47</v>
      </c>
    </row>
    <row r="21" spans="2:8" x14ac:dyDescent="0.2">
      <c r="B21" s="3" t="s">
        <v>45</v>
      </c>
      <c r="C21" s="9">
        <v>-2740</v>
      </c>
      <c r="D21" s="10">
        <v>0</v>
      </c>
      <c r="E21" s="15">
        <f t="shared" si="1"/>
        <v>2740</v>
      </c>
      <c r="F21" s="28">
        <f>E21</f>
        <v>2740</v>
      </c>
    </row>
    <row r="22" spans="2:8" x14ac:dyDescent="0.2">
      <c r="B22" s="3" t="s">
        <v>24</v>
      </c>
      <c r="C22" s="9">
        <v>-6609</v>
      </c>
      <c r="D22" s="10">
        <v>0</v>
      </c>
      <c r="E22" s="15">
        <f t="shared" si="1"/>
        <v>6609</v>
      </c>
      <c r="F22" s="28">
        <f>E22</f>
        <v>6609</v>
      </c>
    </row>
    <row r="23" spans="2:8" x14ac:dyDescent="0.2">
      <c r="B23" s="3" t="s">
        <v>25</v>
      </c>
      <c r="C23" s="9">
        <f>ROUND(-(6243901)/1000,0)-C22</f>
        <v>365</v>
      </c>
      <c r="D23" s="10">
        <v>0</v>
      </c>
      <c r="E23" s="15">
        <f t="shared" si="1"/>
        <v>-365</v>
      </c>
      <c r="F23" s="28">
        <f>E23</f>
        <v>-365</v>
      </c>
    </row>
    <row r="24" spans="2:8" x14ac:dyDescent="0.2">
      <c r="B24" s="3" t="s">
        <v>56</v>
      </c>
      <c r="C24" s="9">
        <v>160</v>
      </c>
      <c r="D24" s="10">
        <v>0</v>
      </c>
      <c r="E24" s="15">
        <f t="shared" ref="E24" si="2">D24-C24</f>
        <v>-160</v>
      </c>
      <c r="F24" s="38" t="s">
        <v>62</v>
      </c>
    </row>
    <row r="25" spans="2:8" x14ac:dyDescent="0.2">
      <c r="B25" s="3" t="s">
        <v>26</v>
      </c>
      <c r="C25" s="9">
        <v>19583</v>
      </c>
      <c r="D25" s="10">
        <v>0</v>
      </c>
      <c r="E25" s="15">
        <f t="shared" si="1"/>
        <v>-19583</v>
      </c>
      <c r="F25" s="28">
        <f>E25</f>
        <v>-19583</v>
      </c>
    </row>
    <row r="26" spans="2:8" x14ac:dyDescent="0.2">
      <c r="B26" s="3" t="s">
        <v>27</v>
      </c>
      <c r="C26" s="9">
        <f>ROUND((19582839-100077)/1000,0)-C25</f>
        <v>-100</v>
      </c>
      <c r="D26" s="10">
        <v>0</v>
      </c>
      <c r="E26" s="15">
        <f t="shared" si="1"/>
        <v>100</v>
      </c>
      <c r="F26" s="28">
        <f>E26</f>
        <v>100</v>
      </c>
    </row>
    <row r="27" spans="2:8" x14ac:dyDescent="0.2">
      <c r="B27" s="3" t="s">
        <v>11</v>
      </c>
      <c r="C27" s="16"/>
      <c r="D27" s="17"/>
      <c r="E27" s="18"/>
      <c r="F27" s="28">
        <f>ROUND(F$16*$G27,0)</f>
        <v>811</v>
      </c>
      <c r="G27" s="44">
        <v>3.8589999999999999E-2</v>
      </c>
      <c r="H27" t="s">
        <v>17</v>
      </c>
    </row>
    <row r="28" spans="2:8" x14ac:dyDescent="0.2">
      <c r="B28" s="3" t="s">
        <v>5</v>
      </c>
      <c r="C28" s="16"/>
      <c r="D28" s="17"/>
      <c r="E28" s="18"/>
      <c r="F28" s="28">
        <f>ROUND(F$16*$G28,0)</f>
        <v>76</v>
      </c>
      <c r="G28" s="44">
        <v>3.6180000000000001E-3</v>
      </c>
      <c r="H28" t="s">
        <v>17</v>
      </c>
    </row>
    <row r="29" spans="2:8" x14ac:dyDescent="0.2">
      <c r="B29" s="3" t="s">
        <v>6</v>
      </c>
      <c r="C29" s="16"/>
      <c r="D29" s="17"/>
      <c r="E29" s="18"/>
      <c r="F29" s="28">
        <f>ROUND(F$16*$G29,0)</f>
        <v>42</v>
      </c>
      <c r="G29" s="44">
        <v>2E-3</v>
      </c>
      <c r="H29" t="s">
        <v>16</v>
      </c>
    </row>
    <row r="30" spans="2:8" x14ac:dyDescent="0.2">
      <c r="C30" s="16"/>
      <c r="D30" s="17"/>
      <c r="E30" s="18"/>
      <c r="F30" s="29">
        <f>SUM(F19:F29)</f>
        <v>-9570</v>
      </c>
      <c r="G30" s="43">
        <f>SUM(G27:G29)</f>
        <v>4.4208000000000004E-2</v>
      </c>
      <c r="H30" t="s">
        <v>43</v>
      </c>
    </row>
    <row r="31" spans="2:8" x14ac:dyDescent="0.2">
      <c r="C31" s="16"/>
      <c r="D31" s="17"/>
      <c r="E31" s="18"/>
      <c r="F31" s="28"/>
      <c r="G31" s="40"/>
    </row>
    <row r="32" spans="2:8" x14ac:dyDescent="0.2">
      <c r="B32" s="21" t="s">
        <v>9</v>
      </c>
      <c r="C32" s="16"/>
      <c r="D32" s="17"/>
      <c r="E32" s="18"/>
      <c r="F32" s="28">
        <f>F16-F30</f>
        <v>30587</v>
      </c>
      <c r="G32" s="40"/>
    </row>
    <row r="33" spans="1:8" x14ac:dyDescent="0.2">
      <c r="B33" s="22" t="s">
        <v>14</v>
      </c>
      <c r="C33" s="16"/>
      <c r="D33" s="17"/>
      <c r="E33" s="18"/>
      <c r="F33" s="28">
        <f>ROUND(F32*$G33,0)</f>
        <v>10705</v>
      </c>
      <c r="G33" s="41">
        <v>0.35</v>
      </c>
      <c r="H33" t="s">
        <v>20</v>
      </c>
    </row>
    <row r="34" spans="1:8" ht="13.5" thickBot="1" x14ac:dyDescent="0.25">
      <c r="B34" s="21" t="s">
        <v>12</v>
      </c>
      <c r="C34" s="16"/>
      <c r="D34" s="17"/>
      <c r="E34" s="18"/>
      <c r="F34" s="30">
        <f>F32-F33</f>
        <v>19882</v>
      </c>
    </row>
    <row r="35" spans="1:8" ht="13.5" thickTop="1" x14ac:dyDescent="0.2">
      <c r="E35" s="5"/>
      <c r="F35" s="31"/>
    </row>
    <row r="36" spans="1:8" x14ac:dyDescent="0.2">
      <c r="B36" s="35" t="s">
        <v>22</v>
      </c>
      <c r="C36" s="1"/>
      <c r="D36" s="1"/>
      <c r="E36" s="1"/>
      <c r="G36" s="1">
        <f>F16</f>
        <v>21017</v>
      </c>
      <c r="H36" t="s">
        <v>13</v>
      </c>
    </row>
    <row r="37" spans="1:8" x14ac:dyDescent="0.2">
      <c r="C37" s="4"/>
      <c r="G37" s="23">
        <f>G30</f>
        <v>4.4208000000000004E-2</v>
      </c>
      <c r="H37" t="s">
        <v>43</v>
      </c>
    </row>
    <row r="38" spans="1:8" x14ac:dyDescent="0.2">
      <c r="C38" s="4"/>
      <c r="G38" s="19">
        <f>ROUND(G36*G37,0)</f>
        <v>929</v>
      </c>
      <c r="H38" t="s">
        <v>18</v>
      </c>
    </row>
    <row r="39" spans="1:8" x14ac:dyDescent="0.2">
      <c r="C39" s="4"/>
      <c r="G39" s="1">
        <f>SUM(F27:F29)</f>
        <v>929</v>
      </c>
      <c r="H39" t="s">
        <v>19</v>
      </c>
    </row>
    <row r="40" spans="1:8" x14ac:dyDescent="0.2">
      <c r="G40" s="19">
        <f>G38-G39</f>
        <v>0</v>
      </c>
    </row>
    <row r="42" spans="1:8" x14ac:dyDescent="0.2">
      <c r="B42" s="32" t="s">
        <v>39</v>
      </c>
    </row>
    <row r="43" spans="1:8" x14ac:dyDescent="0.2">
      <c r="B43" t="s">
        <v>28</v>
      </c>
    </row>
    <row r="44" spans="1:8" x14ac:dyDescent="0.2">
      <c r="A44" s="33">
        <v>1</v>
      </c>
      <c r="B44" t="s">
        <v>29</v>
      </c>
      <c r="F44" s="34">
        <f>ROUND(F14,0)</f>
        <v>20680</v>
      </c>
    </row>
    <row r="45" spans="1:8" x14ac:dyDescent="0.2">
      <c r="A45" s="33">
        <v>5</v>
      </c>
      <c r="B45" t="s">
        <v>46</v>
      </c>
      <c r="F45" s="1">
        <f>ROUND(F15,0)</f>
        <v>337</v>
      </c>
    </row>
    <row r="46" spans="1:8" x14ac:dyDescent="0.2">
      <c r="A46" s="33"/>
    </row>
    <row r="47" spans="1:8" x14ac:dyDescent="0.2">
      <c r="A47" s="33"/>
      <c r="B47" t="s">
        <v>30</v>
      </c>
    </row>
    <row r="48" spans="1:8" x14ac:dyDescent="0.2">
      <c r="A48" s="33"/>
      <c r="B48" t="s">
        <v>31</v>
      </c>
    </row>
    <row r="49" spans="1:6" x14ac:dyDescent="0.2">
      <c r="A49" s="33">
        <v>7</v>
      </c>
      <c r="B49" s="22" t="s">
        <v>40</v>
      </c>
      <c r="F49" s="1">
        <f>ROUND(F21,0)</f>
        <v>2740</v>
      </c>
    </row>
    <row r="50" spans="1:6" x14ac:dyDescent="0.2">
      <c r="A50" s="33">
        <v>9</v>
      </c>
      <c r="B50" s="22" t="s">
        <v>41</v>
      </c>
      <c r="F50" s="1">
        <f>ROUND(F22+F23,0)</f>
        <v>6244</v>
      </c>
    </row>
    <row r="51" spans="1:6" x14ac:dyDescent="0.2">
      <c r="A51" s="33"/>
    </row>
    <row r="52" spans="1:6" x14ac:dyDescent="0.2">
      <c r="A52" s="33"/>
      <c r="B52" t="s">
        <v>32</v>
      </c>
    </row>
    <row r="53" spans="1:6" x14ac:dyDescent="0.2">
      <c r="A53" s="33">
        <v>14</v>
      </c>
      <c r="B53" s="22" t="s">
        <v>42</v>
      </c>
      <c r="F53" s="1">
        <f>ROUND(F27,0)</f>
        <v>811</v>
      </c>
    </row>
    <row r="54" spans="1:6" x14ac:dyDescent="0.2">
      <c r="A54" s="33"/>
    </row>
    <row r="55" spans="1:6" x14ac:dyDescent="0.2">
      <c r="A55" s="33">
        <v>16</v>
      </c>
      <c r="B55" t="s">
        <v>33</v>
      </c>
      <c r="F55" s="1">
        <f>ROUND(F28,0)</f>
        <v>76</v>
      </c>
    </row>
    <row r="56" spans="1:6" x14ac:dyDescent="0.2">
      <c r="A56" s="33">
        <v>17</v>
      </c>
      <c r="B56" t="s">
        <v>34</v>
      </c>
      <c r="F56" s="1">
        <f>ROUND(F25+F26,0)</f>
        <v>-19483</v>
      </c>
    </row>
    <row r="57" spans="1:6" x14ac:dyDescent="0.2">
      <c r="A57" s="33"/>
    </row>
    <row r="58" spans="1:6" x14ac:dyDescent="0.2">
      <c r="A58" s="33"/>
      <c r="B58" t="s">
        <v>35</v>
      </c>
    </row>
    <row r="59" spans="1:6" x14ac:dyDescent="0.2">
      <c r="A59" s="33">
        <v>19</v>
      </c>
      <c r="B59" s="22" t="s">
        <v>40</v>
      </c>
      <c r="F59" s="1">
        <f>ROUND(F29,0)</f>
        <v>42</v>
      </c>
    </row>
    <row r="60" spans="1:6" x14ac:dyDescent="0.2">
      <c r="A60" s="33"/>
      <c r="B60" s="22"/>
      <c r="F60" s="1"/>
    </row>
    <row r="61" spans="1:6" x14ac:dyDescent="0.2">
      <c r="A61" s="33"/>
      <c r="B61" t="s">
        <v>36</v>
      </c>
    </row>
    <row r="62" spans="1:6" x14ac:dyDescent="0.2">
      <c r="A62" s="33">
        <v>25</v>
      </c>
      <c r="B62" t="s">
        <v>37</v>
      </c>
      <c r="F62" s="1">
        <f>ROUND((F44+F45-SUM(F49:F59))*G33,0)</f>
        <v>10705</v>
      </c>
    </row>
    <row r="63" spans="1:6" x14ac:dyDescent="0.2">
      <c r="A63" s="33"/>
    </row>
    <row r="64" spans="1:6" x14ac:dyDescent="0.2">
      <c r="A64" s="33">
        <v>27</v>
      </c>
      <c r="B64" t="s">
        <v>38</v>
      </c>
      <c r="F64" s="34">
        <f>F44+F45-SUM(F47:F62)</f>
        <v>19882</v>
      </c>
    </row>
    <row r="65" spans="6:6" x14ac:dyDescent="0.2">
      <c r="F65" s="42">
        <f>ROUND(F64-F34,0)</f>
        <v>0</v>
      </c>
    </row>
  </sheetData>
  <conditionalFormatting sqref="D17">
    <cfRule type="expression" dxfId="0" priority="1" stopIfTrue="1">
      <formula>ABS(D17)&gt;0</formula>
    </cfRule>
  </conditionalFormatting>
  <pageMargins left="0.31" right="0.35" top="0.75" bottom="0.54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44"/>
  <sheetViews>
    <sheetView workbookViewId="0">
      <selection activeCell="B17" sqref="B17"/>
    </sheetView>
  </sheetViews>
  <sheetFormatPr defaultRowHeight="12.75" x14ac:dyDescent="0.2"/>
  <cols>
    <col min="1" max="1" width="34" customWidth="1"/>
    <col min="3" max="3" width="8.140625" bestFit="1" customWidth="1"/>
    <col min="4" max="4" width="10.7109375" customWidth="1"/>
    <col min="5" max="5" width="10" bestFit="1" customWidth="1"/>
    <col min="6" max="6" width="10" customWidth="1"/>
    <col min="7" max="7" width="8.85546875" bestFit="1" customWidth="1"/>
    <col min="8" max="8" width="8" bestFit="1" customWidth="1"/>
    <col min="9" max="9" width="9.42578125" bestFit="1" customWidth="1"/>
    <col min="10" max="10" width="9" bestFit="1" customWidth="1"/>
    <col min="11" max="11" width="12.42578125" customWidth="1"/>
  </cols>
  <sheetData>
    <row r="1" spans="1:12" x14ac:dyDescent="0.2">
      <c r="A1" t="s">
        <v>65</v>
      </c>
    </row>
    <row r="2" spans="1:12" x14ac:dyDescent="0.2">
      <c r="A2" t="s">
        <v>66</v>
      </c>
    </row>
    <row r="3" spans="1:12" x14ac:dyDescent="0.2">
      <c r="A3" t="s">
        <v>67</v>
      </c>
    </row>
    <row r="4" spans="1:12" x14ac:dyDescent="0.2">
      <c r="A4" t="s">
        <v>68</v>
      </c>
    </row>
    <row r="6" spans="1:12" ht="13.5" thickBot="1" x14ac:dyDescent="0.25">
      <c r="A6" t="s">
        <v>69</v>
      </c>
    </row>
    <row r="7" spans="1:12" x14ac:dyDescent="0.2">
      <c r="C7" s="123" t="s">
        <v>70</v>
      </c>
      <c r="D7" s="124"/>
      <c r="E7" s="124"/>
      <c r="F7" s="124"/>
      <c r="G7" s="56"/>
      <c r="H7" s="56" t="s">
        <v>71</v>
      </c>
      <c r="I7" s="57"/>
      <c r="J7" s="57"/>
      <c r="K7" s="57"/>
      <c r="L7" s="58"/>
    </row>
    <row r="8" spans="1:12" ht="51.75" thickBot="1" x14ac:dyDescent="0.25">
      <c r="A8" s="59" t="s">
        <v>72</v>
      </c>
      <c r="C8" s="60" t="s">
        <v>73</v>
      </c>
      <c r="D8" s="61" t="s">
        <v>74</v>
      </c>
      <c r="E8" s="61" t="s">
        <v>75</v>
      </c>
      <c r="F8" s="61" t="s">
        <v>76</v>
      </c>
      <c r="G8" s="61" t="s">
        <v>77</v>
      </c>
      <c r="H8" s="61" t="s">
        <v>78</v>
      </c>
      <c r="I8" s="61" t="s">
        <v>79</v>
      </c>
      <c r="J8" s="61" t="s">
        <v>80</v>
      </c>
      <c r="K8" s="61" t="s">
        <v>21</v>
      </c>
      <c r="L8" s="62" t="s">
        <v>8</v>
      </c>
    </row>
    <row r="9" spans="1:12" x14ac:dyDescent="0.2">
      <c r="A9" s="33" t="s">
        <v>81</v>
      </c>
      <c r="B9" s="3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x14ac:dyDescent="0.2">
      <c r="A10" t="s">
        <v>82</v>
      </c>
      <c r="I10" s="63">
        <v>430547</v>
      </c>
      <c r="J10" s="63">
        <v>-2845</v>
      </c>
      <c r="K10" s="63">
        <v>5305</v>
      </c>
      <c r="L10" s="63">
        <f>SUM(C10:K10)</f>
        <v>433007</v>
      </c>
    </row>
    <row r="11" spans="1:12" x14ac:dyDescent="0.2">
      <c r="A11" t="s">
        <v>83</v>
      </c>
      <c r="C11" s="63">
        <v>14789</v>
      </c>
      <c r="D11" s="63">
        <v>-6915</v>
      </c>
      <c r="E11" s="63">
        <v>20489</v>
      </c>
      <c r="F11" s="63">
        <v>7113</v>
      </c>
      <c r="G11" s="63">
        <v>179</v>
      </c>
      <c r="H11" s="63">
        <v>337</v>
      </c>
      <c r="I11" s="63">
        <f>434408-C11-D11-E11-F11-H11-J11-G11</f>
        <v>400842</v>
      </c>
      <c r="J11" s="63">
        <v>-2426</v>
      </c>
      <c r="K11" s="63"/>
      <c r="L11" s="63">
        <f>SUM(C11:K11)</f>
        <v>434408</v>
      </c>
    </row>
    <row r="12" spans="1:12" x14ac:dyDescent="0.2">
      <c r="A12" t="s">
        <v>84</v>
      </c>
      <c r="C12" s="64" t="s">
        <v>85</v>
      </c>
      <c r="D12" s="65">
        <f t="shared" ref="D12:K12" si="0">D10-D11</f>
        <v>6915</v>
      </c>
      <c r="E12" s="65">
        <f t="shared" si="0"/>
        <v>-20489</v>
      </c>
      <c r="F12" s="64" t="s">
        <v>86</v>
      </c>
      <c r="G12" s="65" t="s">
        <v>87</v>
      </c>
      <c r="H12" s="65">
        <f t="shared" si="0"/>
        <v>-337</v>
      </c>
      <c r="I12" s="65">
        <f>I10-I11</f>
        <v>29705</v>
      </c>
      <c r="J12" s="65">
        <f t="shared" si="0"/>
        <v>-419</v>
      </c>
      <c r="K12" s="65">
        <f t="shared" si="0"/>
        <v>5305</v>
      </c>
      <c r="L12" s="66">
        <f>SUM(C12:K12)</f>
        <v>20680</v>
      </c>
    </row>
    <row r="14" spans="1:12" x14ac:dyDescent="0.2">
      <c r="A14" t="s">
        <v>88</v>
      </c>
      <c r="H14">
        <v>337</v>
      </c>
      <c r="L14" s="63">
        <f>SUM(C14:K14)</f>
        <v>337</v>
      </c>
    </row>
    <row r="16" spans="1:12" x14ac:dyDescent="0.2">
      <c r="A16" t="s">
        <v>89</v>
      </c>
      <c r="C16" s="67"/>
      <c r="D16" s="67">
        <f>D12+D14</f>
        <v>6915</v>
      </c>
      <c r="E16" s="67">
        <f>E12+E14</f>
        <v>-20489</v>
      </c>
      <c r="F16" s="67"/>
      <c r="G16" s="67"/>
      <c r="H16" s="67">
        <f>H12+H14</f>
        <v>0</v>
      </c>
      <c r="I16" s="67">
        <f>I12+I14</f>
        <v>29705</v>
      </c>
      <c r="J16" s="67">
        <f>J12+J14</f>
        <v>-419</v>
      </c>
      <c r="K16" s="67">
        <f>K12+K14</f>
        <v>5305</v>
      </c>
      <c r="L16" s="67">
        <f>L12+L14</f>
        <v>21017</v>
      </c>
    </row>
    <row r="19" spans="1:12" x14ac:dyDescent="0.2">
      <c r="A19" s="33" t="s">
        <v>90</v>
      </c>
      <c r="B19" s="33"/>
    </row>
    <row r="20" spans="1:12" x14ac:dyDescent="0.2">
      <c r="A20" s="33" t="s">
        <v>91</v>
      </c>
      <c r="B20" s="33"/>
      <c r="C20" s="63">
        <v>0</v>
      </c>
      <c r="D20" s="63">
        <v>0</v>
      </c>
      <c r="E20" s="63">
        <v>0</v>
      </c>
      <c r="F20" s="63">
        <v>0</v>
      </c>
      <c r="G20" s="63"/>
      <c r="H20" s="63">
        <v>0</v>
      </c>
      <c r="I20" s="63">
        <v>0</v>
      </c>
      <c r="J20" s="63">
        <v>0</v>
      </c>
      <c r="K20" s="63">
        <v>0</v>
      </c>
      <c r="L20" s="63">
        <f>SUM(C20:K20)</f>
        <v>0</v>
      </c>
    </row>
    <row r="21" spans="1:12" x14ac:dyDescent="0.2">
      <c r="A21" s="33"/>
      <c r="B21" s="33"/>
    </row>
    <row r="22" spans="1:12" x14ac:dyDescent="0.2">
      <c r="A22" s="68" t="s">
        <v>10</v>
      </c>
      <c r="B22" s="68"/>
      <c r="C22" s="63">
        <v>14761</v>
      </c>
      <c r="I22" s="34"/>
      <c r="L22" s="69" t="s">
        <v>85</v>
      </c>
    </row>
    <row r="23" spans="1:12" x14ac:dyDescent="0.2">
      <c r="A23" s="68" t="s">
        <v>92</v>
      </c>
      <c r="B23" s="68"/>
      <c r="C23" s="63"/>
      <c r="G23" s="63">
        <v>160</v>
      </c>
      <c r="I23" s="34"/>
      <c r="L23" s="70" t="s">
        <v>87</v>
      </c>
    </row>
    <row r="24" spans="1:12" x14ac:dyDescent="0.2">
      <c r="A24" s="68" t="s">
        <v>93</v>
      </c>
      <c r="B24" s="68"/>
      <c r="F24" s="63">
        <v>6276</v>
      </c>
      <c r="G24" s="63"/>
      <c r="I24" s="1"/>
      <c r="L24" s="63" t="s">
        <v>86</v>
      </c>
    </row>
    <row r="25" spans="1:12" x14ac:dyDescent="0.2">
      <c r="A25" s="68" t="s">
        <v>94</v>
      </c>
      <c r="B25" s="68"/>
      <c r="C25" s="63"/>
      <c r="D25" s="63"/>
      <c r="E25" s="63"/>
      <c r="F25" s="63"/>
      <c r="G25" s="63"/>
      <c r="H25" s="63"/>
      <c r="I25" s="63"/>
      <c r="J25" s="63">
        <v>-2740</v>
      </c>
      <c r="K25" s="63"/>
      <c r="L25" s="63">
        <f>SUM(C25:K25)</f>
        <v>-2740</v>
      </c>
    </row>
    <row r="26" spans="1:12" x14ac:dyDescent="0.2">
      <c r="A26" s="68" t="s">
        <v>95</v>
      </c>
      <c r="B26" s="68"/>
      <c r="C26" s="63"/>
      <c r="D26" s="63">
        <v>-6609</v>
      </c>
      <c r="E26" s="63"/>
      <c r="F26" s="63"/>
      <c r="G26" s="63"/>
      <c r="H26" s="63"/>
      <c r="I26" s="63"/>
      <c r="J26" s="63"/>
      <c r="K26" s="63"/>
      <c r="L26" s="63">
        <f>SUM(C26:K26)</f>
        <v>-6609</v>
      </c>
    </row>
    <row r="27" spans="1:12" x14ac:dyDescent="0.2">
      <c r="A27" s="68" t="s">
        <v>96</v>
      </c>
      <c r="B27" s="68"/>
      <c r="C27" s="63"/>
      <c r="D27" s="63"/>
      <c r="E27" s="63"/>
      <c r="F27" s="63"/>
      <c r="G27" s="63"/>
      <c r="H27" s="63"/>
      <c r="I27" s="63"/>
      <c r="J27" s="63">
        <v>365</v>
      </c>
      <c r="K27" s="63"/>
      <c r="L27" s="63">
        <f>SUM(C27:K27)</f>
        <v>365</v>
      </c>
    </row>
    <row r="28" spans="1:12" x14ac:dyDescent="0.2">
      <c r="A28" s="68" t="s">
        <v>97</v>
      </c>
      <c r="B28" s="68"/>
      <c r="C28" s="63"/>
      <c r="D28" s="63"/>
      <c r="E28" s="63">
        <v>19583</v>
      </c>
      <c r="F28" s="63"/>
      <c r="G28" s="63"/>
      <c r="H28" s="63"/>
      <c r="I28" s="63"/>
      <c r="J28" s="63"/>
      <c r="K28" s="63"/>
      <c r="L28" s="63">
        <f>SUM(C28:K28)</f>
        <v>19583</v>
      </c>
    </row>
    <row r="29" spans="1:12" x14ac:dyDescent="0.2">
      <c r="A29" s="68" t="s">
        <v>98</v>
      </c>
      <c r="B29" s="68"/>
      <c r="C29" s="63"/>
      <c r="D29" s="63"/>
      <c r="E29" s="63"/>
      <c r="F29" s="63"/>
      <c r="G29" s="63"/>
      <c r="H29" s="63"/>
      <c r="I29" s="63"/>
      <c r="J29" s="63">
        <v>-100</v>
      </c>
      <c r="K29" s="63"/>
      <c r="L29" s="63">
        <f>SUM(C29:K29)</f>
        <v>-100</v>
      </c>
    </row>
    <row r="30" spans="1:12" x14ac:dyDescent="0.2">
      <c r="A30" s="68" t="s">
        <v>99</v>
      </c>
      <c r="B30" s="68"/>
      <c r="C30" s="71" t="s">
        <v>85</v>
      </c>
      <c r="D30" s="71">
        <f t="shared" ref="D30:K30" si="1">SUM(D22:D29)</f>
        <v>-6609</v>
      </c>
      <c r="E30" s="71">
        <f t="shared" si="1"/>
        <v>19583</v>
      </c>
      <c r="F30" s="71" t="s">
        <v>100</v>
      </c>
      <c r="G30" s="65" t="s">
        <v>87</v>
      </c>
      <c r="H30" s="71">
        <f t="shared" si="1"/>
        <v>0</v>
      </c>
      <c r="I30" s="71">
        <f t="shared" si="1"/>
        <v>0</v>
      </c>
      <c r="J30" s="71">
        <f t="shared" si="1"/>
        <v>-2475</v>
      </c>
      <c r="K30" s="71">
        <f t="shared" si="1"/>
        <v>0</v>
      </c>
      <c r="L30" s="71">
        <f>SUM(L22:L29)</f>
        <v>10499</v>
      </c>
    </row>
    <row r="31" spans="1:12" x14ac:dyDescent="0.2">
      <c r="A31" s="68"/>
      <c r="B31" s="68"/>
      <c r="C31" s="22"/>
      <c r="D31" s="22"/>
      <c r="I31" s="1"/>
    </row>
    <row r="32" spans="1:12" x14ac:dyDescent="0.2">
      <c r="A32" s="68" t="s">
        <v>101</v>
      </c>
      <c r="B32" s="68"/>
      <c r="C32" s="72"/>
      <c r="D32" s="72">
        <f>D20-D30</f>
        <v>6609</v>
      </c>
      <c r="E32" s="72">
        <f>E20-E30</f>
        <v>-19583</v>
      </c>
      <c r="H32" s="72">
        <f t="shared" ref="H32:K32" si="2">H20-H30</f>
        <v>0</v>
      </c>
      <c r="I32" s="72">
        <f t="shared" si="2"/>
        <v>0</v>
      </c>
      <c r="J32" s="72">
        <f>J20-J30</f>
        <v>2475</v>
      </c>
      <c r="K32" s="72">
        <f t="shared" si="2"/>
        <v>0</v>
      </c>
      <c r="L32" s="63">
        <f>SUM(C32:K32)</f>
        <v>-10499</v>
      </c>
    </row>
    <row r="33" spans="1:12" x14ac:dyDescent="0.2">
      <c r="A33" s="68"/>
      <c r="B33" s="68"/>
      <c r="C33" s="22"/>
      <c r="D33" s="22"/>
      <c r="I33" s="1"/>
    </row>
    <row r="34" spans="1:12" x14ac:dyDescent="0.2">
      <c r="A34" s="33" t="s">
        <v>11</v>
      </c>
      <c r="B34" s="33">
        <v>3.8589999999999999E-2</v>
      </c>
      <c r="C34" s="67">
        <f>C$16*$B34</f>
        <v>0</v>
      </c>
      <c r="D34" s="67">
        <f>D$16*$B34</f>
        <v>266.84985</v>
      </c>
      <c r="E34" s="67">
        <f t="shared" ref="E34:K34" si="3">E$16*$B34</f>
        <v>-790.67051000000004</v>
      </c>
      <c r="F34" s="67">
        <f>F$16*$B34</f>
        <v>0</v>
      </c>
      <c r="G34" s="67">
        <f>G$16*$B34</f>
        <v>0</v>
      </c>
      <c r="H34" s="67">
        <f t="shared" si="3"/>
        <v>0</v>
      </c>
      <c r="I34" s="67">
        <f>I$16*$B34</f>
        <v>1146.3159499999999</v>
      </c>
      <c r="J34" s="67">
        <f t="shared" si="3"/>
        <v>-16.16921</v>
      </c>
      <c r="K34" s="67">
        <f t="shared" si="3"/>
        <v>204.71994999999998</v>
      </c>
      <c r="L34" s="63">
        <f>SUM(C34:K34)</f>
        <v>811.04602999999975</v>
      </c>
    </row>
    <row r="35" spans="1:12" x14ac:dyDescent="0.2">
      <c r="A35" s="33" t="s">
        <v>5</v>
      </c>
      <c r="B35" s="33">
        <v>3.6180000000000001E-3</v>
      </c>
      <c r="C35" s="67">
        <f t="shared" ref="C35:K38" si="4">C$16*$B35</f>
        <v>0</v>
      </c>
      <c r="D35" s="67">
        <f>D$16*$B35</f>
        <v>25.018470000000001</v>
      </c>
      <c r="E35" s="67">
        <f t="shared" si="4"/>
        <v>-74.129202000000006</v>
      </c>
      <c r="F35" s="67">
        <f t="shared" si="4"/>
        <v>0</v>
      </c>
      <c r="G35" s="67">
        <f t="shared" si="4"/>
        <v>0</v>
      </c>
      <c r="H35" s="67">
        <f t="shared" si="4"/>
        <v>0</v>
      </c>
      <c r="I35" s="67">
        <f t="shared" si="4"/>
        <v>107.47269</v>
      </c>
      <c r="J35" s="67">
        <f t="shared" si="4"/>
        <v>-1.5159420000000001</v>
      </c>
      <c r="K35" s="67">
        <f t="shared" si="4"/>
        <v>19.193490000000001</v>
      </c>
      <c r="L35" s="63">
        <f>SUM(C35:K35)</f>
        <v>76.039505999999989</v>
      </c>
    </row>
    <row r="36" spans="1:12" x14ac:dyDescent="0.2">
      <c r="A36" s="33" t="s">
        <v>6</v>
      </c>
      <c r="B36" s="73">
        <v>2E-3</v>
      </c>
      <c r="C36" s="67">
        <f t="shared" si="4"/>
        <v>0</v>
      </c>
      <c r="D36" s="67">
        <f t="shared" si="4"/>
        <v>13.83</v>
      </c>
      <c r="E36" s="67">
        <f t="shared" si="4"/>
        <v>-40.978000000000002</v>
      </c>
      <c r="F36" s="67">
        <f t="shared" si="4"/>
        <v>0</v>
      </c>
      <c r="G36" s="67">
        <f t="shared" si="4"/>
        <v>0</v>
      </c>
      <c r="H36" s="67">
        <f t="shared" si="4"/>
        <v>0</v>
      </c>
      <c r="I36" s="67">
        <f t="shared" si="4"/>
        <v>59.410000000000004</v>
      </c>
      <c r="J36" s="67">
        <f t="shared" si="4"/>
        <v>-0.83799999999999997</v>
      </c>
      <c r="K36" s="67">
        <f t="shared" si="4"/>
        <v>10.61</v>
      </c>
      <c r="L36" s="63">
        <f>SUM(C36:K36)</f>
        <v>42.033999999999999</v>
      </c>
    </row>
    <row r="37" spans="1:12" x14ac:dyDescent="0.2">
      <c r="A37" s="33"/>
      <c r="B37" s="33"/>
      <c r="G37" s="67"/>
    </row>
    <row r="38" spans="1:12" x14ac:dyDescent="0.2">
      <c r="A38" s="33" t="s">
        <v>102</v>
      </c>
      <c r="B38" s="33"/>
      <c r="C38" s="67">
        <f>SUM(C32:C36)</f>
        <v>0</v>
      </c>
      <c r="D38" s="67">
        <f>SUM(D32:D36)</f>
        <v>6914.6983199999995</v>
      </c>
      <c r="E38" s="67">
        <f t="shared" ref="E38:L38" si="5">SUM(E32:E36)</f>
        <v>-20488.777711999999</v>
      </c>
      <c r="F38" s="67">
        <f t="shared" si="5"/>
        <v>0</v>
      </c>
      <c r="G38" s="67">
        <f t="shared" si="4"/>
        <v>0</v>
      </c>
      <c r="H38" s="67">
        <f t="shared" si="5"/>
        <v>0</v>
      </c>
      <c r="I38" s="67">
        <f t="shared" si="5"/>
        <v>1313.1986400000001</v>
      </c>
      <c r="J38" s="67">
        <f t="shared" si="5"/>
        <v>2456.4768479999998</v>
      </c>
      <c r="K38" s="67">
        <f t="shared" si="5"/>
        <v>234.52343999999999</v>
      </c>
      <c r="L38" s="67">
        <f t="shared" si="5"/>
        <v>-9569.8804640000017</v>
      </c>
    </row>
    <row r="39" spans="1:12" x14ac:dyDescent="0.2">
      <c r="A39" s="33"/>
      <c r="B39" s="33"/>
      <c r="G39" s="67"/>
      <c r="I39" s="1"/>
    </row>
    <row r="40" spans="1:12" x14ac:dyDescent="0.2">
      <c r="A40" s="33" t="s">
        <v>9</v>
      </c>
      <c r="B40" s="33"/>
      <c r="C40" s="67">
        <f>C16-C38</f>
        <v>0</v>
      </c>
      <c r="D40" s="67">
        <f>D16-D38</f>
        <v>0.30168000000048778</v>
      </c>
      <c r="E40" s="67">
        <f>E16-E38</f>
        <v>-0.22228800000084448</v>
      </c>
      <c r="F40" s="67">
        <f t="shared" ref="F40:L40" si="6">F16-F38</f>
        <v>0</v>
      </c>
      <c r="G40" s="67">
        <f>G$16*$B40</f>
        <v>0</v>
      </c>
      <c r="H40" s="67">
        <f t="shared" si="6"/>
        <v>0</v>
      </c>
      <c r="I40" s="67">
        <f t="shared" si="6"/>
        <v>28391.801360000001</v>
      </c>
      <c r="J40" s="67">
        <f t="shared" si="6"/>
        <v>-2875.4768479999998</v>
      </c>
      <c r="K40" s="67">
        <f t="shared" si="6"/>
        <v>5070.4765600000001</v>
      </c>
      <c r="L40" s="67">
        <f t="shared" si="6"/>
        <v>30586.880464000002</v>
      </c>
    </row>
    <row r="41" spans="1:12" x14ac:dyDescent="0.2">
      <c r="A41" s="33" t="s">
        <v>14</v>
      </c>
      <c r="B41" s="74">
        <v>0.35</v>
      </c>
      <c r="C41" s="67">
        <f>C40*$B$41</f>
        <v>0</v>
      </c>
      <c r="D41" s="67">
        <f>D40*$B$41</f>
        <v>0.10558800000017071</v>
      </c>
      <c r="E41" s="67">
        <f>E40*$B$41</f>
        <v>-7.7800800000295559E-2</v>
      </c>
      <c r="F41" s="67">
        <f t="shared" ref="F41:L41" si="7">F40*$B$41</f>
        <v>0</v>
      </c>
      <c r="G41" s="67">
        <f>G$16*$B41</f>
        <v>0</v>
      </c>
      <c r="H41" s="67">
        <f t="shared" si="7"/>
        <v>0</v>
      </c>
      <c r="I41" s="67">
        <f t="shared" si="7"/>
        <v>9937.1304760000003</v>
      </c>
      <c r="J41" s="67">
        <f t="shared" si="7"/>
        <v>-1006.4168967999999</v>
      </c>
      <c r="K41" s="67">
        <f t="shared" si="7"/>
        <v>1774.666796</v>
      </c>
      <c r="L41" s="67">
        <f t="shared" si="7"/>
        <v>10705.408162399999</v>
      </c>
    </row>
    <row r="42" spans="1:12" x14ac:dyDescent="0.2">
      <c r="A42" s="33" t="s">
        <v>12</v>
      </c>
      <c r="B42" s="33"/>
      <c r="C42" s="71" t="s">
        <v>85</v>
      </c>
      <c r="D42" s="71">
        <f t="shared" ref="D42:K42" si="8">D40-D41</f>
        <v>0.19609200000031707</v>
      </c>
      <c r="E42" s="71">
        <f t="shared" si="8"/>
        <v>-0.14448720000054893</v>
      </c>
      <c r="F42" s="71" t="s">
        <v>100</v>
      </c>
      <c r="G42" s="71" t="s">
        <v>87</v>
      </c>
      <c r="H42" s="71">
        <f t="shared" si="8"/>
        <v>0</v>
      </c>
      <c r="I42" s="71">
        <f t="shared" si="8"/>
        <v>18454.670883999999</v>
      </c>
      <c r="J42" s="71">
        <f t="shared" si="8"/>
        <v>-1869.0599511999999</v>
      </c>
      <c r="K42" s="71">
        <f t="shared" si="8"/>
        <v>3295.8097640000001</v>
      </c>
      <c r="L42" s="71">
        <f>(L40-L41)+1</f>
        <v>19882.472301600003</v>
      </c>
    </row>
    <row r="43" spans="1:12" x14ac:dyDescent="0.2">
      <c r="A43" s="33"/>
      <c r="B43" s="33"/>
      <c r="C43" s="22"/>
      <c r="D43" s="22"/>
      <c r="I43" s="1"/>
    </row>
    <row r="44" spans="1:12" x14ac:dyDescent="0.2">
      <c r="A44" s="68" t="s">
        <v>103</v>
      </c>
      <c r="B44" s="33"/>
    </row>
  </sheetData>
  <mergeCells count="1">
    <mergeCell ref="C7:F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276D56-73B5-40A1-93E1-0495DB73DA8E}"/>
</file>

<file path=customXml/itemProps2.xml><?xml version="1.0" encoding="utf-8"?>
<ds:datastoreItem xmlns:ds="http://schemas.openxmlformats.org/officeDocument/2006/customXml" ds:itemID="{1D90131C-4EC6-4F80-AF37-42ECAC0284EF}"/>
</file>

<file path=customXml/itemProps3.xml><?xml version="1.0" encoding="utf-8"?>
<ds:datastoreItem xmlns:ds="http://schemas.openxmlformats.org/officeDocument/2006/customXml" ds:itemID="{A1A22828-261B-4A7C-BCF4-236363D57345}"/>
</file>

<file path=customXml/itemProps4.xml><?xml version="1.0" encoding="utf-8"?>
<ds:datastoreItem xmlns:ds="http://schemas.openxmlformats.org/officeDocument/2006/customXml" ds:itemID="{87CC6306-DEEC-45E0-9BE2-387F689F08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PF Revenue Adj</vt:lpstr>
      <vt:lpstr>Reconcile ROO to Restated</vt:lpstr>
      <vt:lpstr>2010</vt:lpstr>
      <vt:lpstr>2010 Component Analysis</vt:lpstr>
      <vt:lpstr>'2010'!Print_Area</vt:lpstr>
      <vt:lpstr>'PF Revenue Adj'!Print_Area</vt:lpstr>
      <vt:lpstr>'Reconcile ROO to Restated'!Print_Area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KZX5DR</dc:creator>
  <cp:lastModifiedBy>Knox, Tara</cp:lastModifiedBy>
  <cp:lastPrinted>2020-09-24T17:32:21Z</cp:lastPrinted>
  <dcterms:created xsi:type="dcterms:W3CDTF">2007-03-14T20:24:40Z</dcterms:created>
  <dcterms:modified xsi:type="dcterms:W3CDTF">2020-09-24T17:33:16Z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