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2020\2020 WA Elec and Gas GRC\Adjustments\3.21 PF ADFIT\"/>
    </mc:Choice>
  </mc:AlternateContent>
  <xr:revisionPtr revIDLastSave="0" documentId="13_ncr:1_{E8E5F560-E969-4CF1-9793-B7AD0B8AA38A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DFIT 2019" sheetId="55" r:id="rId1"/>
    <sheet name="DFIT 2019 10&amp;2" sheetId="53" r:id="rId2"/>
    <sheet name="DFIT 2018" sheetId="51" r:id="rId3"/>
    <sheet name="DFIT 2017 (Dec 2017)" sheetId="50" r:id="rId4"/>
    <sheet name="DFIT 2016 (Dec 2016)" sheetId="49" r:id="rId5"/>
    <sheet name="DFIT 2015 (Dec 2015)" sheetId="48" r:id="rId6"/>
    <sheet name="DFIT 2014 (Dec 2014)" sheetId="47" r:id="rId7"/>
    <sheet name="DFIT 2013 (Dec 2013) " sheetId="46" r:id="rId8"/>
    <sheet name="DFIT 2012 (Dec 2012)" sheetId="45" r:id="rId9"/>
    <sheet name="DFIT 2012 (Mar 2012)" sheetId="43" r:id="rId10"/>
    <sheet name="DFIT 2011 (Nov 2011)" sheetId="42" r:id="rId11"/>
    <sheet name="DFIT &amp; CIAC 2009 (Mar 2009)" sheetId="37" r:id="rId12"/>
    <sheet name="DFIT  2009 (Dec 2009)" sheetId="38" r:id="rId13"/>
    <sheet name="DFIT 2010 (Jan 2010)" sheetId="39" r:id="rId14"/>
    <sheet name="DFIT 2010 (Nov 2010)" sheetId="40" r:id="rId15"/>
    <sheet name="DFIT 2011 (Mar 2011)" sheetId="41" r:id="rId16"/>
  </sheets>
  <definedNames>
    <definedName name="_xlnm.Print_Area" localSheetId="12">'DFIT  2009 (Dec 2009)'!$A$1:$M$65</definedName>
    <definedName name="_xlnm.Print_Area" localSheetId="11">'DFIT &amp; CIAC 2009 (Mar 2009)'!$A$1:$M$65</definedName>
    <definedName name="_xlnm.Print_Area" localSheetId="13">'DFIT 2010 (Jan 2010)'!$A$1:$M$65</definedName>
    <definedName name="_xlnm.Print_Area" localSheetId="14">'DFIT 2010 (Nov 2010)'!$A$1:$M$65</definedName>
    <definedName name="_xlnm.Print_Area" localSheetId="15">'DFIT 2011 (Mar 2011)'!$A$1:$M$65</definedName>
    <definedName name="_xlnm.Print_Area" localSheetId="10">'DFIT 2011 (Nov 2011)'!$A$1:$M$65</definedName>
    <definedName name="_xlnm.Print_Area" localSheetId="8">'DFIT 2012 (Dec 2012)'!$A$1:$Q$65</definedName>
    <definedName name="_xlnm.Print_Area" localSheetId="9">'DFIT 2012 (Mar 2012)'!$A$1:$O$65</definedName>
    <definedName name="_xlnm.Print_Area" localSheetId="7">'DFIT 2013 (Dec 2013) '!$A$1:$Q$65</definedName>
    <definedName name="_xlnm.Print_Area" localSheetId="6">'DFIT 2014 (Dec 2014)'!$A$1:$Q$65</definedName>
    <definedName name="_xlnm.Print_Area" localSheetId="5">'DFIT 2015 (Dec 2015)'!$A$1:$Q$65</definedName>
    <definedName name="_xlnm.Print_Area" localSheetId="4">'DFIT 2016 (Dec 2016)'!$A$1:$Q$65</definedName>
    <definedName name="_xlnm.Print_Area" localSheetId="3">'DFIT 2017 (Dec 2017)'!$A$1:$Q$65</definedName>
    <definedName name="_xlnm.Print_Area" localSheetId="0">'DFIT 2019'!$A$1:$P$27</definedName>
    <definedName name="_xlnm.Print_Area" localSheetId="1">'DFIT 2019 10&amp;2'!$A$1:$O$27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55" l="1"/>
  <c r="P7" i="55"/>
  <c r="H11" i="55"/>
  <c r="H10" i="55"/>
  <c r="H9" i="55"/>
  <c r="H8" i="55"/>
  <c r="H7" i="55"/>
  <c r="P8" i="55" l="1"/>
  <c r="O13" i="55"/>
  <c r="N7" i="55"/>
  <c r="P11" i="55" l="1"/>
  <c r="P10" i="55"/>
  <c r="P9" i="55"/>
  <c r="G13" i="55"/>
  <c r="P13" i="55" l="1"/>
  <c r="M13" i="55"/>
  <c r="J13" i="55"/>
  <c r="J16" i="55" s="1"/>
  <c r="F13" i="55"/>
  <c r="L11" i="55"/>
  <c r="K11" i="55"/>
  <c r="L10" i="55"/>
  <c r="K10" i="55"/>
  <c r="L9" i="55"/>
  <c r="K9" i="55"/>
  <c r="N9" i="55" s="1"/>
  <c r="L8" i="55"/>
  <c r="K8" i="55"/>
  <c r="L7" i="55"/>
  <c r="K7" i="55"/>
  <c r="N8" i="55" l="1"/>
  <c r="N11" i="55"/>
  <c r="N10" i="55"/>
  <c r="K13" i="55"/>
  <c r="G19" i="55"/>
  <c r="G20" i="55" s="1"/>
  <c r="L13" i="55"/>
  <c r="J17" i="55" s="1"/>
  <c r="J19" i="55" s="1"/>
  <c r="G17" i="55" l="1"/>
  <c r="N13" i="55"/>
  <c r="G18" i="55" l="1"/>
  <c r="G25" i="55" l="1"/>
  <c r="G26" i="55" s="1"/>
  <c r="G23" i="55"/>
  <c r="G24" i="55" s="1"/>
  <c r="G21" i="55" l="1"/>
  <c r="P16" i="55"/>
  <c r="P18" i="55" s="1"/>
  <c r="P20" i="55" s="1"/>
  <c r="H14" i="55"/>
  <c r="G22" i="55" l="1"/>
  <c r="G27" i="55"/>
  <c r="O7" i="51" l="1"/>
  <c r="N7" i="51"/>
  <c r="K8" i="51"/>
  <c r="K7" i="51"/>
  <c r="K11" i="51"/>
  <c r="K10" i="51"/>
  <c r="K9" i="51"/>
  <c r="H13" i="51"/>
  <c r="H11" i="51"/>
  <c r="H10" i="51"/>
  <c r="H9" i="51"/>
  <c r="H8" i="51"/>
  <c r="H7" i="51"/>
  <c r="P18" i="53" l="1"/>
  <c r="G13" i="53"/>
  <c r="F11" i="53" l="1"/>
  <c r="K11" i="53" s="1"/>
  <c r="F10" i="53"/>
  <c r="K10" i="53" s="1"/>
  <c r="F9" i="53"/>
  <c r="H9" i="53" s="1"/>
  <c r="G21" i="53" s="1"/>
  <c r="G22" i="53" s="1"/>
  <c r="F8" i="53"/>
  <c r="H8" i="53" s="1"/>
  <c r="G19" i="53" s="1"/>
  <c r="G20" i="53" s="1"/>
  <c r="F7" i="53"/>
  <c r="F13" i="53" s="1"/>
  <c r="O8" i="53" l="1"/>
  <c r="O9" i="53"/>
  <c r="J13" i="53"/>
  <c r="J16" i="53" s="1"/>
  <c r="M13" i="53"/>
  <c r="H7" i="53"/>
  <c r="O7" i="53" s="1"/>
  <c r="H10" i="53"/>
  <c r="G23" i="53" s="1"/>
  <c r="G24" i="53" s="1"/>
  <c r="H11" i="53"/>
  <c r="G25" i="53" s="1"/>
  <c r="G26" i="53" s="1"/>
  <c r="K7" i="53"/>
  <c r="K8" i="53"/>
  <c r="K9" i="53"/>
  <c r="O11" i="53" l="1"/>
  <c r="O10" i="53"/>
  <c r="G17" i="53"/>
  <c r="O13" i="53"/>
  <c r="O16" i="53"/>
  <c r="O18" i="53" s="1"/>
  <c r="K13" i="53"/>
  <c r="H13" i="53"/>
  <c r="H14" i="53" s="1"/>
  <c r="G18" i="53" l="1"/>
  <c r="G27" i="53" s="1"/>
  <c r="G13" i="51" l="1"/>
  <c r="L11" i="53" l="1"/>
  <c r="N11" i="53" s="1"/>
  <c r="L10" i="53"/>
  <c r="N10" i="53" s="1"/>
  <c r="L9" i="53"/>
  <c r="N9" i="53" s="1"/>
  <c r="O8" i="51"/>
  <c r="L7" i="53"/>
  <c r="N7" i="53" s="1"/>
  <c r="F13" i="51"/>
  <c r="L8" i="53" l="1"/>
  <c r="M13" i="51"/>
  <c r="O11" i="51"/>
  <c r="G17" i="51"/>
  <c r="G18" i="51" s="1"/>
  <c r="O9" i="51"/>
  <c r="O10" i="51"/>
  <c r="G25" i="51"/>
  <c r="G26" i="51" s="1"/>
  <c r="K13" i="51"/>
  <c r="G19" i="51"/>
  <c r="G20" i="51" s="1"/>
  <c r="G21" i="51"/>
  <c r="G22" i="51" s="1"/>
  <c r="G23" i="51"/>
  <c r="G24" i="51" s="1"/>
  <c r="J13" i="51"/>
  <c r="H14" i="51"/>
  <c r="L13" i="53" l="1"/>
  <c r="N8" i="53"/>
  <c r="O13" i="51"/>
  <c r="O16" i="51" s="1"/>
  <c r="O18" i="51" s="1"/>
  <c r="J16" i="51"/>
  <c r="G27" i="51"/>
  <c r="J17" i="53" l="1"/>
  <c r="J19" i="53" s="1"/>
  <c r="N13" i="53"/>
  <c r="L56" i="50"/>
  <c r="J56" i="50"/>
  <c r="L55" i="50"/>
  <c r="J55" i="50"/>
  <c r="L54" i="50"/>
  <c r="J54" i="50"/>
  <c r="L53" i="50"/>
  <c r="J53" i="50"/>
  <c r="L52" i="50"/>
  <c r="J52" i="50"/>
  <c r="P24" i="50"/>
  <c r="F23" i="50"/>
  <c r="H21" i="50"/>
  <c r="K21" i="50" s="1"/>
  <c r="H20" i="50"/>
  <c r="K20" i="50" s="1"/>
  <c r="L10" i="51" s="1"/>
  <c r="N10" i="51" s="1"/>
  <c r="H19" i="50"/>
  <c r="H18" i="50"/>
  <c r="H17" i="50"/>
  <c r="K17" i="50" s="1"/>
  <c r="H16" i="50"/>
  <c r="H15" i="50"/>
  <c r="K15" i="50" s="1"/>
  <c r="H14" i="50"/>
  <c r="H13" i="50"/>
  <c r="L13" i="50" s="1"/>
  <c r="M13" i="50" s="1"/>
  <c r="H12" i="50"/>
  <c r="L12" i="50" s="1"/>
  <c r="M12" i="50" s="1"/>
  <c r="J34" i="50" s="1"/>
  <c r="H11" i="50"/>
  <c r="L11" i="50" s="1"/>
  <c r="M11" i="50" s="1"/>
  <c r="L10" i="50"/>
  <c r="M10" i="50" s="1"/>
  <c r="H9" i="50"/>
  <c r="L9" i="50" s="1"/>
  <c r="M9" i="50" s="1"/>
  <c r="H8" i="50"/>
  <c r="J60" i="50" l="1"/>
  <c r="L7" i="51"/>
  <c r="J64" i="50"/>
  <c r="L11" i="51"/>
  <c r="N11" i="51" s="1"/>
  <c r="O16" i="50"/>
  <c r="J16" i="50" s="1"/>
  <c r="O15" i="50"/>
  <c r="O20" i="50"/>
  <c r="Q24" i="50"/>
  <c r="O14" i="50"/>
  <c r="O19" i="50"/>
  <c r="D23" i="50"/>
  <c r="D27" i="50" s="1"/>
  <c r="O18" i="50"/>
  <c r="O17" i="50"/>
  <c r="O21" i="50"/>
  <c r="L35" i="50"/>
  <c r="J35" i="50"/>
  <c r="J32" i="50"/>
  <c r="L32" i="50"/>
  <c r="J58" i="50"/>
  <c r="L15" i="50"/>
  <c r="M15" i="50" s="1"/>
  <c r="L21" i="50"/>
  <c r="M21" i="50" s="1"/>
  <c r="L34" i="50"/>
  <c r="L64" i="50"/>
  <c r="L33" i="50"/>
  <c r="J33" i="50"/>
  <c r="L63" i="50"/>
  <c r="J63" i="50"/>
  <c r="L20" i="50"/>
  <c r="M20" i="50" s="1"/>
  <c r="L58" i="50"/>
  <c r="L17" i="50"/>
  <c r="M17" i="50" s="1"/>
  <c r="K19" i="50"/>
  <c r="L9" i="51" s="1"/>
  <c r="N9" i="51" s="1"/>
  <c r="L60" i="50"/>
  <c r="H23" i="50"/>
  <c r="H24" i="50" s="1"/>
  <c r="L8" i="50"/>
  <c r="K18" i="50"/>
  <c r="L8" i="51" s="1"/>
  <c r="N8" i="51" s="1"/>
  <c r="L56" i="49"/>
  <c r="J56" i="49"/>
  <c r="L55" i="49"/>
  <c r="J55" i="49"/>
  <c r="L54" i="49"/>
  <c r="J54" i="49"/>
  <c r="L53" i="49"/>
  <c r="J53" i="49"/>
  <c r="L52" i="49"/>
  <c r="J52" i="49"/>
  <c r="P24" i="49"/>
  <c r="R23" i="49"/>
  <c r="H21" i="49"/>
  <c r="K21" i="49" s="1"/>
  <c r="L21" i="49" s="1"/>
  <c r="M21" i="49" s="1"/>
  <c r="H20" i="49"/>
  <c r="K20" i="49" s="1"/>
  <c r="H19" i="49"/>
  <c r="K19" i="49" s="1"/>
  <c r="H18" i="49"/>
  <c r="H17" i="49"/>
  <c r="K17" i="49" s="1"/>
  <c r="H16" i="49"/>
  <c r="H15" i="49"/>
  <c r="H14" i="49"/>
  <c r="H13" i="49"/>
  <c r="L13" i="49" s="1"/>
  <c r="M13" i="49" s="1"/>
  <c r="H12" i="49"/>
  <c r="L12" i="49" s="1"/>
  <c r="M12" i="49" s="1"/>
  <c r="H11" i="49"/>
  <c r="L11" i="49" s="1"/>
  <c r="M11" i="49" s="1"/>
  <c r="L10" i="49"/>
  <c r="M10" i="49" s="1"/>
  <c r="H9" i="49"/>
  <c r="L9" i="49" s="1"/>
  <c r="M9" i="49" s="1"/>
  <c r="H8" i="49"/>
  <c r="L13" i="51" l="1"/>
  <c r="O19" i="49"/>
  <c r="L62" i="49"/>
  <c r="J62" i="49"/>
  <c r="K15" i="49"/>
  <c r="L19" i="50"/>
  <c r="M19" i="50" s="1"/>
  <c r="L41" i="50" s="1"/>
  <c r="L62" i="50"/>
  <c r="J62" i="50"/>
  <c r="L37" i="50"/>
  <c r="J37" i="50"/>
  <c r="L43" i="50"/>
  <c r="J43" i="50"/>
  <c r="L61" i="50"/>
  <c r="J61" i="50"/>
  <c r="M8" i="50"/>
  <c r="L42" i="50"/>
  <c r="J42" i="50"/>
  <c r="L39" i="50"/>
  <c r="J39" i="50"/>
  <c r="L18" i="50"/>
  <c r="M18" i="50" s="1"/>
  <c r="O23" i="50"/>
  <c r="J14" i="50"/>
  <c r="K16" i="50"/>
  <c r="L16" i="50" s="1"/>
  <c r="M16" i="50" s="1"/>
  <c r="H23" i="49"/>
  <c r="H24" i="49" s="1"/>
  <c r="O21" i="49"/>
  <c r="O20" i="49"/>
  <c r="O18" i="49"/>
  <c r="O14" i="49"/>
  <c r="Q24" i="49"/>
  <c r="D23" i="49"/>
  <c r="D27" i="49" s="1"/>
  <c r="O15" i="49"/>
  <c r="O16" i="49"/>
  <c r="J16" i="49" s="1"/>
  <c r="O17" i="49"/>
  <c r="L34" i="49"/>
  <c r="J34" i="49"/>
  <c r="J35" i="49"/>
  <c r="L35" i="49"/>
  <c r="J43" i="49"/>
  <c r="L43" i="49"/>
  <c r="L32" i="49"/>
  <c r="J32" i="49"/>
  <c r="L33" i="49"/>
  <c r="J33" i="49"/>
  <c r="L60" i="49"/>
  <c r="J60" i="49"/>
  <c r="L17" i="49"/>
  <c r="M17" i="49" s="1"/>
  <c r="J63" i="49"/>
  <c r="L63" i="49"/>
  <c r="J64" i="49"/>
  <c r="K18" i="49"/>
  <c r="L18" i="49" s="1"/>
  <c r="M18" i="49" s="1"/>
  <c r="L20" i="49"/>
  <c r="M20" i="49" s="1"/>
  <c r="F23" i="49"/>
  <c r="L64" i="49"/>
  <c r="L8" i="49"/>
  <c r="J41" i="50" l="1"/>
  <c r="J17" i="51"/>
  <c r="J19" i="51" s="1"/>
  <c r="N13" i="51"/>
  <c r="L58" i="49"/>
  <c r="J58" i="49"/>
  <c r="L15" i="49"/>
  <c r="M15" i="49" s="1"/>
  <c r="L38" i="50"/>
  <c r="J38" i="50"/>
  <c r="J23" i="50"/>
  <c r="K14" i="50"/>
  <c r="L14" i="50" s="1"/>
  <c r="L31" i="50"/>
  <c r="J31" i="50"/>
  <c r="L59" i="50"/>
  <c r="J59" i="50"/>
  <c r="L40" i="50"/>
  <c r="J40" i="50"/>
  <c r="K16" i="49"/>
  <c r="J59" i="49" s="1"/>
  <c r="L42" i="49"/>
  <c r="J42" i="49"/>
  <c r="L40" i="49"/>
  <c r="J40" i="49"/>
  <c r="M8" i="49"/>
  <c r="J61" i="49"/>
  <c r="L61" i="49"/>
  <c r="J39" i="49"/>
  <c r="L39" i="49"/>
  <c r="L19" i="49"/>
  <c r="M19" i="49" s="1"/>
  <c r="L41" i="49" s="1"/>
  <c r="J14" i="49"/>
  <c r="O23" i="49"/>
  <c r="J37" i="49" l="1"/>
  <c r="L37" i="49"/>
  <c r="M14" i="50"/>
  <c r="L23" i="50"/>
  <c r="L57" i="50"/>
  <c r="L65" i="50" s="1"/>
  <c r="K23" i="50"/>
  <c r="D29" i="50" s="1"/>
  <c r="J57" i="50"/>
  <c r="L16" i="49"/>
  <c r="M16" i="49" s="1"/>
  <c r="L59" i="49"/>
  <c r="L31" i="49"/>
  <c r="J31" i="49"/>
  <c r="J23" i="49"/>
  <c r="K14" i="49"/>
  <c r="L14" i="49" s="1"/>
  <c r="J41" i="49"/>
  <c r="D31" i="50" l="1"/>
  <c r="D35" i="50" s="1"/>
  <c r="J65" i="50"/>
  <c r="L24" i="50"/>
  <c r="L36" i="50"/>
  <c r="L44" i="50" s="1"/>
  <c r="J36" i="50"/>
  <c r="M23" i="50"/>
  <c r="M24" i="50" s="1"/>
  <c r="J38" i="49"/>
  <c r="L38" i="49"/>
  <c r="M14" i="49"/>
  <c r="L23" i="49"/>
  <c r="L57" i="49"/>
  <c r="L65" i="49" s="1"/>
  <c r="K23" i="49"/>
  <c r="D29" i="49" s="1"/>
  <c r="D31" i="49" s="1"/>
  <c r="D35" i="49" s="1"/>
  <c r="J57" i="49"/>
  <c r="J65" i="49" s="1"/>
  <c r="J44" i="50" l="1"/>
  <c r="L24" i="49"/>
  <c r="J36" i="49"/>
  <c r="L36" i="49"/>
  <c r="L44" i="49" s="1"/>
  <c r="M23" i="49"/>
  <c r="M24" i="49" s="1"/>
  <c r="J44" i="49" l="1"/>
  <c r="F19" i="48" l="1"/>
  <c r="C40" i="48" l="1"/>
  <c r="J17" i="48"/>
  <c r="L56" i="48" l="1"/>
  <c r="J56" i="48"/>
  <c r="L55" i="48"/>
  <c r="J55" i="48"/>
  <c r="L54" i="48"/>
  <c r="J54" i="48"/>
  <c r="L53" i="48"/>
  <c r="J53" i="48"/>
  <c r="L52" i="48"/>
  <c r="J52" i="48"/>
  <c r="P24" i="48"/>
  <c r="R23" i="48"/>
  <c r="F23" i="48"/>
  <c r="O21" i="48" l="1"/>
  <c r="H21" i="48"/>
  <c r="K21" i="48" s="1"/>
  <c r="L21" i="48" l="1"/>
  <c r="M21" i="48" s="1"/>
  <c r="J43" i="48" s="1"/>
  <c r="J64" i="48"/>
  <c r="L64" i="48"/>
  <c r="O20" i="48"/>
  <c r="H20" i="48"/>
  <c r="K20" i="48" s="1"/>
  <c r="L43" i="48" l="1"/>
  <c r="L63" i="48"/>
  <c r="J63" i="48"/>
  <c r="L20" i="48"/>
  <c r="M20" i="48" s="1"/>
  <c r="O19" i="48"/>
  <c r="H19" i="48"/>
  <c r="K19" i="48" l="1"/>
  <c r="L19" i="48" s="1"/>
  <c r="M19" i="48" s="1"/>
  <c r="J41" i="48" s="1"/>
  <c r="L42" i="48"/>
  <c r="J42" i="48"/>
  <c r="O18" i="48"/>
  <c r="H18" i="48"/>
  <c r="O17" i="48" l="1"/>
  <c r="L62" i="48"/>
  <c r="J62" i="48"/>
  <c r="L41" i="48"/>
  <c r="K18" i="48"/>
  <c r="L18" i="48" s="1"/>
  <c r="M18" i="48" s="1"/>
  <c r="H17" i="48"/>
  <c r="K17" i="48" s="1"/>
  <c r="J61" i="48" l="1"/>
  <c r="L61" i="48"/>
  <c r="J40" i="48"/>
  <c r="L40" i="48"/>
  <c r="J60" i="48"/>
  <c r="L60" i="48"/>
  <c r="L17" i="48"/>
  <c r="M17" i="48" s="1"/>
  <c r="O16" i="48"/>
  <c r="H16" i="48"/>
  <c r="J16" i="48" l="1"/>
  <c r="J39" i="48"/>
  <c r="L39" i="48"/>
  <c r="O15" i="48"/>
  <c r="H15" i="48"/>
  <c r="K15" i="48" s="1"/>
  <c r="Q24" i="48" l="1"/>
  <c r="J58" i="48"/>
  <c r="L58" i="48"/>
  <c r="K16" i="48"/>
  <c r="L15" i="48"/>
  <c r="M15" i="48" s="1"/>
  <c r="O14" i="48"/>
  <c r="O23" i="48" s="1"/>
  <c r="H14" i="48"/>
  <c r="D23" i="48" l="1"/>
  <c r="J14" i="48"/>
  <c r="J23" i="48" s="1"/>
  <c r="L59" i="48"/>
  <c r="J59" i="48"/>
  <c r="J37" i="48"/>
  <c r="L37" i="48"/>
  <c r="L16" i="48"/>
  <c r="M16" i="48" s="1"/>
  <c r="H13" i="48"/>
  <c r="L13" i="48" s="1"/>
  <c r="M13" i="48" s="1"/>
  <c r="H12" i="48"/>
  <c r="L12" i="48" s="1"/>
  <c r="M12" i="48" s="1"/>
  <c r="H11" i="48"/>
  <c r="L11" i="48" s="1"/>
  <c r="M11" i="48" s="1"/>
  <c r="L10" i="48"/>
  <c r="M10" i="48" s="1"/>
  <c r="H9" i="48"/>
  <c r="L9" i="48" s="1"/>
  <c r="M9" i="48" s="1"/>
  <c r="H8" i="48"/>
  <c r="D33" i="47"/>
  <c r="D27" i="48" l="1"/>
  <c r="H23" i="48"/>
  <c r="H24" i="48" s="1"/>
  <c r="L8" i="48"/>
  <c r="J33" i="48"/>
  <c r="L33" i="48"/>
  <c r="J32" i="48"/>
  <c r="L32" i="48"/>
  <c r="J38" i="48"/>
  <c r="L38" i="48"/>
  <c r="K14" i="48"/>
  <c r="J34" i="48"/>
  <c r="L34" i="48"/>
  <c r="L35" i="48"/>
  <c r="J35" i="48"/>
  <c r="M8" i="48"/>
  <c r="D37" i="47"/>
  <c r="J19" i="47"/>
  <c r="L57" i="48" l="1"/>
  <c r="L65" i="48" s="1"/>
  <c r="K23" i="48"/>
  <c r="D29" i="48" s="1"/>
  <c r="J57" i="48"/>
  <c r="J31" i="48"/>
  <c r="L31" i="48"/>
  <c r="L14" i="48"/>
  <c r="O14" i="47"/>
  <c r="J65" i="48" l="1"/>
  <c r="D31" i="48"/>
  <c r="D35" i="48" s="1"/>
  <c r="M14" i="48"/>
  <c r="L23" i="48"/>
  <c r="L24" i="48" s="1"/>
  <c r="L56" i="47"/>
  <c r="J56" i="47"/>
  <c r="L55" i="47"/>
  <c r="J55" i="47"/>
  <c r="L54" i="47"/>
  <c r="J54" i="47"/>
  <c r="L53" i="47"/>
  <c r="J53" i="47"/>
  <c r="L52" i="47"/>
  <c r="J52" i="47"/>
  <c r="P24" i="47"/>
  <c r="R23" i="47"/>
  <c r="F23" i="47"/>
  <c r="H21" i="47"/>
  <c r="K21" i="47" s="1"/>
  <c r="H20" i="47"/>
  <c r="K20" i="47" s="1"/>
  <c r="L63" i="47" s="1"/>
  <c r="H19" i="47"/>
  <c r="K19" i="47" s="1"/>
  <c r="H18" i="47"/>
  <c r="K18" i="47" s="1"/>
  <c r="H17" i="47"/>
  <c r="K17" i="47" s="1"/>
  <c r="J60" i="47" s="1"/>
  <c r="H16" i="47"/>
  <c r="H15" i="47"/>
  <c r="K15" i="47" s="1"/>
  <c r="J58" i="47" s="1"/>
  <c r="H14" i="47"/>
  <c r="H13" i="47"/>
  <c r="L13" i="47" s="1"/>
  <c r="M13" i="47" s="1"/>
  <c r="H12" i="47"/>
  <c r="L12" i="47" s="1"/>
  <c r="M12" i="47" s="1"/>
  <c r="H11" i="47"/>
  <c r="L11" i="47" s="1"/>
  <c r="M11" i="47" s="1"/>
  <c r="L10" i="47"/>
  <c r="M10" i="47" s="1"/>
  <c r="H9" i="47"/>
  <c r="L9" i="47" s="1"/>
  <c r="M9" i="47" s="1"/>
  <c r="H8" i="47"/>
  <c r="H15" i="46"/>
  <c r="K15" i="46" s="1"/>
  <c r="L36" i="48" l="1"/>
  <c r="L44" i="48" s="1"/>
  <c r="J36" i="48"/>
  <c r="M23" i="48"/>
  <c r="M24" i="48" s="1"/>
  <c r="L17" i="47"/>
  <c r="M17" i="47" s="1"/>
  <c r="J39" i="47" s="1"/>
  <c r="J64" i="47"/>
  <c r="L21" i="47"/>
  <c r="M21" i="47" s="1"/>
  <c r="J43" i="47" s="1"/>
  <c r="L20" i="47"/>
  <c r="M20" i="47" s="1"/>
  <c r="L42" i="47" s="1"/>
  <c r="L15" i="47"/>
  <c r="M15" i="47" s="1"/>
  <c r="J37" i="47" s="1"/>
  <c r="H23" i="47"/>
  <c r="H24" i="47" s="1"/>
  <c r="O15" i="47"/>
  <c r="O17" i="47"/>
  <c r="O21" i="47"/>
  <c r="O16" i="47"/>
  <c r="J16" i="47" s="1"/>
  <c r="D23" i="47"/>
  <c r="D27" i="47" s="1"/>
  <c r="O18" i="47"/>
  <c r="O20" i="47"/>
  <c r="Q24" i="47"/>
  <c r="O19" i="47"/>
  <c r="J32" i="47"/>
  <c r="L32" i="47"/>
  <c r="J34" i="47"/>
  <c r="L34" i="47"/>
  <c r="L33" i="47"/>
  <c r="J33" i="47"/>
  <c r="J62" i="47"/>
  <c r="L62" i="47"/>
  <c r="L35" i="47"/>
  <c r="J35" i="47"/>
  <c r="L61" i="47"/>
  <c r="J61" i="47"/>
  <c r="L18" i="47"/>
  <c r="M18" i="47" s="1"/>
  <c r="J63" i="47"/>
  <c r="L8" i="47"/>
  <c r="L19" i="47"/>
  <c r="M19" i="47" s="1"/>
  <c r="L58" i="47"/>
  <c r="L60" i="47"/>
  <c r="L64" i="47"/>
  <c r="O19" i="46"/>
  <c r="O14" i="46"/>
  <c r="J14" i="46" s="1"/>
  <c r="O14" i="45"/>
  <c r="J44" i="48" l="1"/>
  <c r="J42" i="47"/>
  <c r="L39" i="47"/>
  <c r="L37" i="47"/>
  <c r="L43" i="47"/>
  <c r="O23" i="47"/>
  <c r="J14" i="47"/>
  <c r="J40" i="47"/>
  <c r="L40" i="47"/>
  <c r="L41" i="47"/>
  <c r="J41" i="47"/>
  <c r="M8" i="47"/>
  <c r="K16" i="47"/>
  <c r="L16" i="47" s="1"/>
  <c r="M16" i="47" s="1"/>
  <c r="P14" i="42"/>
  <c r="L31" i="47" l="1"/>
  <c r="J31" i="47"/>
  <c r="J23" i="47"/>
  <c r="K14" i="47"/>
  <c r="J38" i="47"/>
  <c r="L38" i="47"/>
  <c r="J59" i="47"/>
  <c r="L59" i="47"/>
  <c r="Q24" i="46"/>
  <c r="J57" i="47" l="1"/>
  <c r="L57" i="47"/>
  <c r="L65" i="47" s="1"/>
  <c r="K23" i="47"/>
  <c r="L14" i="47"/>
  <c r="L56" i="46"/>
  <c r="J56" i="46"/>
  <c r="L55" i="46"/>
  <c r="J55" i="46"/>
  <c r="L54" i="46"/>
  <c r="J54" i="46"/>
  <c r="L53" i="46"/>
  <c r="J53" i="46"/>
  <c r="L52" i="46"/>
  <c r="J52" i="46"/>
  <c r="F23" i="46"/>
  <c r="D23" i="46"/>
  <c r="D27" i="46" s="1"/>
  <c r="D29" i="47" l="1"/>
  <c r="D31" i="47" s="1"/>
  <c r="D35" i="47" s="1"/>
  <c r="D39" i="47" s="1"/>
  <c r="J65" i="47"/>
  <c r="M14" i="47"/>
  <c r="L23" i="47"/>
  <c r="L24" i="47" s="1"/>
  <c r="P26" i="46"/>
  <c r="O21" i="46"/>
  <c r="H21" i="46"/>
  <c r="J36" i="47" l="1"/>
  <c r="L36" i="47"/>
  <c r="L44" i="47" s="1"/>
  <c r="M23" i="47"/>
  <c r="M24" i="47" s="1"/>
  <c r="K21" i="46"/>
  <c r="L21" i="46" s="1"/>
  <c r="M21" i="46" s="1"/>
  <c r="O20" i="46"/>
  <c r="J44" i="47" l="1"/>
  <c r="L43" i="46"/>
  <c r="J43" i="46"/>
  <c r="J64" i="46"/>
  <c r="L64" i="46"/>
  <c r="P24" i="46"/>
  <c r="P28" i="46" s="1"/>
  <c r="O18" i="46" l="1"/>
  <c r="H18" i="46"/>
  <c r="K18" i="46" l="1"/>
  <c r="L18" i="46" s="1"/>
  <c r="M18" i="46" s="1"/>
  <c r="O17" i="46"/>
  <c r="H17" i="46"/>
  <c r="J61" i="46" l="1"/>
  <c r="K17" i="46"/>
  <c r="L61" i="46"/>
  <c r="L40" i="46"/>
  <c r="J40" i="46"/>
  <c r="O16" i="46"/>
  <c r="J16" i="46" s="1"/>
  <c r="H16" i="46"/>
  <c r="J60" i="46" l="1"/>
  <c r="L60" i="46"/>
  <c r="K16" i="46"/>
  <c r="L17" i="46"/>
  <c r="M17" i="46" s="1"/>
  <c r="R23" i="46" l="1"/>
  <c r="J59" i="46"/>
  <c r="L59" i="46"/>
  <c r="L39" i="46"/>
  <c r="J39" i="46"/>
  <c r="O15" i="46"/>
  <c r="L16" i="46"/>
  <c r="M16" i="46" s="1"/>
  <c r="H14" i="46"/>
  <c r="K14" i="46" s="1"/>
  <c r="H13" i="46"/>
  <c r="L13" i="46" s="1"/>
  <c r="M13" i="46" s="1"/>
  <c r="H12" i="46"/>
  <c r="L12" i="46" s="1"/>
  <c r="M12" i="46" s="1"/>
  <c r="H11" i="46"/>
  <c r="L11" i="46" s="1"/>
  <c r="M11" i="46" s="1"/>
  <c r="L10" i="46"/>
  <c r="M10" i="46" s="1"/>
  <c r="H9" i="46"/>
  <c r="L9" i="46" s="1"/>
  <c r="M9" i="46" s="1"/>
  <c r="H8" i="46"/>
  <c r="H14" i="45"/>
  <c r="J14" i="45"/>
  <c r="L56" i="45"/>
  <c r="J56" i="45"/>
  <c r="L55" i="45"/>
  <c r="J55" i="45"/>
  <c r="L54" i="45"/>
  <c r="J54" i="45"/>
  <c r="L53" i="45"/>
  <c r="J53" i="45"/>
  <c r="L52" i="45"/>
  <c r="J52" i="45"/>
  <c r="F23" i="45"/>
  <c r="D23" i="45"/>
  <c r="D27" i="45" s="1"/>
  <c r="P26" i="45" s="1"/>
  <c r="P21" i="45"/>
  <c r="O21" i="45" s="1"/>
  <c r="J21" i="45" s="1"/>
  <c r="G21" i="45"/>
  <c r="H21" i="45" s="1"/>
  <c r="P20" i="45"/>
  <c r="O20" i="45" s="1"/>
  <c r="J20" i="45" s="1"/>
  <c r="G20" i="45"/>
  <c r="H20" i="45" s="1"/>
  <c r="Q19" i="45"/>
  <c r="P19" i="45"/>
  <c r="G19" i="45"/>
  <c r="O18" i="45"/>
  <c r="J18" i="45" s="1"/>
  <c r="H18" i="45"/>
  <c r="O17" i="45"/>
  <c r="J17" i="45" s="1"/>
  <c r="H17" i="45"/>
  <c r="O16" i="45"/>
  <c r="J16" i="45" s="1"/>
  <c r="H16" i="45"/>
  <c r="Q15" i="45"/>
  <c r="O15" i="45" s="1"/>
  <c r="J15" i="45" s="1"/>
  <c r="H15" i="45"/>
  <c r="H13" i="45"/>
  <c r="L13" i="45" s="1"/>
  <c r="M13" i="45" s="1"/>
  <c r="H12" i="45"/>
  <c r="L12" i="45" s="1"/>
  <c r="M12" i="45" s="1"/>
  <c r="H11" i="45"/>
  <c r="L11" i="45" s="1"/>
  <c r="M11" i="45" s="1"/>
  <c r="J33" i="45" s="1"/>
  <c r="L10" i="45"/>
  <c r="M10" i="45" s="1"/>
  <c r="H9" i="45"/>
  <c r="L9" i="45" s="1"/>
  <c r="M9" i="45" s="1"/>
  <c r="H8" i="45"/>
  <c r="L8" i="45" s="1"/>
  <c r="M8" i="45" s="1"/>
  <c r="L31" i="45" s="1"/>
  <c r="J15" i="43"/>
  <c r="K16" i="45" l="1"/>
  <c r="L59" i="45" s="1"/>
  <c r="P24" i="45"/>
  <c r="P28" i="45" s="1"/>
  <c r="K14" i="45"/>
  <c r="J57" i="45" s="1"/>
  <c r="G23" i="45"/>
  <c r="J23" i="46"/>
  <c r="O23" i="46"/>
  <c r="L32" i="46"/>
  <c r="J32" i="46"/>
  <c r="L33" i="46"/>
  <c r="J33" i="46"/>
  <c r="L34" i="46"/>
  <c r="J34" i="46"/>
  <c r="L35" i="46"/>
  <c r="J35" i="46"/>
  <c r="L38" i="46"/>
  <c r="J38" i="46"/>
  <c r="L8" i="46"/>
  <c r="H19" i="45"/>
  <c r="O19" i="45"/>
  <c r="J19" i="45" s="1"/>
  <c r="J23" i="45" s="1"/>
  <c r="R23" i="45"/>
  <c r="L35" i="45"/>
  <c r="J35" i="45"/>
  <c r="J59" i="45"/>
  <c r="L16" i="45"/>
  <c r="M16" i="45" s="1"/>
  <c r="J32" i="45"/>
  <c r="L32" i="45"/>
  <c r="J34" i="45"/>
  <c r="L34" i="45"/>
  <c r="K15" i="45"/>
  <c r="K21" i="45"/>
  <c r="L21" i="45" s="1"/>
  <c r="M21" i="45" s="1"/>
  <c r="K18" i="45"/>
  <c r="L18" i="45" s="1"/>
  <c r="M18" i="45" s="1"/>
  <c r="K20" i="45"/>
  <c r="K17" i="45"/>
  <c r="J31" i="45"/>
  <c r="Q24" i="45"/>
  <c r="O24" i="45" s="1"/>
  <c r="L33" i="45"/>
  <c r="L57" i="45" l="1"/>
  <c r="L14" i="45"/>
  <c r="M14" i="45" s="1"/>
  <c r="L36" i="45" s="1"/>
  <c r="O23" i="45"/>
  <c r="J58" i="46"/>
  <c r="L15" i="46"/>
  <c r="M15" i="46" s="1"/>
  <c r="J37" i="46" s="1"/>
  <c r="L58" i="46"/>
  <c r="M8" i="46"/>
  <c r="K19" i="45"/>
  <c r="K23" i="45" s="1"/>
  <c r="H23" i="45"/>
  <c r="H24" i="45" s="1"/>
  <c r="J63" i="45"/>
  <c r="L63" i="45"/>
  <c r="J40" i="45"/>
  <c r="L40" i="45"/>
  <c r="J60" i="45"/>
  <c r="L60" i="45"/>
  <c r="L43" i="45"/>
  <c r="J43" i="45"/>
  <c r="J64" i="45"/>
  <c r="L64" i="45"/>
  <c r="L58" i="45"/>
  <c r="J58" i="45"/>
  <c r="J38" i="45"/>
  <c r="L38" i="45"/>
  <c r="J61" i="45"/>
  <c r="L61" i="45"/>
  <c r="L20" i="45"/>
  <c r="M20" i="45" s="1"/>
  <c r="L15" i="45"/>
  <c r="M15" i="45" s="1"/>
  <c r="L17" i="45"/>
  <c r="M17" i="45" s="1"/>
  <c r="J36" i="45" l="1"/>
  <c r="L37" i="46"/>
  <c r="J57" i="46"/>
  <c r="L14" i="46"/>
  <c r="L57" i="46"/>
  <c r="L31" i="46"/>
  <c r="J31" i="46"/>
  <c r="L62" i="45"/>
  <c r="L65" i="45" s="1"/>
  <c r="L19" i="45"/>
  <c r="M19" i="45" s="1"/>
  <c r="M23" i="45" s="1"/>
  <c r="J62" i="45"/>
  <c r="J42" i="45"/>
  <c r="L42" i="45"/>
  <c r="J37" i="45"/>
  <c r="L37" i="45"/>
  <c r="L39" i="45"/>
  <c r="J39" i="45"/>
  <c r="J65" i="45" l="1"/>
  <c r="L23" i="45"/>
  <c r="L24" i="45" s="1"/>
  <c r="M14" i="46"/>
  <c r="L41" i="45"/>
  <c r="L44" i="45" s="1"/>
  <c r="J41" i="45"/>
  <c r="J44" i="45" l="1"/>
  <c r="M24" i="45"/>
  <c r="J36" i="46"/>
  <c r="L36" i="46"/>
  <c r="J16" i="43"/>
  <c r="J17" i="43"/>
  <c r="J18" i="43"/>
  <c r="J19" i="43"/>
  <c r="J20" i="43"/>
  <c r="J21" i="43"/>
  <c r="J14" i="43"/>
  <c r="L56" i="43"/>
  <c r="J56" i="43"/>
  <c r="L55" i="43"/>
  <c r="J55" i="43"/>
  <c r="L54" i="43"/>
  <c r="J54" i="43"/>
  <c r="L53" i="43"/>
  <c r="J53" i="43"/>
  <c r="L52" i="43"/>
  <c r="J52" i="43"/>
  <c r="F23" i="43"/>
  <c r="D23" i="43"/>
  <c r="R22" i="43"/>
  <c r="P21" i="43"/>
  <c r="G21" i="43"/>
  <c r="H21" i="43" s="1"/>
  <c r="P20" i="43"/>
  <c r="G20" i="43"/>
  <c r="H20" i="43" s="1"/>
  <c r="P19" i="43"/>
  <c r="G19" i="43"/>
  <c r="H18" i="43"/>
  <c r="R18" i="43" s="1"/>
  <c r="H17" i="43"/>
  <c r="R17" i="43" s="1"/>
  <c r="H16" i="43"/>
  <c r="R16" i="43" s="1"/>
  <c r="H15" i="43"/>
  <c r="H14" i="43"/>
  <c r="R14" i="43" s="1"/>
  <c r="H13" i="43"/>
  <c r="R13" i="43" s="1"/>
  <c r="H12" i="43"/>
  <c r="R12" i="43" s="1"/>
  <c r="H11" i="43"/>
  <c r="R11" i="43" s="1"/>
  <c r="R10" i="43"/>
  <c r="L10" i="43"/>
  <c r="M10" i="43" s="1"/>
  <c r="H9" i="43"/>
  <c r="R9" i="43" s="1"/>
  <c r="H8" i="43"/>
  <c r="L8" i="43" s="1"/>
  <c r="R22" i="42"/>
  <c r="Q23" i="42"/>
  <c r="P15" i="42"/>
  <c r="R15" i="42" s="1"/>
  <c r="P16" i="42"/>
  <c r="R16" i="42" s="1"/>
  <c r="P17" i="42"/>
  <c r="R17" i="42" s="1"/>
  <c r="P18" i="42"/>
  <c r="R18" i="42" s="1"/>
  <c r="P19" i="42"/>
  <c r="R19" i="42" s="1"/>
  <c r="P20" i="42"/>
  <c r="R20" i="42" s="1"/>
  <c r="P21" i="42"/>
  <c r="R21" i="42" s="1"/>
  <c r="L56" i="42"/>
  <c r="J56" i="42"/>
  <c r="L55" i="42"/>
  <c r="J55" i="42"/>
  <c r="L54" i="42"/>
  <c r="J54" i="42"/>
  <c r="L53" i="42"/>
  <c r="J53" i="42"/>
  <c r="L52" i="42"/>
  <c r="J52" i="42"/>
  <c r="F23" i="42"/>
  <c r="D23" i="42"/>
  <c r="G21" i="42"/>
  <c r="H21" i="42" s="1"/>
  <c r="G20" i="42"/>
  <c r="H20" i="42" s="1"/>
  <c r="G19" i="42"/>
  <c r="H18" i="42"/>
  <c r="H17" i="42"/>
  <c r="H16" i="42"/>
  <c r="H15" i="42"/>
  <c r="H14" i="42"/>
  <c r="H13" i="42"/>
  <c r="H12" i="42"/>
  <c r="H11" i="42"/>
  <c r="L10" i="42"/>
  <c r="H9" i="42"/>
  <c r="H8" i="42"/>
  <c r="G23" i="42" l="1"/>
  <c r="G23" i="43"/>
  <c r="P23" i="43"/>
  <c r="L9" i="43"/>
  <c r="M9" i="43" s="1"/>
  <c r="J32" i="43" s="1"/>
  <c r="R8" i="43"/>
  <c r="J23" i="43"/>
  <c r="R15" i="43"/>
  <c r="K15" i="43"/>
  <c r="L15" i="43" s="1"/>
  <c r="M15" i="43" s="1"/>
  <c r="R20" i="43"/>
  <c r="K20" i="43"/>
  <c r="L20" i="43" s="1"/>
  <c r="M20" i="43" s="1"/>
  <c r="R21" i="43"/>
  <c r="K21" i="43"/>
  <c r="L21" i="43" s="1"/>
  <c r="M21" i="43" s="1"/>
  <c r="M8" i="43"/>
  <c r="L11" i="43"/>
  <c r="M11" i="43" s="1"/>
  <c r="L12" i="43"/>
  <c r="M12" i="43" s="1"/>
  <c r="L13" i="43"/>
  <c r="M13" i="43" s="1"/>
  <c r="K14" i="43"/>
  <c r="L14" i="43" s="1"/>
  <c r="M14" i="43" s="1"/>
  <c r="K16" i="43"/>
  <c r="L16" i="43" s="1"/>
  <c r="M16" i="43" s="1"/>
  <c r="K17" i="43"/>
  <c r="L17" i="43" s="1"/>
  <c r="M17" i="43" s="1"/>
  <c r="K18" i="43"/>
  <c r="L18" i="43" s="1"/>
  <c r="M18" i="43" s="1"/>
  <c r="H19" i="43"/>
  <c r="H23" i="43" s="1"/>
  <c r="H24" i="43" s="1"/>
  <c r="L20" i="42"/>
  <c r="M20" i="42" s="1"/>
  <c r="L21" i="42"/>
  <c r="M21" i="42" s="1"/>
  <c r="L8" i="42"/>
  <c r="L9" i="42"/>
  <c r="L11" i="42"/>
  <c r="L12" i="42"/>
  <c r="L13" i="42"/>
  <c r="H19" i="42"/>
  <c r="H23" i="42" s="1"/>
  <c r="H24" i="42" s="1"/>
  <c r="L56" i="41"/>
  <c r="J56" i="41"/>
  <c r="L55" i="41"/>
  <c r="J55" i="41"/>
  <c r="L54" i="41"/>
  <c r="J54" i="41"/>
  <c r="L53" i="41"/>
  <c r="J53" i="41"/>
  <c r="L52" i="41"/>
  <c r="J52" i="41"/>
  <c r="F23" i="41"/>
  <c r="D23" i="41"/>
  <c r="R22" i="41"/>
  <c r="P21" i="41"/>
  <c r="G21" i="41"/>
  <c r="H21" i="41" s="1"/>
  <c r="P20" i="41"/>
  <c r="G20" i="41"/>
  <c r="H20" i="41" s="1"/>
  <c r="K20" i="41" s="1"/>
  <c r="P19" i="41"/>
  <c r="G19" i="41"/>
  <c r="H18" i="41"/>
  <c r="K18" i="41" s="1"/>
  <c r="H17" i="41"/>
  <c r="H16" i="41"/>
  <c r="K16" i="41" s="1"/>
  <c r="H15" i="41"/>
  <c r="J23" i="41"/>
  <c r="H14" i="41"/>
  <c r="K14" i="41" s="1"/>
  <c r="H13" i="41"/>
  <c r="R13" i="41" s="1"/>
  <c r="H12" i="41"/>
  <c r="R12" i="41" s="1"/>
  <c r="H11" i="41"/>
  <c r="R11" i="41" s="1"/>
  <c r="R10" i="41"/>
  <c r="L10" i="41"/>
  <c r="M10" i="41" s="1"/>
  <c r="H9" i="41"/>
  <c r="L9" i="41" s="1"/>
  <c r="M9" i="41" s="1"/>
  <c r="H8" i="41"/>
  <c r="R8" i="41" s="1"/>
  <c r="J19" i="40"/>
  <c r="J21" i="40"/>
  <c r="J20" i="40"/>
  <c r="J18" i="40"/>
  <c r="J17" i="40"/>
  <c r="J16" i="40"/>
  <c r="J15" i="40"/>
  <c r="J14" i="40"/>
  <c r="H13" i="40"/>
  <c r="L13" i="40" s="1"/>
  <c r="M13" i="40" s="1"/>
  <c r="H12" i="40"/>
  <c r="L12" i="40" s="1"/>
  <c r="M12" i="40" s="1"/>
  <c r="H11" i="40"/>
  <c r="L11" i="40" s="1"/>
  <c r="M11" i="40" s="1"/>
  <c r="L10" i="40"/>
  <c r="M10" i="40" s="1"/>
  <c r="H9" i="40"/>
  <c r="L9" i="40" s="1"/>
  <c r="M9" i="40" s="1"/>
  <c r="H8" i="40"/>
  <c r="L8" i="40" s="1"/>
  <c r="M8" i="40" s="1"/>
  <c r="D23" i="40"/>
  <c r="L56" i="40"/>
  <c r="J56" i="40"/>
  <c r="L55" i="40"/>
  <c r="J55" i="40"/>
  <c r="L54" i="40"/>
  <c r="J54" i="40"/>
  <c r="L53" i="40"/>
  <c r="J53" i="40"/>
  <c r="L52" i="40"/>
  <c r="J52" i="40"/>
  <c r="C38" i="40"/>
  <c r="D37" i="40"/>
  <c r="G21" i="40" s="1"/>
  <c r="H21" i="40" s="1"/>
  <c r="D36" i="40"/>
  <c r="D35" i="40"/>
  <c r="G19" i="40" s="1"/>
  <c r="R22" i="40"/>
  <c r="P21" i="40"/>
  <c r="P20" i="40"/>
  <c r="G20" i="40"/>
  <c r="H20" i="40" s="1"/>
  <c r="P19" i="40"/>
  <c r="H18" i="40"/>
  <c r="H17" i="40"/>
  <c r="R17" i="40" s="1"/>
  <c r="H16" i="40"/>
  <c r="H15" i="40"/>
  <c r="R15" i="40" s="1"/>
  <c r="H14" i="40"/>
  <c r="R10" i="40"/>
  <c r="J57" i="39"/>
  <c r="R10" i="38"/>
  <c r="P20" i="38"/>
  <c r="P21" i="38"/>
  <c r="P19" i="38"/>
  <c r="R22" i="38"/>
  <c r="L56" i="39"/>
  <c r="J56" i="39"/>
  <c r="L55" i="39"/>
  <c r="J55" i="39"/>
  <c r="L54" i="39"/>
  <c r="J54" i="39"/>
  <c r="L53" i="39"/>
  <c r="J53" i="39"/>
  <c r="L52" i="39"/>
  <c r="J52" i="39"/>
  <c r="C38" i="39"/>
  <c r="D37" i="39"/>
  <c r="G21" i="39" s="1"/>
  <c r="H21" i="39" s="1"/>
  <c r="D36" i="39"/>
  <c r="G20" i="39" s="1"/>
  <c r="H20" i="39" s="1"/>
  <c r="D35" i="39"/>
  <c r="G19" i="39" s="1"/>
  <c r="J23" i="39"/>
  <c r="D23" i="39"/>
  <c r="H18" i="39"/>
  <c r="J61" i="39" s="1"/>
  <c r="H17" i="39"/>
  <c r="J60" i="39" s="1"/>
  <c r="H16" i="39"/>
  <c r="J59" i="39" s="1"/>
  <c r="H15" i="39"/>
  <c r="J58" i="39" s="1"/>
  <c r="H14" i="39"/>
  <c r="H13" i="39"/>
  <c r="L13" i="39" s="1"/>
  <c r="M13" i="39" s="1"/>
  <c r="H12" i="39"/>
  <c r="L12" i="39" s="1"/>
  <c r="M12" i="39" s="1"/>
  <c r="H11" i="39"/>
  <c r="L11" i="39" s="1"/>
  <c r="M11" i="39" s="1"/>
  <c r="L10" i="39"/>
  <c r="M10" i="39" s="1"/>
  <c r="H9" i="39"/>
  <c r="L9" i="39" s="1"/>
  <c r="M9" i="39" s="1"/>
  <c r="F23" i="39"/>
  <c r="C38" i="38"/>
  <c r="D37" i="38"/>
  <c r="G21" i="38" s="1"/>
  <c r="H21" i="38" s="1"/>
  <c r="D36" i="38"/>
  <c r="G20" i="38" s="1"/>
  <c r="H20" i="38" s="1"/>
  <c r="D35" i="38"/>
  <c r="J23" i="38"/>
  <c r="D23" i="38"/>
  <c r="H18" i="38"/>
  <c r="R18" i="38" s="1"/>
  <c r="H17" i="38"/>
  <c r="R17" i="38" s="1"/>
  <c r="H16" i="38"/>
  <c r="K16" i="38" s="1"/>
  <c r="H15" i="38"/>
  <c r="R15" i="38" s="1"/>
  <c r="H14" i="38"/>
  <c r="R14" i="38" s="1"/>
  <c r="H13" i="38"/>
  <c r="R13" i="38" s="1"/>
  <c r="F12" i="38"/>
  <c r="H12" i="38" s="1"/>
  <c r="F11" i="38"/>
  <c r="H11" i="38" s="1"/>
  <c r="L10" i="38"/>
  <c r="M10" i="38" s="1"/>
  <c r="F9" i="38"/>
  <c r="H9" i="38" s="1"/>
  <c r="F8" i="38"/>
  <c r="H8" i="38" s="1"/>
  <c r="H14" i="37"/>
  <c r="K14" i="37" s="1"/>
  <c r="H17" i="37"/>
  <c r="H13" i="37"/>
  <c r="K13" i="37" s="1"/>
  <c r="H15" i="37"/>
  <c r="K15" i="37" s="1"/>
  <c r="H16" i="37"/>
  <c r="K16" i="37" s="1"/>
  <c r="H18" i="37"/>
  <c r="K18" i="37" s="1"/>
  <c r="D35" i="37"/>
  <c r="G19" i="37" s="1"/>
  <c r="D36" i="37"/>
  <c r="G20" i="37" s="1"/>
  <c r="H20" i="37" s="1"/>
  <c r="D37" i="37"/>
  <c r="G21" i="37" s="1"/>
  <c r="H21" i="37" s="1"/>
  <c r="C38" i="37"/>
  <c r="J23" i="37"/>
  <c r="D23" i="37"/>
  <c r="K10" i="37"/>
  <c r="L10" i="37" s="1"/>
  <c r="M10" i="37" s="1"/>
  <c r="F8" i="37"/>
  <c r="H8" i="37" s="1"/>
  <c r="K8" i="37" s="1"/>
  <c r="F9" i="37"/>
  <c r="H9" i="37" s="1"/>
  <c r="F11" i="37"/>
  <c r="H11" i="37" s="1"/>
  <c r="K11" i="37" s="1"/>
  <c r="F12" i="37"/>
  <c r="H12" i="37" s="1"/>
  <c r="K12" i="37" s="1"/>
  <c r="K17" i="37"/>
  <c r="L17" i="37" s="1"/>
  <c r="M17" i="37" s="1"/>
  <c r="J55" i="38"/>
  <c r="L55" i="38"/>
  <c r="J56" i="38"/>
  <c r="L56" i="38"/>
  <c r="J52" i="38"/>
  <c r="L52" i="38"/>
  <c r="J53" i="38"/>
  <c r="L53" i="38"/>
  <c r="J54" i="38"/>
  <c r="L54" i="38"/>
  <c r="R8" i="40" l="1"/>
  <c r="R13" i="40"/>
  <c r="L32" i="43"/>
  <c r="D38" i="38"/>
  <c r="L60" i="37"/>
  <c r="J23" i="40"/>
  <c r="G23" i="41"/>
  <c r="P23" i="38"/>
  <c r="F23" i="38"/>
  <c r="K20" i="40"/>
  <c r="G19" i="38"/>
  <c r="G23" i="38" s="1"/>
  <c r="F33" i="38" s="1"/>
  <c r="P23" i="41"/>
  <c r="L13" i="38"/>
  <c r="M13" i="38" s="1"/>
  <c r="J35" i="38" s="1"/>
  <c r="R21" i="38"/>
  <c r="K14" i="40"/>
  <c r="L57" i="40" s="1"/>
  <c r="K16" i="40"/>
  <c r="L59" i="40" s="1"/>
  <c r="K18" i="40"/>
  <c r="L61" i="40" s="1"/>
  <c r="P23" i="40"/>
  <c r="D38" i="40"/>
  <c r="L8" i="41"/>
  <c r="M8" i="41" s="1"/>
  <c r="R21" i="40"/>
  <c r="K21" i="40"/>
  <c r="G23" i="40"/>
  <c r="F33" i="40" s="1"/>
  <c r="K17" i="40"/>
  <c r="L60" i="40" s="1"/>
  <c r="K15" i="40"/>
  <c r="L58" i="40" s="1"/>
  <c r="R9" i="41"/>
  <c r="R15" i="41"/>
  <c r="K15" i="41"/>
  <c r="R17" i="41"/>
  <c r="K17" i="41"/>
  <c r="L17" i="41" s="1"/>
  <c r="M17" i="41" s="1"/>
  <c r="K14" i="38"/>
  <c r="H19" i="40"/>
  <c r="H23" i="40" s="1"/>
  <c r="H24" i="40" s="1"/>
  <c r="J40" i="43"/>
  <c r="L40" i="43"/>
  <c r="J38" i="43"/>
  <c r="L38" i="43"/>
  <c r="J36" i="43"/>
  <c r="L36" i="43"/>
  <c r="J43" i="43"/>
  <c r="L43" i="43"/>
  <c r="R19" i="43"/>
  <c r="R23" i="43" s="1"/>
  <c r="K19" i="43"/>
  <c r="L19" i="43" s="1"/>
  <c r="M19" i="43" s="1"/>
  <c r="M23" i="43" s="1"/>
  <c r="J60" i="43"/>
  <c r="L60" i="43"/>
  <c r="J58" i="43"/>
  <c r="L58" i="43"/>
  <c r="J35" i="43"/>
  <c r="L35" i="43"/>
  <c r="J33" i="43"/>
  <c r="L33" i="43"/>
  <c r="J63" i="43"/>
  <c r="L63" i="43"/>
  <c r="J61" i="43"/>
  <c r="L61" i="43"/>
  <c r="J59" i="43"/>
  <c r="L59" i="43"/>
  <c r="J57" i="43"/>
  <c r="L57" i="43"/>
  <c r="J34" i="43"/>
  <c r="L34" i="43"/>
  <c r="J31" i="43"/>
  <c r="L31" i="43"/>
  <c r="J39" i="43"/>
  <c r="L39" i="43"/>
  <c r="J37" i="43"/>
  <c r="L37" i="43"/>
  <c r="J64" i="43"/>
  <c r="L64" i="43"/>
  <c r="J42" i="43"/>
  <c r="L42" i="43"/>
  <c r="J43" i="42"/>
  <c r="L43" i="42"/>
  <c r="L19" i="42"/>
  <c r="M19" i="42" s="1"/>
  <c r="J60" i="42"/>
  <c r="L60" i="42"/>
  <c r="J58" i="42"/>
  <c r="L58" i="42"/>
  <c r="J35" i="42"/>
  <c r="L35" i="42"/>
  <c r="J33" i="42"/>
  <c r="L33" i="42"/>
  <c r="J32" i="42"/>
  <c r="L32" i="42"/>
  <c r="J63" i="42"/>
  <c r="L63" i="42"/>
  <c r="L17" i="42"/>
  <c r="M17" i="42" s="1"/>
  <c r="L15" i="42"/>
  <c r="M15" i="42" s="1"/>
  <c r="J61" i="42"/>
  <c r="L61" i="42"/>
  <c r="J59" i="42"/>
  <c r="L59" i="42"/>
  <c r="J34" i="42"/>
  <c r="L34" i="42"/>
  <c r="J64" i="42"/>
  <c r="L64" i="42"/>
  <c r="J42" i="42"/>
  <c r="L42" i="42"/>
  <c r="L18" i="42"/>
  <c r="M18" i="42" s="1"/>
  <c r="L16" i="42"/>
  <c r="M16" i="42" s="1"/>
  <c r="R21" i="41"/>
  <c r="K21" i="41"/>
  <c r="H19" i="41"/>
  <c r="J32" i="41"/>
  <c r="L32" i="41"/>
  <c r="R20" i="41"/>
  <c r="L20" i="41"/>
  <c r="M20" i="41" s="1"/>
  <c r="O20" i="41" s="1"/>
  <c r="R14" i="41"/>
  <c r="L16" i="41"/>
  <c r="M16" i="41" s="1"/>
  <c r="O16" i="41" s="1"/>
  <c r="R16" i="41"/>
  <c r="R18" i="41"/>
  <c r="L11" i="41"/>
  <c r="M11" i="41" s="1"/>
  <c r="L12" i="41"/>
  <c r="M12" i="41" s="1"/>
  <c r="L13" i="41"/>
  <c r="M13" i="41" s="1"/>
  <c r="R12" i="40"/>
  <c r="R9" i="40"/>
  <c r="R11" i="40"/>
  <c r="R20" i="40"/>
  <c r="R14" i="40"/>
  <c r="R16" i="40"/>
  <c r="R18" i="40"/>
  <c r="F23" i="40"/>
  <c r="L8" i="37"/>
  <c r="M8" i="37" s="1"/>
  <c r="L31" i="37" s="1"/>
  <c r="J52" i="37"/>
  <c r="L12" i="37"/>
  <c r="M12" i="37" s="1"/>
  <c r="J34" i="37" s="1"/>
  <c r="L55" i="37"/>
  <c r="J55" i="37"/>
  <c r="K9" i="37"/>
  <c r="J59" i="37"/>
  <c r="L59" i="37"/>
  <c r="L16" i="37"/>
  <c r="M16" i="37" s="1"/>
  <c r="L38" i="37" s="1"/>
  <c r="J56" i="37"/>
  <c r="L56" i="37"/>
  <c r="L13" i="37"/>
  <c r="M13" i="37" s="1"/>
  <c r="L11" i="37"/>
  <c r="M11" i="37" s="1"/>
  <c r="L33" i="37" s="1"/>
  <c r="L54" i="37"/>
  <c r="J54" i="37"/>
  <c r="J58" i="37"/>
  <c r="L58" i="37"/>
  <c r="L15" i="37"/>
  <c r="M15" i="37" s="1"/>
  <c r="J37" i="37" s="1"/>
  <c r="D38" i="37"/>
  <c r="J60" i="37"/>
  <c r="F23" i="37"/>
  <c r="J61" i="37"/>
  <c r="L61" i="37"/>
  <c r="L18" i="37"/>
  <c r="M18" i="37" s="1"/>
  <c r="L57" i="37"/>
  <c r="J57" i="37"/>
  <c r="L14" i="37"/>
  <c r="M14" i="37" s="1"/>
  <c r="L39" i="37"/>
  <c r="J39" i="37"/>
  <c r="L52" i="37"/>
  <c r="R12" i="38"/>
  <c r="L12" i="38"/>
  <c r="M12" i="38" s="1"/>
  <c r="K18" i="38"/>
  <c r="L8" i="38"/>
  <c r="R8" i="38"/>
  <c r="L59" i="38"/>
  <c r="L16" i="38"/>
  <c r="M16" i="38" s="1"/>
  <c r="J59" i="38"/>
  <c r="K20" i="38"/>
  <c r="L20" i="38" s="1"/>
  <c r="M20" i="38" s="1"/>
  <c r="R20" i="38"/>
  <c r="R9" i="38"/>
  <c r="L9" i="38"/>
  <c r="M9" i="38" s="1"/>
  <c r="R11" i="38"/>
  <c r="L11" i="38"/>
  <c r="M11" i="38" s="1"/>
  <c r="K15" i="38"/>
  <c r="R16" i="38"/>
  <c r="K21" i="38"/>
  <c r="K17" i="38"/>
  <c r="L18" i="39"/>
  <c r="M18" i="39" s="1"/>
  <c r="J40" i="39" s="1"/>
  <c r="L17" i="39"/>
  <c r="M17" i="39" s="1"/>
  <c r="J39" i="39" s="1"/>
  <c r="L16" i="39"/>
  <c r="M16" i="39" s="1"/>
  <c r="J38" i="39" s="1"/>
  <c r="L15" i="39"/>
  <c r="M15" i="39" s="1"/>
  <c r="L14" i="39"/>
  <c r="M14" i="39" s="1"/>
  <c r="J36" i="39" s="1"/>
  <c r="H19" i="37"/>
  <c r="G23" i="37"/>
  <c r="F33" i="37" s="1"/>
  <c r="K21" i="37"/>
  <c r="L21" i="37" s="1"/>
  <c r="M21" i="37" s="1"/>
  <c r="K20" i="37"/>
  <c r="L20" i="37" s="1"/>
  <c r="M20" i="37" s="1"/>
  <c r="L34" i="39"/>
  <c r="J34" i="39"/>
  <c r="L20" i="39"/>
  <c r="M20" i="39" s="1"/>
  <c r="J32" i="39"/>
  <c r="L32" i="39"/>
  <c r="L33" i="39"/>
  <c r="J33" i="39"/>
  <c r="J35" i="39"/>
  <c r="L35" i="39"/>
  <c r="G23" i="39"/>
  <c r="F33" i="39" s="1"/>
  <c r="H19" i="39"/>
  <c r="L21" i="39"/>
  <c r="M21" i="39" s="1"/>
  <c r="D38" i="39"/>
  <c r="L57" i="39"/>
  <c r="L58" i="39"/>
  <c r="L59" i="39"/>
  <c r="L60" i="39"/>
  <c r="L61" i="39"/>
  <c r="H8" i="39"/>
  <c r="L17" i="40" l="1"/>
  <c r="M17" i="40" s="1"/>
  <c r="H19" i="38"/>
  <c r="H23" i="38" s="1"/>
  <c r="H24" i="38" s="1"/>
  <c r="J59" i="40"/>
  <c r="J60" i="40"/>
  <c r="J57" i="40"/>
  <c r="J58" i="40"/>
  <c r="L18" i="40"/>
  <c r="M18" i="40" s="1"/>
  <c r="J40" i="40" s="1"/>
  <c r="L37" i="37"/>
  <c r="L15" i="40"/>
  <c r="M15" i="40" s="1"/>
  <c r="L37" i="40" s="1"/>
  <c r="J61" i="40"/>
  <c r="J33" i="37"/>
  <c r="J38" i="37"/>
  <c r="L34" i="37"/>
  <c r="J31" i="37"/>
  <c r="L14" i="40"/>
  <c r="M14" i="40" s="1"/>
  <c r="L36" i="40" s="1"/>
  <c r="L36" i="39"/>
  <c r="L35" i="38"/>
  <c r="L16" i="40"/>
  <c r="M16" i="40" s="1"/>
  <c r="N16" i="40" s="1"/>
  <c r="O16" i="40" s="1"/>
  <c r="L21" i="41"/>
  <c r="M21" i="41" s="1"/>
  <c r="O21" i="41" s="1"/>
  <c r="J57" i="38"/>
  <c r="L14" i="38"/>
  <c r="M14" i="38" s="1"/>
  <c r="L57" i="38"/>
  <c r="N17" i="40"/>
  <c r="O17" i="40" s="1"/>
  <c r="J39" i="40"/>
  <c r="L39" i="40"/>
  <c r="R19" i="40"/>
  <c r="R23" i="40" s="1"/>
  <c r="K19" i="40"/>
  <c r="L19" i="40" s="1"/>
  <c r="M19" i="40" s="1"/>
  <c r="K23" i="43"/>
  <c r="O17" i="41"/>
  <c r="J62" i="43"/>
  <c r="O23" i="43"/>
  <c r="L62" i="43"/>
  <c r="L65" i="43" s="1"/>
  <c r="L23" i="43"/>
  <c r="J41" i="43"/>
  <c r="L41" i="43"/>
  <c r="L44" i="43" s="1"/>
  <c r="J40" i="42"/>
  <c r="L40" i="42"/>
  <c r="J38" i="42"/>
  <c r="L38" i="42"/>
  <c r="J39" i="42"/>
  <c r="L39" i="42"/>
  <c r="J31" i="42"/>
  <c r="L31" i="42"/>
  <c r="J62" i="42"/>
  <c r="L62" i="42"/>
  <c r="J37" i="42"/>
  <c r="L37" i="42"/>
  <c r="J41" i="42"/>
  <c r="L41" i="42"/>
  <c r="R19" i="41"/>
  <c r="R23" i="41" s="1"/>
  <c r="K19" i="41"/>
  <c r="J62" i="41" s="1"/>
  <c r="H23" i="41"/>
  <c r="H24" i="41" s="1"/>
  <c r="J38" i="41"/>
  <c r="L38" i="41"/>
  <c r="J58" i="41"/>
  <c r="L58" i="41"/>
  <c r="J31" i="41"/>
  <c r="L31" i="41"/>
  <c r="J61" i="41"/>
  <c r="L61" i="41"/>
  <c r="J57" i="41"/>
  <c r="L57" i="41"/>
  <c r="J60" i="41"/>
  <c r="L60" i="41"/>
  <c r="J35" i="41"/>
  <c r="L35" i="41"/>
  <c r="L33" i="41"/>
  <c r="J33" i="41"/>
  <c r="J64" i="41"/>
  <c r="L64" i="41"/>
  <c r="J42" i="41"/>
  <c r="L42" i="41"/>
  <c r="J63" i="41"/>
  <c r="L63" i="41"/>
  <c r="L18" i="41"/>
  <c r="M18" i="41" s="1"/>
  <c r="O18" i="41" s="1"/>
  <c r="L15" i="41"/>
  <c r="M15" i="41" s="1"/>
  <c r="O15" i="41" s="1"/>
  <c r="L34" i="41"/>
  <c r="J34" i="41"/>
  <c r="J59" i="41"/>
  <c r="L59" i="41"/>
  <c r="J39" i="41"/>
  <c r="L39" i="41"/>
  <c r="L14" i="41"/>
  <c r="M14" i="41" s="1"/>
  <c r="O14" i="41" s="1"/>
  <c r="L64" i="40"/>
  <c r="J64" i="40"/>
  <c r="L35" i="40"/>
  <c r="J35" i="40"/>
  <c r="L63" i="40"/>
  <c r="J63" i="40"/>
  <c r="J33" i="40"/>
  <c r="L33" i="40"/>
  <c r="L32" i="40"/>
  <c r="J32" i="40"/>
  <c r="J34" i="40"/>
  <c r="L34" i="40"/>
  <c r="L20" i="40"/>
  <c r="M20" i="40" s="1"/>
  <c r="L21" i="40"/>
  <c r="M21" i="40" s="1"/>
  <c r="J35" i="37"/>
  <c r="L35" i="37"/>
  <c r="J53" i="37"/>
  <c r="L53" i="37"/>
  <c r="L9" i="37"/>
  <c r="M9" i="37" s="1"/>
  <c r="L40" i="37"/>
  <c r="J40" i="37"/>
  <c r="J36" i="37"/>
  <c r="L36" i="37"/>
  <c r="J61" i="38"/>
  <c r="L18" i="38"/>
  <c r="M18" i="38" s="1"/>
  <c r="L61" i="38"/>
  <c r="L34" i="38"/>
  <c r="J34" i="38"/>
  <c r="L60" i="38"/>
  <c r="L17" i="38"/>
  <c r="M17" i="38" s="1"/>
  <c r="J60" i="38"/>
  <c r="L58" i="38"/>
  <c r="L15" i="38"/>
  <c r="M15" i="38" s="1"/>
  <c r="J58" i="38"/>
  <c r="L64" i="38"/>
  <c r="L21" i="38"/>
  <c r="M21" i="38" s="1"/>
  <c r="J64" i="38"/>
  <c r="L33" i="38"/>
  <c r="J33" i="38"/>
  <c r="J32" i="38"/>
  <c r="L32" i="38"/>
  <c r="J42" i="38"/>
  <c r="N20" i="38"/>
  <c r="O20" i="38" s="1"/>
  <c r="L42" i="38"/>
  <c r="J63" i="38"/>
  <c r="L63" i="38"/>
  <c r="N16" i="38"/>
  <c r="O16" i="38" s="1"/>
  <c r="J38" i="38"/>
  <c r="L38" i="38"/>
  <c r="M8" i="38"/>
  <c r="L40" i="39"/>
  <c r="L38" i="39"/>
  <c r="L39" i="39"/>
  <c r="L42" i="37"/>
  <c r="J42" i="37"/>
  <c r="J43" i="37"/>
  <c r="L43" i="37"/>
  <c r="H23" i="37"/>
  <c r="H24" i="37" s="1"/>
  <c r="K19" i="37"/>
  <c r="J63" i="37"/>
  <c r="L63" i="37"/>
  <c r="L64" i="37"/>
  <c r="J64" i="37"/>
  <c r="J43" i="39"/>
  <c r="L43" i="39"/>
  <c r="H23" i="39"/>
  <c r="H24" i="39" s="1"/>
  <c r="L8" i="39"/>
  <c r="L19" i="39"/>
  <c r="M19" i="39" s="1"/>
  <c r="J63" i="39"/>
  <c r="L63" i="39"/>
  <c r="J64" i="39"/>
  <c r="L64" i="39"/>
  <c r="J42" i="39"/>
  <c r="L42" i="39"/>
  <c r="K23" i="41" l="1"/>
  <c r="N15" i="40"/>
  <c r="O15" i="40" s="1"/>
  <c r="R19" i="38"/>
  <c r="R23" i="38" s="1"/>
  <c r="K19" i="38"/>
  <c r="K23" i="38" s="1"/>
  <c r="J37" i="40"/>
  <c r="L40" i="40"/>
  <c r="N14" i="40"/>
  <c r="O14" i="40" s="1"/>
  <c r="N18" i="40"/>
  <c r="O18" i="40" s="1"/>
  <c r="L24" i="43"/>
  <c r="J36" i="40"/>
  <c r="K23" i="40"/>
  <c r="J62" i="40"/>
  <c r="L43" i="41"/>
  <c r="L62" i="40"/>
  <c r="L65" i="40" s="1"/>
  <c r="J43" i="41"/>
  <c r="L62" i="41"/>
  <c r="L65" i="41" s="1"/>
  <c r="J38" i="40"/>
  <c r="L38" i="40"/>
  <c r="L62" i="38"/>
  <c r="J65" i="43"/>
  <c r="N20" i="40"/>
  <c r="O20" i="40" s="1"/>
  <c r="J42" i="40"/>
  <c r="L42" i="40"/>
  <c r="L19" i="41"/>
  <c r="M19" i="41" s="1"/>
  <c r="O19" i="41" s="1"/>
  <c r="O23" i="41" s="1"/>
  <c r="N21" i="40"/>
  <c r="O21" i="40" s="1"/>
  <c r="J43" i="40"/>
  <c r="L43" i="40"/>
  <c r="N19" i="40"/>
  <c r="O19" i="40" s="1"/>
  <c r="J41" i="40"/>
  <c r="L41" i="40"/>
  <c r="J36" i="38"/>
  <c r="N14" i="38"/>
  <c r="O14" i="38" s="1"/>
  <c r="L36" i="38"/>
  <c r="J44" i="43"/>
  <c r="M24" i="43"/>
  <c r="O23" i="42"/>
  <c r="J40" i="41"/>
  <c r="L40" i="41"/>
  <c r="L36" i="41"/>
  <c r="J36" i="41"/>
  <c r="J37" i="41"/>
  <c r="L37" i="41"/>
  <c r="L31" i="40"/>
  <c r="J31" i="40"/>
  <c r="M23" i="40"/>
  <c r="L23" i="40"/>
  <c r="J32" i="37"/>
  <c r="L32" i="37"/>
  <c r="N18" i="38"/>
  <c r="O18" i="38" s="1"/>
  <c r="L40" i="38"/>
  <c r="J40" i="38"/>
  <c r="L31" i="38"/>
  <c r="J31" i="38"/>
  <c r="J43" i="38"/>
  <c r="N21" i="38"/>
  <c r="O21" i="38" s="1"/>
  <c r="L43" i="38"/>
  <c r="J37" i="38"/>
  <c r="N15" i="38"/>
  <c r="L37" i="38"/>
  <c r="N17" i="38"/>
  <c r="O17" i="38" s="1"/>
  <c r="J39" i="38"/>
  <c r="L39" i="38"/>
  <c r="L65" i="38"/>
  <c r="J62" i="37"/>
  <c r="L62" i="37"/>
  <c r="L65" i="37" s="1"/>
  <c r="K23" i="37"/>
  <c r="L19" i="37"/>
  <c r="J62" i="39"/>
  <c r="L62" i="39"/>
  <c r="L65" i="39" s="1"/>
  <c r="K23" i="39"/>
  <c r="J41" i="39"/>
  <c r="L41" i="39"/>
  <c r="M8" i="39"/>
  <c r="L23" i="39"/>
  <c r="L19" i="38" l="1"/>
  <c r="J62" i="38"/>
  <c r="J65" i="40"/>
  <c r="J65" i="41"/>
  <c r="L24" i="40"/>
  <c r="J65" i="38"/>
  <c r="M23" i="41"/>
  <c r="L23" i="41"/>
  <c r="L24" i="41" s="1"/>
  <c r="J44" i="40"/>
  <c r="M19" i="38"/>
  <c r="L23" i="38"/>
  <c r="L24" i="38" s="1"/>
  <c r="N23" i="40"/>
  <c r="J41" i="41"/>
  <c r="L41" i="41"/>
  <c r="R14" i="42"/>
  <c r="P23" i="42"/>
  <c r="R23" i="42" s="1"/>
  <c r="O23" i="40"/>
  <c r="M24" i="40"/>
  <c r="L44" i="40"/>
  <c r="O15" i="38"/>
  <c r="L23" i="37"/>
  <c r="L24" i="37" s="1"/>
  <c r="M19" i="37"/>
  <c r="J65" i="37"/>
  <c r="J31" i="39"/>
  <c r="M23" i="39"/>
  <c r="M24" i="39" s="1"/>
  <c r="L31" i="39"/>
  <c r="L44" i="39" s="1"/>
  <c r="L24" i="39"/>
  <c r="J65" i="39"/>
  <c r="J44" i="41" l="1"/>
  <c r="L44" i="41"/>
  <c r="M24" i="41"/>
  <c r="J41" i="38"/>
  <c r="L41" i="38"/>
  <c r="L44" i="38" s="1"/>
  <c r="N19" i="38"/>
  <c r="M23" i="38"/>
  <c r="M24" i="38" s="1"/>
  <c r="J41" i="37"/>
  <c r="L41" i="37"/>
  <c r="L44" i="37" s="1"/>
  <c r="M23" i="37"/>
  <c r="M24" i="37" s="1"/>
  <c r="J44" i="39"/>
  <c r="J44" i="38" l="1"/>
  <c r="O19" i="38"/>
  <c r="O23" i="38" s="1"/>
  <c r="N23" i="38"/>
  <c r="J44" i="37"/>
  <c r="J23" i="42" l="1"/>
  <c r="L14" i="42"/>
  <c r="L23" i="42" l="1"/>
  <c r="M14" i="42"/>
  <c r="J57" i="42"/>
  <c r="L57" i="42"/>
  <c r="L65" i="42" s="1"/>
  <c r="K23" i="42"/>
  <c r="L24" i="42" l="1"/>
  <c r="M23" i="42"/>
  <c r="L36" i="42"/>
  <c r="L44" i="42" s="1"/>
  <c r="J36" i="42"/>
  <c r="J65" i="42"/>
  <c r="J44" i="42" l="1"/>
  <c r="H19" i="46" l="1"/>
  <c r="K19" i="46" l="1"/>
  <c r="L19" i="46" s="1"/>
  <c r="M19" i="46" l="1"/>
  <c r="J62" i="46"/>
  <c r="L62" i="46"/>
  <c r="J41" i="46" l="1"/>
  <c r="L41" i="46"/>
  <c r="H20" i="46"/>
  <c r="H23" i="46" l="1"/>
  <c r="H24" i="46" s="1"/>
  <c r="K20" i="46"/>
  <c r="L63" i="46" l="1"/>
  <c r="L65" i="46" s="1"/>
  <c r="K23" i="46"/>
  <c r="J63" i="46"/>
  <c r="L20" i="46"/>
  <c r="D29" i="46" l="1"/>
  <c r="D31" i="46" s="1"/>
  <c r="D35" i="46" s="1"/>
  <c r="M20" i="46"/>
  <c r="L23" i="46"/>
  <c r="L24" i="46" s="1"/>
  <c r="J65" i="46"/>
  <c r="L42" i="46" l="1"/>
  <c r="L44" i="46" s="1"/>
  <c r="M23" i="46"/>
  <c r="M24" i="46" s="1"/>
  <c r="J42" i="46"/>
  <c r="J44" i="4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 Falkner</author>
  </authors>
  <commentList>
    <comment ref="O19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Don Falkner:</t>
        </r>
        <r>
          <rPr>
            <sz val="8"/>
            <color indexed="81"/>
            <rFont val="Tahoma"/>
            <family val="2"/>
          </rPr>
          <t xml:space="preserve">
$8 rounding
</t>
        </r>
      </text>
    </comment>
    <comment ref="O24" authorId="0" shapeId="0" xr:uid="{00000000-0006-0000-0700-000002000000}">
      <text>
        <r>
          <rPr>
            <b/>
            <sz val="8"/>
            <color indexed="81"/>
            <rFont val="Tahoma"/>
            <family val="2"/>
          </rPr>
          <t>Don Falkner:</t>
        </r>
        <r>
          <rPr>
            <sz val="8"/>
            <color indexed="81"/>
            <rFont val="Tahoma"/>
            <family val="2"/>
          </rPr>
          <t xml:space="preserve">
$8 rounding correction in Elec Utility ED AN</t>
        </r>
      </text>
    </comment>
  </commentList>
</comments>
</file>

<file path=xl/sharedStrings.xml><?xml version="1.0" encoding="utf-8"?>
<sst xmlns="http://schemas.openxmlformats.org/spreadsheetml/2006/main" count="1898" uniqueCount="230">
  <si>
    <t>Other</t>
  </si>
  <si>
    <t>Transportation</t>
  </si>
  <si>
    <t>BAF &amp; Altus Name</t>
  </si>
  <si>
    <t>Structure</t>
  </si>
  <si>
    <t>Tax Run</t>
  </si>
  <si>
    <t>Sandpoint Acq. Adjust</t>
  </si>
  <si>
    <t>Total DFIT</t>
  </si>
  <si>
    <t>Accrual</t>
  </si>
  <si>
    <t>Remaining</t>
  </si>
  <si>
    <t>CIAC</t>
  </si>
  <si>
    <t>190610 ED ID</t>
  </si>
  <si>
    <t>190610 ED WA</t>
  </si>
  <si>
    <t>190610 GD WA</t>
  </si>
  <si>
    <t>190610 GD ID</t>
  </si>
  <si>
    <t>190610 GD OR</t>
  </si>
  <si>
    <t>411100 GD AN</t>
  </si>
  <si>
    <t>282900 ED AN</t>
  </si>
  <si>
    <t>282900 CD AA</t>
  </si>
  <si>
    <t>282900 CD AN</t>
  </si>
  <si>
    <t>282900 GD AN</t>
  </si>
  <si>
    <t>282190 ZZ ZZ</t>
  </si>
  <si>
    <t>282680 GD OR</t>
  </si>
  <si>
    <t>282380 ZZ ZZ</t>
  </si>
  <si>
    <t>Accrued</t>
  </si>
  <si>
    <t>282900 GD OR</t>
  </si>
  <si>
    <t>411100 GD OR</t>
  </si>
  <si>
    <t>Gas North</t>
  </si>
  <si>
    <t>Monthly</t>
  </si>
  <si>
    <t>Electric Utility</t>
  </si>
  <si>
    <t>General Utility (CD AA)</t>
  </si>
  <si>
    <t>General Utility (CD AN)</t>
  </si>
  <si>
    <t>Alloc:</t>
  </si>
  <si>
    <t>Alloc %</t>
  </si>
  <si>
    <t>Below</t>
  </si>
  <si>
    <t xml:space="preserve">Total per </t>
  </si>
  <si>
    <t>Income Stmt</t>
  </si>
  <si>
    <t>410100 CD AA</t>
  </si>
  <si>
    <t>410100 CD AN</t>
  </si>
  <si>
    <t>410100 ED AN</t>
  </si>
  <si>
    <t>410100 GD AN</t>
  </si>
  <si>
    <t>410100 GD OR</t>
  </si>
  <si>
    <t>410200 ZZ ZZ</t>
  </si>
  <si>
    <t>DFIT Acct</t>
  </si>
  <si>
    <t>Total DFIT per Acufile Study</t>
  </si>
  <si>
    <t>Plant DFIT</t>
  </si>
  <si>
    <t>Acct (190/282)</t>
  </si>
  <si>
    <t>190 &amp; 282:  DR (CR)</t>
  </si>
  <si>
    <t>Oregon Gas</t>
  </si>
  <si>
    <t>(signs flipped)</t>
  </si>
  <si>
    <t>CIAC - Electric - ED.AN</t>
  </si>
  <si>
    <t>CIAC - Gas North - GD.AN</t>
  </si>
  <si>
    <t>check</t>
  </si>
  <si>
    <t>Oregon Acq. Adjust</t>
  </si>
  <si>
    <t>Ending Bal.</t>
  </si>
  <si>
    <t>Electric</t>
  </si>
  <si>
    <t>Gas South (Oregon)</t>
  </si>
  <si>
    <t>Year-To-Date</t>
  </si>
  <si>
    <t>Allocation - Four Factor - Net Direct Plant</t>
  </si>
  <si>
    <t>2009 Estimated Federal Deferred Taxes related to Plant Depreciation - Modified Mar 2009</t>
  </si>
  <si>
    <t>Journal Entry to Book on RJ 140 - Plant DFIT/DSIT - 2009</t>
  </si>
  <si>
    <t>2009-12 DFIT Based on 2008 10-K Power Tax Run (Report #215)</t>
  </si>
  <si>
    <t>Mar 2009</t>
  </si>
  <si>
    <t>True-up</t>
  </si>
  <si>
    <t>Adjustment</t>
  </si>
  <si>
    <t>Apr-Dec</t>
  </si>
  <si>
    <t>Power Tax DFIT</t>
  </si>
  <si>
    <t>April - December 2009</t>
  </si>
  <si>
    <t>Dec. 2009</t>
  </si>
  <si>
    <t>Dec</t>
  </si>
  <si>
    <t>December 2009 True-Up</t>
  </si>
  <si>
    <t>2009 Estimated Federal Deferred Taxes related to Plant Depreciation - Modified Dec 2009</t>
  </si>
  <si>
    <t>2009-12 DFIT Based on 2009 Dec. Master Case Power Tax Run (Report #215) (Plant addtiions/retirements as of 10/31/2009)</t>
  </si>
  <si>
    <t>2010 Estimated Federal Deferred Taxes related to Plant Depreciation - Modified Jan 2010</t>
  </si>
  <si>
    <t>2010 DFIT Based on 2010 Forecast (Dan w/Wind) Power Tax Run (Report #215) (Plant additions and Book Depr per Forecast)</t>
  </si>
  <si>
    <t>xxx. 2010</t>
  </si>
  <si>
    <t>Jan-Dec</t>
  </si>
  <si>
    <t>Jan - December 2010</t>
  </si>
  <si>
    <t>month 2010 True-Up</t>
  </si>
  <si>
    <t>Journal Entry to Book on RJ 140 - Plant DFIT/DSIT - 2010</t>
  </si>
  <si>
    <t>Nov 09</t>
  </si>
  <si>
    <t xml:space="preserve">CIAC </t>
  </si>
  <si>
    <t>Transfer</t>
  </si>
  <si>
    <t>DR (CR)</t>
  </si>
  <si>
    <t>Trf + Accrual</t>
  </si>
  <si>
    <t>Sep 09</t>
  </si>
  <si>
    <t>2008 Tax</t>
  </si>
  <si>
    <t>xxx 2010 True-Up</t>
  </si>
  <si>
    <t>2010 Estimated Federal Deferred Taxes related to Plant Depreciation - Modified Nov. 2010</t>
  </si>
  <si>
    <t>2010-11 DFIT Based on 2010 Dec. Max Sec. 199 Power Tax Run (Report #215) (Plant addtions/retirements as of 10/31/2010)</t>
  </si>
  <si>
    <t>Nov. 2010</t>
  </si>
  <si>
    <t>Catch-up</t>
  </si>
  <si>
    <t>November 2010 Catch-Up</t>
  </si>
  <si>
    <t>December 2010 Accrual</t>
  </si>
  <si>
    <t>Mar 2011</t>
  </si>
  <si>
    <t>Apr - Dec</t>
  </si>
  <si>
    <t>April - December 2011 Accrual</t>
  </si>
  <si>
    <t>Journal Entry to Book on RJ 140 - Plant DFIT/DSIT - 2011</t>
  </si>
  <si>
    <t>March 2011 Catch-Up</t>
  </si>
  <si>
    <t>2011 Estimated Federal Deferred Taxes related to Plant Depreciation - March accrual update</t>
  </si>
  <si>
    <t>2011-03 DFIT Based on 2011 Forecast w/Bonus Power Tax Run (Report #215) (Orignal forecast)</t>
  </si>
  <si>
    <t>Expected</t>
  </si>
  <si>
    <t>Actual G/L</t>
  </si>
  <si>
    <t>Diff</t>
  </si>
  <si>
    <t>See Adam's analysis sheet for this</t>
  </si>
  <si>
    <t>Diff colum.  Pension flow thru,</t>
  </si>
  <si>
    <t>2010 ITC, JP transfer, 2010 Return</t>
  </si>
  <si>
    <t>true-up</t>
  </si>
  <si>
    <t>Nov 2011</t>
  </si>
  <si>
    <t>November 2011 Catch-Up</t>
  </si>
  <si>
    <t>December 2011 Accrual</t>
  </si>
  <si>
    <t>2011 Estimated Federal Deferred Taxes related to Plant Depreciation - 10 &amp; 2 updated accrual + JP Dec 2011</t>
  </si>
  <si>
    <t>2011-11 DFIT Based on 2011 10 &amp; 2  2011 (JP adj)  (Report #215) (Plant additions-orignal forecast)</t>
  </si>
  <si>
    <t>November</t>
  </si>
  <si>
    <t xml:space="preserve"> Dec</t>
  </si>
  <si>
    <t>December</t>
  </si>
  <si>
    <t>2012 Estimated Federal Deferred Taxes related to Plant Depreciation - March accrual update</t>
  </si>
  <si>
    <t>2012-03 DFIT Based on 2012 - 2016 Forecast Power Tax Run (Report #215) (Orignal forecast)</t>
  </si>
  <si>
    <t>12/31/20111</t>
  </si>
  <si>
    <t>Mar 2012</t>
  </si>
  <si>
    <t>Balance</t>
  </si>
  <si>
    <t>April - December 2012 Accrual</t>
  </si>
  <si>
    <t>Journal Entry to Book on RJ 140 - Plant DFIT/DSIT - 2012</t>
  </si>
  <si>
    <t>March 2012 Catch-Up</t>
  </si>
  <si>
    <t>2012 Estimated Federal Deferred Taxes related to Plant Depreciation - December accrual update</t>
  </si>
  <si>
    <t>2012-12 DFIT Based on 2012 Projected 10 &amp; 2 Power Tax Run (Report #215) (10 &amp; 2 update)</t>
  </si>
  <si>
    <t>Dec 2012</t>
  </si>
  <si>
    <t>December 2012 Catch-Up</t>
  </si>
  <si>
    <t>Sep 2012</t>
  </si>
  <si>
    <t>2011 Tax</t>
  </si>
  <si>
    <t>Adjusted</t>
  </si>
  <si>
    <t>YTD Balance</t>
  </si>
  <si>
    <t>COR adj and</t>
  </si>
  <si>
    <t>Excl COR/True-up</t>
  </si>
  <si>
    <t>2013 Estimated Federal Deferred Taxes related to Plant Depreciation - December accrual update</t>
  </si>
  <si>
    <t>April - December 2013 Accrual</t>
  </si>
  <si>
    <t>Total DFIT per PowerTax Study (Report 257)</t>
  </si>
  <si>
    <t>Sep 2013</t>
  </si>
  <si>
    <t>2012 Tax</t>
  </si>
  <si>
    <t>2013 Tax Return True Up Adjustment</t>
  </si>
  <si>
    <t>2013</t>
  </si>
  <si>
    <t xml:space="preserve">Total </t>
  </si>
  <si>
    <t>2013 Yearend</t>
  </si>
  <si>
    <t>September 2014-True-up for 2013 Tax Return</t>
  </si>
  <si>
    <t>2013 DFIT Based on 2013 Master Power Tax Run (Report #215)</t>
  </si>
  <si>
    <t>Journal Entry to Book on RJ 140 - Plant DFIT/DSIT - 2013</t>
  </si>
  <si>
    <t>2013 Catch Up</t>
  </si>
  <si>
    <t>DELTA</t>
  </si>
  <si>
    <t>IRS Adjustment June 2014 for '10-'11 return</t>
  </si>
  <si>
    <t>2014 Tax Return True Up Adjustment</t>
  </si>
  <si>
    <t>2014 Catch Up</t>
  </si>
  <si>
    <t>2014 DFIT Based on 2014 Master Power Tax Run (Report #215)</t>
  </si>
  <si>
    <t>2014</t>
  </si>
  <si>
    <t>2014 Yearend</t>
  </si>
  <si>
    <t>Sep 2014</t>
  </si>
  <si>
    <t>2014 Tax</t>
  </si>
  <si>
    <t>April - December 2014 Accrual</t>
  </si>
  <si>
    <t>Journal Entry to Book on RJ 140 - Plant DFIT/DSIT - 2014</t>
  </si>
  <si>
    <t>September 2015-True-up for 2014 Tax Return</t>
  </si>
  <si>
    <t>Repairs</t>
  </si>
  <si>
    <t xml:space="preserve">IRS ADJ June 2014 </t>
  </si>
  <si>
    <t>Total</t>
  </si>
  <si>
    <t>2015</t>
  </si>
  <si>
    <t>Sep 2015</t>
  </si>
  <si>
    <t>2015 Tax</t>
  </si>
  <si>
    <t>2015 Yearend</t>
  </si>
  <si>
    <t>2015 Tax Return True Up Adjustment</t>
  </si>
  <si>
    <t>2015 Catch Up</t>
  </si>
  <si>
    <t>2015 DFIT Based on 2015 Master Power Tax Run (Report #215)</t>
  </si>
  <si>
    <t>2015 Federal Deferred Taxes related to Plant Depreciation - True-up to 2015 Tax Return</t>
  </si>
  <si>
    <t xml:space="preserve">12/31/14 True-Up </t>
  </si>
  <si>
    <t>Master 2014 Amended</t>
  </si>
  <si>
    <t>AMENDED DEPR additional</t>
  </si>
  <si>
    <t>April - December 2015 Accrual</t>
  </si>
  <si>
    <t>Journal Entry to Book on RJ 140 - Plant DFIT/DSIT - 2015</t>
  </si>
  <si>
    <t>September 2016-True-up for 2015 Tax Return</t>
  </si>
  <si>
    <t>Sep 2016</t>
  </si>
  <si>
    <t>2016 Tax</t>
  </si>
  <si>
    <t>2016</t>
  </si>
  <si>
    <t>2016 Tax Return True Up Adjustment</t>
  </si>
  <si>
    <t>Jan - December 2016 Accrual</t>
  </si>
  <si>
    <t>Journal Entry to Book on RJ 140 - Plant DFIT/DSIT - 2016</t>
  </si>
  <si>
    <t>September 2017-True-up for 2016 Tax Return</t>
  </si>
  <si>
    <t>Run thru Elec.</t>
  </si>
  <si>
    <t>2017 Yearend</t>
  </si>
  <si>
    <t>2017 Tax</t>
  </si>
  <si>
    <t>Sep 2018</t>
  </si>
  <si>
    <t>2017</t>
  </si>
  <si>
    <t>2017 Federal Deferred Taxes related to Plant Depreciation - True-up to 2017 Tax Return</t>
  </si>
  <si>
    <t>2017 DFIT Based on 2017 Master Power Tax Run (Report #215)</t>
  </si>
  <si>
    <t>2017 Tax Return True Up Adjustment</t>
  </si>
  <si>
    <t>Jan - December 2017 Accrual</t>
  </si>
  <si>
    <t>Journal Entry to Book on RJ 140 - Plant DFIT/DSIT - 2017</t>
  </si>
  <si>
    <t>September 2018-True-up for 2017 Tax Return</t>
  </si>
  <si>
    <t>2017 Catch Up</t>
  </si>
  <si>
    <t>2018 Federal Deferred Taxes related to Plant Depreciation - True-up to 2018 Tax Return</t>
  </si>
  <si>
    <t>2018 DFIT Based on Master Power Tax Run (Report #215)</t>
  </si>
  <si>
    <t>CD</t>
  </si>
  <si>
    <t>ED</t>
  </si>
  <si>
    <t>GD</t>
  </si>
  <si>
    <t>AA</t>
  </si>
  <si>
    <t>AN</t>
  </si>
  <si>
    <t>OR</t>
  </si>
  <si>
    <t>Difference</t>
  </si>
  <si>
    <t>Acct 282</t>
  </si>
  <si>
    <t>Beg Bal. per GL</t>
  </si>
  <si>
    <t>2018 Accrual</t>
  </si>
  <si>
    <t>True-up Entry</t>
  </si>
  <si>
    <t>2018 Actual</t>
  </si>
  <si>
    <t>RTA Adj</t>
  </si>
  <si>
    <t xml:space="preserve">Prior Year </t>
  </si>
  <si>
    <t>PowerTax DFIT</t>
  </si>
  <si>
    <t>Check</t>
  </si>
  <si>
    <t>2018 Adj</t>
  </si>
  <si>
    <t>per PT 257</t>
  </si>
  <si>
    <t>Prior Year RTA Adj</t>
  </si>
  <si>
    <t>Unrecon Difference</t>
  </si>
  <si>
    <t>Audit Adj</t>
  </si>
  <si>
    <t>2019 Plant Deferred Taxes</t>
  </si>
  <si>
    <t>2019 DFIT Based on Master Power Tax Run (Report #215)</t>
  </si>
  <si>
    <t>10&amp;2</t>
  </si>
  <si>
    <t>2019 Accrual</t>
  </si>
  <si>
    <t>Dec Adj</t>
  </si>
  <si>
    <t>2019 Adj</t>
  </si>
  <si>
    <t>2019 Forecast</t>
  </si>
  <si>
    <t>2019 10&amp;2</t>
  </si>
  <si>
    <t>11 months</t>
  </si>
  <si>
    <t>2019 Actual</t>
  </si>
  <si>
    <t>2018 Audited</t>
  </si>
  <si>
    <t>TR</t>
  </si>
  <si>
    <t>Excess Def Adj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</si>
</sst>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#,##0\ ;\(#,##0\)"/>
    <numFmt numFmtId="166" formatCode="_(* #,##0_);_(* \(#,##0\);_(* &quot;-&quot;??_);_(@_)"/>
    <numFmt numFmtId="167" formatCode="0.000%"/>
    <numFmt numFmtId="168" formatCode="_(&quot;$&quot;* #,##0_);_(&quot;$&quot;* \(#,##0\);_(&quot;$&quot;* &quot;-&quot;??_);_(@_)"/>
    <numFmt numFmtId="169" formatCode="mmmm"/>
  </numFmts>
  <fonts count="1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i/>
      <u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i/>
      <sz val="8"/>
      <name val="Times New Roman"/>
      <family val="1"/>
    </font>
    <font>
      <i/>
      <sz val="10"/>
      <color indexed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9">
    <xf numFmtId="0" fontId="0" fillId="0" borderId="0" xfId="0"/>
    <xf numFmtId="165" fontId="2" fillId="0" borderId="0" xfId="0" applyNumberFormat="1" applyFont="1" applyFill="1" applyBorder="1"/>
    <xf numFmtId="166" fontId="2" fillId="0" borderId="0" xfId="1" applyNumberFormat="1" applyFont="1" applyFill="1" applyBorder="1"/>
    <xf numFmtId="0" fontId="3" fillId="0" borderId="0" xfId="0" applyFont="1" applyAlignment="1">
      <alignment horizontal="left"/>
    </xf>
    <xf numFmtId="0" fontId="2" fillId="0" borderId="0" xfId="0" applyFont="1"/>
    <xf numFmtId="166" fontId="2" fillId="0" borderId="0" xfId="1" applyNumberFormat="1" applyFont="1" applyFill="1"/>
    <xf numFmtId="166" fontId="2" fillId="0" borderId="0" xfId="1" applyNumberFormat="1" applyFont="1" applyBorder="1"/>
    <xf numFmtId="43" fontId="2" fillId="0" borderId="0" xfId="1" applyFont="1" applyBorder="1"/>
    <xf numFmtId="164" fontId="2" fillId="0" borderId="0" xfId="0" applyNumberFormat="1" applyFont="1" applyBorder="1"/>
    <xf numFmtId="0" fontId="2" fillId="0" borderId="0" xfId="0" applyFont="1" applyBorder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166" fontId="2" fillId="0" borderId="0" xfId="1" applyNumberFormat="1" applyFont="1" applyBorder="1" applyAlignment="1">
      <alignment horizontal="center"/>
    </xf>
    <xf numFmtId="17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6" fontId="6" fillId="0" borderId="0" xfId="1" applyNumberFormat="1" applyFont="1" applyFill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4" fontId="6" fillId="0" borderId="0" xfId="0" applyNumberFormat="1" applyFont="1" applyAlignment="1">
      <alignment horizontal="center"/>
    </xf>
    <xf numFmtId="14" fontId="6" fillId="0" borderId="0" xfId="0" applyNumberFormat="1" applyFont="1" applyBorder="1" applyAlignment="1">
      <alignment horizontal="center"/>
    </xf>
    <xf numFmtId="166" fontId="4" fillId="0" borderId="0" xfId="1" applyNumberFormat="1" applyFont="1" applyFill="1" applyBorder="1" applyAlignment="1">
      <alignment horizontal="center"/>
    </xf>
    <xf numFmtId="0" fontId="6" fillId="0" borderId="0" xfId="0" applyFont="1"/>
    <xf numFmtId="165" fontId="2" fillId="0" borderId="0" xfId="0" applyNumberFormat="1" applyFont="1"/>
    <xf numFmtId="165" fontId="2" fillId="0" borderId="0" xfId="0" applyNumberFormat="1" applyFont="1" applyBorder="1"/>
    <xf numFmtId="166" fontId="7" fillId="2" borderId="0" xfId="1" applyNumberFormat="1" applyFont="1" applyFill="1" applyBorder="1"/>
    <xf numFmtId="165" fontId="2" fillId="0" borderId="0" xfId="0" applyNumberFormat="1" applyFont="1" applyFill="1"/>
    <xf numFmtId="0" fontId="2" fillId="0" borderId="0" xfId="0" applyFont="1" applyFill="1"/>
    <xf numFmtId="165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/>
    <xf numFmtId="3" fontId="2" fillId="0" borderId="0" xfId="0" applyNumberFormat="1" applyFont="1" applyBorder="1"/>
    <xf numFmtId="3" fontId="6" fillId="0" borderId="0" xfId="0" applyNumberFormat="1" applyFont="1" applyBorder="1"/>
    <xf numFmtId="166" fontId="2" fillId="0" borderId="0" xfId="1" applyNumberFormat="1" applyFont="1" applyFill="1" applyAlignment="1">
      <alignment horizontal="center"/>
    </xf>
    <xf numFmtId="165" fontId="6" fillId="0" borderId="0" xfId="0" applyNumberFormat="1" applyFont="1"/>
    <xf numFmtId="165" fontId="2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/>
    </xf>
    <xf numFmtId="165" fontId="6" fillId="0" borderId="0" xfId="0" applyNumberFormat="1" applyFont="1" applyBorder="1"/>
    <xf numFmtId="166" fontId="2" fillId="0" borderId="0" xfId="1" applyNumberFormat="1" applyFont="1" applyFill="1" applyBorder="1" applyAlignment="1">
      <alignment horizontal="center"/>
    </xf>
    <xf numFmtId="166" fontId="2" fillId="0" borderId="0" xfId="1" applyNumberFormat="1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166" fontId="2" fillId="0" borderId="0" xfId="0" applyNumberFormat="1" applyFont="1" applyBorder="1"/>
    <xf numFmtId="0" fontId="6" fillId="0" borderId="0" xfId="0" applyFont="1" applyBorder="1"/>
    <xf numFmtId="166" fontId="6" fillId="0" borderId="0" xfId="1" applyNumberFormat="1" applyFont="1" applyBorder="1"/>
    <xf numFmtId="166" fontId="2" fillId="0" borderId="1" xfId="1" applyNumberFormat="1" applyFont="1" applyFill="1" applyBorder="1"/>
    <xf numFmtId="3" fontId="2" fillId="0" borderId="0" xfId="0" applyNumberFormat="1" applyFont="1" applyFill="1" applyBorder="1"/>
    <xf numFmtId="165" fontId="2" fillId="0" borderId="0" xfId="0" applyNumberFormat="1" applyFont="1" applyFill="1" applyAlignment="1">
      <alignment horizontal="left"/>
    </xf>
    <xf numFmtId="43" fontId="6" fillId="0" borderId="0" xfId="1" applyFont="1" applyFill="1" applyBorder="1" applyAlignment="1">
      <alignment horizontal="center"/>
    </xf>
    <xf numFmtId="0" fontId="2" fillId="0" borderId="0" xfId="0" applyFont="1" applyFill="1" applyBorder="1"/>
    <xf numFmtId="14" fontId="6" fillId="0" borderId="2" xfId="0" applyNumberFormat="1" applyFont="1" applyBorder="1" applyAlignment="1">
      <alignment horizontal="center"/>
    </xf>
    <xf numFmtId="166" fontId="6" fillId="0" borderId="2" xfId="1" applyNumberFormat="1" applyFont="1" applyFill="1" applyBorder="1" applyAlignment="1">
      <alignment horizontal="center"/>
    </xf>
    <xf numFmtId="43" fontId="6" fillId="0" borderId="2" xfId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6" fontId="8" fillId="2" borderId="0" xfId="1" applyNumberFormat="1" applyFont="1" applyFill="1"/>
    <xf numFmtId="0" fontId="2" fillId="3" borderId="0" xfId="0" applyFont="1" applyFill="1"/>
    <xf numFmtId="166" fontId="2" fillId="3" borderId="0" xfId="1" applyNumberFormat="1" applyFont="1" applyFill="1"/>
    <xf numFmtId="0" fontId="2" fillId="3" borderId="0" xfId="0" applyFont="1" applyFill="1" applyAlignment="1">
      <alignment horizontal="left" indent="1"/>
    </xf>
    <xf numFmtId="0" fontId="2" fillId="3" borderId="0" xfId="0" applyFont="1" applyFill="1" applyBorder="1"/>
    <xf numFmtId="166" fontId="2" fillId="3" borderId="0" xfId="1" applyNumberFormat="1" applyFont="1" applyFill="1" applyBorder="1"/>
    <xf numFmtId="166" fontId="6" fillId="3" borderId="0" xfId="1" applyNumberFormat="1" applyFont="1" applyFill="1" applyBorder="1"/>
    <xf numFmtId="166" fontId="2" fillId="3" borderId="0" xfId="0" applyNumberFormat="1" applyFont="1" applyFill="1" applyAlignment="1"/>
    <xf numFmtId="166" fontId="2" fillId="3" borderId="3" xfId="0" applyNumberFormat="1" applyFont="1" applyFill="1" applyBorder="1" applyAlignment="1"/>
    <xf numFmtId="0" fontId="2" fillId="3" borderId="0" xfId="0" applyFont="1" applyFill="1" applyBorder="1" applyAlignment="1">
      <alignment horizontal="left"/>
    </xf>
    <xf numFmtId="166" fontId="2" fillId="3" borderId="0" xfId="1" applyNumberFormat="1" applyFont="1" applyFill="1" applyAlignment="1"/>
    <xf numFmtId="166" fontId="2" fillId="3" borderId="0" xfId="0" applyNumberFormat="1" applyFont="1" applyFill="1" applyBorder="1" applyAlignment="1"/>
    <xf numFmtId="165" fontId="2" fillId="4" borderId="0" xfId="0" applyNumberFormat="1" applyFont="1" applyFill="1"/>
    <xf numFmtId="43" fontId="2" fillId="0" borderId="0" xfId="1" applyNumberFormat="1" applyFont="1" applyFill="1" applyBorder="1"/>
    <xf numFmtId="165" fontId="2" fillId="0" borderId="0" xfId="0" applyNumberFormat="1" applyFont="1" applyAlignment="1"/>
    <xf numFmtId="14" fontId="6" fillId="0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/>
    <xf numFmtId="166" fontId="9" fillId="0" borderId="0" xfId="1" applyNumberFormat="1" applyFont="1" applyFill="1" applyAlignment="1">
      <alignment horizontal="right"/>
    </xf>
    <xf numFmtId="43" fontId="6" fillId="0" borderId="0" xfId="1" applyFont="1" applyBorder="1" applyAlignment="1">
      <alignment horizontal="left"/>
    </xf>
    <xf numFmtId="166" fontId="6" fillId="0" borderId="4" xfId="1" applyNumberFormat="1" applyFont="1" applyFill="1" applyBorder="1" applyAlignment="1">
      <alignment horizontal="center"/>
    </xf>
    <xf numFmtId="166" fontId="6" fillId="0" borderId="5" xfId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6" fontId="2" fillId="0" borderId="5" xfId="1" applyNumberFormat="1" applyFont="1" applyFill="1" applyBorder="1"/>
    <xf numFmtId="14" fontId="6" fillId="0" borderId="6" xfId="0" applyNumberFormat="1" applyFont="1" applyBorder="1" applyAlignment="1">
      <alignment horizontal="center"/>
    </xf>
    <xf numFmtId="165" fontId="2" fillId="0" borderId="4" xfId="0" applyNumberFormat="1" applyFont="1" applyBorder="1"/>
    <xf numFmtId="0" fontId="2" fillId="0" borderId="4" xfId="0" applyFont="1" applyBorder="1"/>
    <xf numFmtId="3" fontId="2" fillId="0" borderId="4" xfId="0" applyNumberFormat="1" applyFont="1" applyBorder="1"/>
    <xf numFmtId="165" fontId="2" fillId="0" borderId="4" xfId="0" applyNumberFormat="1" applyFont="1" applyBorder="1" applyAlignment="1">
      <alignment horizontal="left"/>
    </xf>
    <xf numFmtId="165" fontId="2" fillId="0" borderId="0" xfId="0" applyNumberFormat="1" applyFont="1" applyBorder="1" applyAlignment="1">
      <alignment horizontal="left"/>
    </xf>
    <xf numFmtId="165" fontId="2" fillId="0" borderId="6" xfId="0" applyNumberFormat="1" applyFont="1" applyBorder="1"/>
    <xf numFmtId="165" fontId="6" fillId="0" borderId="2" xfId="0" applyNumberFormat="1" applyFont="1" applyBorder="1"/>
    <xf numFmtId="166" fontId="2" fillId="0" borderId="2" xfId="0" applyNumberFormat="1" applyFont="1" applyBorder="1"/>
    <xf numFmtId="165" fontId="2" fillId="0" borderId="2" xfId="0" applyNumberFormat="1" applyFont="1" applyBorder="1"/>
    <xf numFmtId="166" fontId="2" fillId="0" borderId="7" xfId="1" applyNumberFormat="1" applyFont="1" applyFill="1" applyBorder="1"/>
    <xf numFmtId="168" fontId="2" fillId="0" borderId="0" xfId="2" applyNumberFormat="1" applyFont="1" applyBorder="1"/>
    <xf numFmtId="168" fontId="2" fillId="0" borderId="5" xfId="2" applyNumberFormat="1" applyFont="1" applyFill="1" applyBorder="1"/>
    <xf numFmtId="0" fontId="5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166" fontId="2" fillId="0" borderId="0" xfId="1" applyNumberFormat="1" applyFont="1" applyFill="1" applyAlignment="1"/>
    <xf numFmtId="167" fontId="2" fillId="3" borderId="3" xfId="0" applyNumberFormat="1" applyFont="1" applyFill="1" applyBorder="1" applyAlignment="1">
      <alignment horizontal="left"/>
    </xf>
    <xf numFmtId="169" fontId="10" fillId="2" borderId="0" xfId="1" applyNumberFormat="1" applyFont="1" applyFill="1" applyAlignment="1">
      <alignment horizontal="center"/>
    </xf>
    <xf numFmtId="167" fontId="7" fillId="2" borderId="0" xfId="3" applyNumberFormat="1" applyFont="1" applyFill="1" applyBorder="1" applyAlignment="1">
      <alignment horizontal="left"/>
    </xf>
    <xf numFmtId="3" fontId="6" fillId="4" borderId="8" xfId="1" applyNumberFormat="1" applyFont="1" applyFill="1" applyBorder="1"/>
    <xf numFmtId="14" fontId="6" fillId="0" borderId="2" xfId="0" applyNumberFormat="1" applyFont="1" applyFill="1" applyBorder="1" applyAlignment="1">
      <alignment horizontal="center"/>
    </xf>
    <xf numFmtId="0" fontId="6" fillId="3" borderId="0" xfId="0" applyFont="1" applyFill="1" applyBorder="1"/>
    <xf numFmtId="166" fontId="6" fillId="0" borderId="0" xfId="1" quotePrefix="1" applyNumberFormat="1" applyFont="1" applyFill="1" applyBorder="1" applyAlignment="1">
      <alignment horizontal="center"/>
    </xf>
    <xf numFmtId="43" fontId="0" fillId="0" borderId="0" xfId="0" applyNumberFormat="1"/>
    <xf numFmtId="164" fontId="2" fillId="0" borderId="12" xfId="0" applyNumberFormat="1" applyFont="1" applyBorder="1"/>
    <xf numFmtId="164" fontId="2" fillId="0" borderId="13" xfId="0" applyNumberFormat="1" applyFont="1" applyBorder="1"/>
    <xf numFmtId="166" fontId="2" fillId="0" borderId="14" xfId="1" applyNumberFormat="1" applyFont="1" applyBorder="1"/>
    <xf numFmtId="166" fontId="2" fillId="0" borderId="15" xfId="1" applyNumberFormat="1" applyFont="1" applyBorder="1"/>
    <xf numFmtId="166" fontId="2" fillId="0" borderId="16" xfId="1" applyNumberFormat="1" applyFont="1" applyBorder="1"/>
    <xf numFmtId="166" fontId="2" fillId="0" borderId="17" xfId="1" applyNumberFormat="1" applyFont="1" applyBorder="1"/>
    <xf numFmtId="165" fontId="2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165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66" fontId="6" fillId="0" borderId="0" xfId="1" applyNumberFormat="1" applyFont="1" applyBorder="1" applyAlignment="1">
      <alignment horizontal="center"/>
    </xf>
    <xf numFmtId="166" fontId="2" fillId="0" borderId="1" xfId="1" applyNumberFormat="1" applyFont="1" applyBorder="1"/>
    <xf numFmtId="166" fontId="2" fillId="0" borderId="0" xfId="0" applyNumberFormat="1" applyFont="1"/>
    <xf numFmtId="0" fontId="6" fillId="6" borderId="8" xfId="0" applyFont="1" applyFill="1" applyBorder="1" applyAlignment="1">
      <alignment horizontal="center"/>
    </xf>
    <xf numFmtId="0" fontId="6" fillId="0" borderId="0" xfId="0" applyFont="1" applyFill="1" applyBorder="1"/>
    <xf numFmtId="166" fontId="6" fillId="0" borderId="0" xfId="1" applyNumberFormat="1" applyFont="1" applyFill="1" applyBorder="1"/>
    <xf numFmtId="167" fontId="7" fillId="0" borderId="0" xfId="3" applyNumberFormat="1" applyFont="1" applyFill="1" applyBorder="1" applyAlignment="1">
      <alignment horizontal="left"/>
    </xf>
    <xf numFmtId="166" fontId="2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left" indent="1"/>
    </xf>
    <xf numFmtId="166" fontId="8" fillId="0" borderId="0" xfId="1" applyNumberFormat="1" applyFont="1" applyFill="1" applyBorder="1"/>
    <xf numFmtId="166" fontId="2" fillId="0" borderId="0" xfId="1" applyNumberFormat="1" applyFont="1" applyFill="1" applyBorder="1" applyAlignment="1"/>
    <xf numFmtId="167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169" fontId="10" fillId="2" borderId="0" xfId="1" quotePrefix="1" applyNumberFormat="1" applyFont="1" applyFill="1" applyAlignment="1">
      <alignment horizontal="center"/>
    </xf>
    <xf numFmtId="165" fontId="2" fillId="0" borderId="18" xfId="0" applyNumberFormat="1" applyFont="1" applyFill="1" applyBorder="1"/>
    <xf numFmtId="166" fontId="2" fillId="0" borderId="18" xfId="1" applyNumberFormat="1" applyFont="1" applyFill="1" applyBorder="1"/>
    <xf numFmtId="0" fontId="2" fillId="0" borderId="18" xfId="0" applyFont="1" applyFill="1" applyBorder="1" applyAlignment="1">
      <alignment horizontal="center"/>
    </xf>
    <xf numFmtId="166" fontId="2" fillId="0" borderId="1" xfId="0" applyNumberFormat="1" applyFont="1" applyFill="1" applyBorder="1" applyAlignment="1"/>
    <xf numFmtId="166" fontId="2" fillId="0" borderId="2" xfId="1" applyNumberFormat="1" applyFont="1" applyFill="1" applyBorder="1" applyAlignment="1"/>
    <xf numFmtId="167" fontId="2" fillId="0" borderId="1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166" fontId="2" fillId="0" borderId="0" xfId="1" applyNumberFormat="1" applyFont="1"/>
    <xf numFmtId="166" fontId="2" fillId="0" borderId="18" xfId="1" applyNumberFormat="1" applyFont="1" applyFill="1" applyBorder="1" applyAlignment="1">
      <alignment horizontal="left"/>
    </xf>
    <xf numFmtId="166" fontId="2" fillId="0" borderId="0" xfId="0" applyNumberFormat="1" applyFont="1" applyFill="1" applyBorder="1" applyAlignment="1">
      <alignment horizontal="left"/>
    </xf>
    <xf numFmtId="166" fontId="2" fillId="0" borderId="0" xfId="0" applyNumberFormat="1" applyFont="1" applyFill="1" applyBorder="1"/>
    <xf numFmtId="0" fontId="1" fillId="0" borderId="0" xfId="0" applyFont="1"/>
    <xf numFmtId="43" fontId="1" fillId="0" borderId="0" xfId="1" applyFont="1" applyBorder="1"/>
    <xf numFmtId="0" fontId="14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/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166" fontId="13" fillId="0" borderId="0" xfId="1" applyNumberFormat="1" applyFont="1" applyFill="1" applyBorder="1" applyAlignment="1">
      <alignment horizontal="center"/>
    </xf>
    <xf numFmtId="0" fontId="13" fillId="7" borderId="0" xfId="0" applyFont="1" applyFill="1" applyBorder="1" applyAlignment="1">
      <alignment horizontal="center"/>
    </xf>
    <xf numFmtId="14" fontId="13" fillId="0" borderId="0" xfId="0" applyNumberFormat="1" applyFont="1" applyAlignment="1">
      <alignment horizontal="center"/>
    </xf>
    <xf numFmtId="14" fontId="13" fillId="0" borderId="0" xfId="0" applyNumberFormat="1" applyFont="1" applyBorder="1" applyAlignment="1">
      <alignment horizontal="center"/>
    </xf>
    <xf numFmtId="0" fontId="13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6" fontId="16" fillId="0" borderId="0" xfId="1" applyNumberFormat="1" applyFont="1" applyFill="1" applyBorder="1" applyAlignment="1">
      <alignment horizontal="center"/>
    </xf>
    <xf numFmtId="0" fontId="1" fillId="0" borderId="0" xfId="0" applyFont="1" applyBorder="1"/>
    <xf numFmtId="165" fontId="1" fillId="0" borderId="0" xfId="0" applyNumberFormat="1" applyFont="1" applyFill="1"/>
    <xf numFmtId="0" fontId="1" fillId="0" borderId="0" xfId="0" applyNumberFormat="1" applyFont="1" applyAlignment="1">
      <alignment horizontal="center"/>
    </xf>
    <xf numFmtId="165" fontId="1" fillId="0" borderId="0" xfId="0" applyNumberFormat="1" applyFont="1"/>
    <xf numFmtId="166" fontId="1" fillId="7" borderId="0" xfId="1" applyNumberFormat="1" applyFont="1" applyFill="1" applyBorder="1"/>
    <xf numFmtId="166" fontId="1" fillId="0" borderId="0" xfId="1" applyNumberFormat="1" applyFont="1" applyFill="1" applyBorder="1"/>
    <xf numFmtId="166" fontId="1" fillId="0" borderId="0" xfId="1" applyNumberFormat="1" applyFont="1" applyFill="1" applyAlignment="1"/>
    <xf numFmtId="166" fontId="1" fillId="0" borderId="0" xfId="0" applyNumberFormat="1" applyFont="1"/>
    <xf numFmtId="3" fontId="1" fillId="0" borderId="0" xfId="0" applyNumberFormat="1" applyFont="1" applyFill="1" applyBorder="1"/>
    <xf numFmtId="3" fontId="1" fillId="0" borderId="0" xfId="0" applyNumberFormat="1" applyFont="1" applyBorder="1"/>
    <xf numFmtId="165" fontId="1" fillId="0" borderId="0" xfId="0" applyNumberFormat="1" applyFont="1" applyFill="1" applyAlignment="1">
      <alignment horizontal="left"/>
    </xf>
    <xf numFmtId="165" fontId="1" fillId="0" borderId="0" xfId="0" applyNumberFormat="1" applyFont="1" applyAlignment="1">
      <alignment horizontal="left"/>
    </xf>
    <xf numFmtId="165" fontId="1" fillId="0" borderId="0" xfId="0" applyNumberFormat="1" applyFont="1" applyBorder="1"/>
    <xf numFmtId="165" fontId="13" fillId="0" borderId="0" xfId="0" applyNumberFormat="1" applyFont="1"/>
    <xf numFmtId="165" fontId="1" fillId="0" borderId="18" xfId="0" applyNumberFormat="1" applyFont="1" applyFill="1" applyBorder="1"/>
    <xf numFmtId="166" fontId="1" fillId="0" borderId="1" xfId="1" applyNumberFormat="1" applyFont="1" applyFill="1" applyBorder="1"/>
    <xf numFmtId="0" fontId="13" fillId="0" borderId="0" xfId="0" applyFont="1"/>
    <xf numFmtId="166" fontId="1" fillId="0" borderId="0" xfId="1" applyNumberFormat="1" applyFont="1" applyFill="1"/>
    <xf numFmtId="164" fontId="1" fillId="0" borderId="0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 applyFill="1" applyBorder="1" applyAlignment="1">
      <alignment horizontal="right"/>
    </xf>
    <xf numFmtId="166" fontId="1" fillId="0" borderId="18" xfId="1" applyNumberFormat="1" applyFont="1" applyFill="1" applyBorder="1"/>
    <xf numFmtId="166" fontId="1" fillId="0" borderId="0" xfId="1" applyNumberFormat="1" applyFont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left" indent="1"/>
    </xf>
    <xf numFmtId="166" fontId="1" fillId="0" borderId="0" xfId="1" applyNumberFormat="1" applyFont="1" applyFill="1" applyBorder="1" applyAlignment="1"/>
    <xf numFmtId="166" fontId="1" fillId="0" borderId="0" xfId="0" applyNumberFormat="1" applyFont="1" applyBorder="1"/>
    <xf numFmtId="0" fontId="13" fillId="0" borderId="0" xfId="0" applyFont="1" applyFill="1" applyBorder="1"/>
    <xf numFmtId="166" fontId="13" fillId="0" borderId="0" xfId="1" applyNumberFormat="1" applyFont="1" applyFill="1" applyBorder="1" applyAlignment="1"/>
    <xf numFmtId="165" fontId="1" fillId="0" borderId="0" xfId="0" applyNumberFormat="1" applyFont="1" applyBorder="1" applyAlignment="1">
      <alignment horizontal="left"/>
    </xf>
    <xf numFmtId="43" fontId="13" fillId="0" borderId="0" xfId="1" applyFont="1" applyBorder="1" applyAlignment="1">
      <alignment horizontal="left"/>
    </xf>
    <xf numFmtId="166" fontId="16" fillId="0" borderId="0" xfId="1" applyNumberFormat="1" applyFont="1" applyFill="1" applyBorder="1" applyAlignment="1">
      <alignment horizontal="right"/>
    </xf>
    <xf numFmtId="165" fontId="1" fillId="0" borderId="1" xfId="0" applyNumberFormat="1" applyFont="1" applyBorder="1"/>
    <xf numFmtId="166" fontId="1" fillId="0" borderId="0" xfId="1" applyNumberFormat="1" applyFont="1"/>
    <xf numFmtId="0" fontId="1" fillId="0" borderId="0" xfId="0" applyFont="1" applyBorder="1" applyAlignment="1">
      <alignment horizontal="right"/>
    </xf>
    <xf numFmtId="166" fontId="13" fillId="0" borderId="0" xfId="1" applyNumberFormat="1" applyFont="1" applyFill="1" applyBorder="1" applyAlignment="1">
      <alignment horizontal="right"/>
    </xf>
    <xf numFmtId="14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left"/>
    </xf>
    <xf numFmtId="169" fontId="15" fillId="0" borderId="0" xfId="1" applyNumberFormat="1" applyFont="1" applyFill="1" applyAlignment="1">
      <alignment horizontal="center"/>
    </xf>
    <xf numFmtId="3" fontId="13" fillId="0" borderId="0" xfId="1" applyNumberFormat="1" applyFont="1" applyFill="1" applyBorder="1"/>
    <xf numFmtId="0" fontId="13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166" fontId="1" fillId="0" borderId="0" xfId="1" applyNumberFormat="1" applyFont="1" applyFill="1" applyBorder="1" applyAlignment="1">
      <alignment horizontal="right"/>
    </xf>
    <xf numFmtId="166" fontId="1" fillId="0" borderId="0" xfId="0" applyNumberFormat="1" applyFont="1" applyFill="1"/>
    <xf numFmtId="166" fontId="13" fillId="8" borderId="0" xfId="1" applyNumberFormat="1" applyFont="1" applyFill="1" applyBorder="1" applyAlignment="1">
      <alignment horizontal="center"/>
    </xf>
    <xf numFmtId="166" fontId="6" fillId="5" borderId="9" xfId="1" applyNumberFormat="1" applyFont="1" applyFill="1" applyBorder="1" applyAlignment="1">
      <alignment horizontal="center"/>
    </xf>
    <xf numFmtId="166" fontId="6" fillId="5" borderId="10" xfId="1" applyNumberFormat="1" applyFont="1" applyFill="1" applyBorder="1" applyAlignment="1">
      <alignment horizontal="center"/>
    </xf>
    <xf numFmtId="166" fontId="6" fillId="5" borderId="11" xfId="1" applyNumberFormat="1" applyFont="1" applyFill="1" applyBorder="1" applyAlignment="1">
      <alignment horizontal="center"/>
    </xf>
    <xf numFmtId="166" fontId="1" fillId="9" borderId="1" xfId="1" applyNumberFormat="1" applyFont="1" applyFill="1" applyBorder="1"/>
    <xf numFmtId="165" fontId="1" fillId="6" borderId="0" xfId="0" applyNumberFormat="1" applyFont="1" applyFill="1" applyBorder="1"/>
    <xf numFmtId="166" fontId="1" fillId="9" borderId="0" xfId="1" applyNumberFormat="1" applyFont="1" applyFill="1" applyBorder="1"/>
    <xf numFmtId="165" fontId="1" fillId="9" borderId="0" xfId="0" applyNumberFormat="1" applyFont="1" applyFill="1" applyBorder="1"/>
    <xf numFmtId="3" fontId="1" fillId="9" borderId="0" xfId="0" applyNumberFormat="1" applyFont="1" applyFill="1" applyBorder="1"/>
    <xf numFmtId="165" fontId="1" fillId="9" borderId="0" xfId="0" applyNumberFormat="1" applyFont="1" applyFill="1" applyBorder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3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EF1FC"/>
      <rgbColor rgb="00CCFFCC"/>
      <rgbColor rgb="00FFFFCD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D49E0-A021-4924-A5B6-E54818860F2A}">
  <sheetPr>
    <pageSetUpPr fitToPage="1"/>
  </sheetPr>
  <dimension ref="A1:Q32"/>
  <sheetViews>
    <sheetView tabSelected="1" zoomScale="110" zoomScaleNormal="110" workbookViewId="0">
      <pane xSplit="3" topLeftCell="D1" activePane="topRight" state="frozenSplit"/>
      <selection pane="topRight" activeCell="B23" sqref="B23"/>
    </sheetView>
  </sheetViews>
  <sheetFormatPr defaultRowHeight="12.75" x14ac:dyDescent="0.2"/>
  <cols>
    <col min="1" max="1" width="23" style="140" customWidth="1"/>
    <col min="2" max="2" width="1.5703125" style="140" customWidth="1"/>
    <col min="3" max="3" width="13" style="140" customWidth="1"/>
    <col min="4" max="4" width="3.42578125" style="140" bestFit="1" customWidth="1"/>
    <col min="5" max="5" width="3.85546875" style="140" bestFit="1" customWidth="1"/>
    <col min="6" max="6" width="13.42578125" style="140" bestFit="1" customWidth="1"/>
    <col min="7" max="7" width="15" style="140" bestFit="1" customWidth="1"/>
    <col min="8" max="8" width="13.5703125" style="140" bestFit="1" customWidth="1"/>
    <col min="9" max="9" width="11.5703125" style="140" customWidth="1"/>
    <col min="10" max="10" width="14.7109375" style="140" customWidth="1"/>
    <col min="11" max="11" width="12.5703125" style="140" bestFit="1" customWidth="1"/>
    <col min="12" max="12" width="12.140625" style="140" bestFit="1" customWidth="1"/>
    <col min="13" max="13" width="13.85546875" style="172" bestFit="1" customWidth="1"/>
    <col min="14" max="14" width="11.5703125" style="140" customWidth="1"/>
    <col min="15" max="15" width="12.140625" style="140" customWidth="1"/>
    <col min="16" max="16" width="14.28515625" style="140" bestFit="1" customWidth="1"/>
    <col min="17" max="17" width="14.140625" style="140" customWidth="1"/>
    <col min="18" max="18" width="13.28515625" style="140" bestFit="1" customWidth="1"/>
    <col min="19" max="19" width="12.28515625" style="140" bestFit="1" customWidth="1"/>
    <col min="20" max="21" width="10.85546875" style="140" bestFit="1" customWidth="1"/>
    <col min="22" max="22" width="11.28515625" style="140" bestFit="1" customWidth="1"/>
    <col min="23" max="16384" width="9.140625" style="140"/>
  </cols>
  <sheetData>
    <row r="1" spans="1:17" x14ac:dyDescent="0.2">
      <c r="A1" s="195" t="s">
        <v>217</v>
      </c>
      <c r="C1" s="196"/>
      <c r="M1" s="141"/>
    </row>
    <row r="2" spans="1:17" x14ac:dyDescent="0.2">
      <c r="A2" s="192" t="s">
        <v>218</v>
      </c>
      <c r="B2" s="143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  <c r="O2" s="144"/>
    </row>
    <row r="3" spans="1:17" s="145" customFormat="1" x14ac:dyDescent="0.2">
      <c r="A3" s="142"/>
      <c r="B3" s="143"/>
      <c r="C3" s="144"/>
      <c r="D3" s="144"/>
      <c r="E3" s="144"/>
      <c r="F3" s="144"/>
      <c r="G3" s="144"/>
      <c r="H3" s="144"/>
      <c r="I3" s="144"/>
      <c r="M3" s="193"/>
    </row>
    <row r="4" spans="1:17" x14ac:dyDescent="0.2">
      <c r="A4" s="194"/>
      <c r="B4" s="146"/>
      <c r="C4" s="147" t="s">
        <v>44</v>
      </c>
      <c r="D4" s="147"/>
      <c r="E4" s="147"/>
      <c r="F4" s="147" t="s">
        <v>220</v>
      </c>
      <c r="G4" s="147" t="s">
        <v>226</v>
      </c>
      <c r="H4" s="148" t="s">
        <v>208</v>
      </c>
      <c r="I4" s="147"/>
      <c r="J4" s="149">
        <v>201812</v>
      </c>
      <c r="K4" s="147"/>
      <c r="L4" s="148" t="s">
        <v>209</v>
      </c>
      <c r="M4" s="149">
        <v>201912</v>
      </c>
      <c r="O4" s="148" t="s">
        <v>227</v>
      </c>
      <c r="P4" s="146" t="s">
        <v>222</v>
      </c>
    </row>
    <row r="5" spans="1:17" x14ac:dyDescent="0.2">
      <c r="A5" s="150"/>
      <c r="B5" s="150"/>
      <c r="C5" s="151" t="s">
        <v>203</v>
      </c>
      <c r="D5" s="151"/>
      <c r="E5" s="151"/>
      <c r="F5" s="152">
        <v>410100</v>
      </c>
      <c r="G5" s="148" t="s">
        <v>210</v>
      </c>
      <c r="H5" s="152"/>
      <c r="I5" s="148"/>
      <c r="J5" s="191" t="s">
        <v>204</v>
      </c>
      <c r="K5" s="147" t="s">
        <v>220</v>
      </c>
      <c r="L5" s="148" t="s">
        <v>208</v>
      </c>
      <c r="M5" s="148" t="s">
        <v>130</v>
      </c>
      <c r="N5" s="153" t="s">
        <v>211</v>
      </c>
      <c r="O5" s="148" t="s">
        <v>228</v>
      </c>
      <c r="P5" s="146" t="s">
        <v>119</v>
      </c>
    </row>
    <row r="6" spans="1:17" ht="5.25" customHeight="1" x14ac:dyDescent="0.2">
      <c r="K6" s="154"/>
      <c r="L6" s="154"/>
      <c r="M6" s="155"/>
      <c r="O6" s="154"/>
    </row>
    <row r="7" spans="1:17" x14ac:dyDescent="0.2">
      <c r="A7" s="156" t="s">
        <v>29</v>
      </c>
      <c r="B7" s="156"/>
      <c r="C7" s="157">
        <v>282900</v>
      </c>
      <c r="D7" s="158" t="s">
        <v>196</v>
      </c>
      <c r="E7" s="158" t="s">
        <v>199</v>
      </c>
      <c r="F7" s="159">
        <v>-3524124</v>
      </c>
      <c r="G7" s="159">
        <v>-3576501</v>
      </c>
      <c r="H7" s="160">
        <f>G7-F7</f>
        <v>-52377</v>
      </c>
      <c r="I7" s="160"/>
      <c r="J7" s="161">
        <v>-88521790.540000007</v>
      </c>
      <c r="K7" s="159">
        <f>-F7</f>
        <v>3524124</v>
      </c>
      <c r="L7" s="160">
        <f>-'DFIT 2018'!H7</f>
        <v>-1002700</v>
      </c>
      <c r="M7" s="161">
        <v>-86000366.540000007</v>
      </c>
      <c r="N7" s="162">
        <f>SUM(J7:L7)-M7</f>
        <v>0</v>
      </c>
      <c r="O7" s="160">
        <v>-777150</v>
      </c>
      <c r="P7" s="162">
        <f>M7-H7+O7</f>
        <v>-86725139.540000007</v>
      </c>
    </row>
    <row r="8" spans="1:17" x14ac:dyDescent="0.2">
      <c r="A8" s="156" t="s">
        <v>30</v>
      </c>
      <c r="B8" s="156"/>
      <c r="C8" s="157">
        <v>282900</v>
      </c>
      <c r="D8" s="158" t="s">
        <v>196</v>
      </c>
      <c r="E8" s="158" t="s">
        <v>200</v>
      </c>
      <c r="F8" s="159">
        <v>31958</v>
      </c>
      <c r="G8" s="159">
        <v>31958</v>
      </c>
      <c r="H8" s="160">
        <f>G8-F8</f>
        <v>0</v>
      </c>
      <c r="I8" s="160"/>
      <c r="J8" s="161">
        <v>-765406.82</v>
      </c>
      <c r="K8" s="159">
        <f>-F8</f>
        <v>-31958</v>
      </c>
      <c r="L8" s="160">
        <f>-'DFIT 2018'!H8</f>
        <v>0</v>
      </c>
      <c r="M8" s="161">
        <v>-797364.82</v>
      </c>
      <c r="N8" s="162">
        <f>SUM(J8:L8)-M8</f>
        <v>0</v>
      </c>
      <c r="O8" s="160"/>
      <c r="P8" s="162">
        <f>M8-H8+O8</f>
        <v>-797364.82</v>
      </c>
    </row>
    <row r="9" spans="1:17" x14ac:dyDescent="0.2">
      <c r="A9" s="140" t="s">
        <v>28</v>
      </c>
      <c r="B9" s="163"/>
      <c r="C9" s="157">
        <v>282900</v>
      </c>
      <c r="D9" s="164" t="s">
        <v>197</v>
      </c>
      <c r="E9" s="158" t="s">
        <v>200</v>
      </c>
      <c r="F9" s="159">
        <v>6744572</v>
      </c>
      <c r="G9" s="159">
        <v>42307921.568427511</v>
      </c>
      <c r="H9" s="160">
        <f>G9-F9</f>
        <v>35563349.568427511</v>
      </c>
      <c r="I9" s="160"/>
      <c r="J9" s="161">
        <v>-549242838.11000001</v>
      </c>
      <c r="K9" s="159">
        <f>-F9</f>
        <v>-6744572</v>
      </c>
      <c r="L9" s="160">
        <f>-'DFIT 2018'!H9</f>
        <v>423778</v>
      </c>
      <c r="M9" s="161">
        <v>-555563632.11000001</v>
      </c>
      <c r="N9" s="162">
        <f>SUM(J9:L9)-M9</f>
        <v>0</v>
      </c>
      <c r="O9" s="160">
        <v>436898</v>
      </c>
      <c r="P9" s="162">
        <f>M9-H9+O9</f>
        <v>-590690083.67842758</v>
      </c>
    </row>
    <row r="10" spans="1:17" x14ac:dyDescent="0.2">
      <c r="A10" s="165" t="s">
        <v>26</v>
      </c>
      <c r="B10" s="156"/>
      <c r="C10" s="157">
        <v>282900</v>
      </c>
      <c r="D10" s="166" t="s">
        <v>198</v>
      </c>
      <c r="E10" s="158" t="s">
        <v>200</v>
      </c>
      <c r="F10" s="159">
        <v>1694123</v>
      </c>
      <c r="G10" s="159">
        <v>18558079.981389172</v>
      </c>
      <c r="H10" s="160">
        <f>G10-F10</f>
        <v>16863956.981389172</v>
      </c>
      <c r="I10" s="160"/>
      <c r="J10" s="161">
        <v>-109964012.87</v>
      </c>
      <c r="K10" s="159">
        <f>-F10</f>
        <v>-1694123</v>
      </c>
      <c r="L10" s="160">
        <f>-'DFIT 2018'!H10</f>
        <v>231933</v>
      </c>
      <c r="M10" s="161">
        <v>-111426202.87</v>
      </c>
      <c r="N10" s="162">
        <f>SUM(J10:L10)-M10</f>
        <v>0</v>
      </c>
      <c r="O10" s="160">
        <v>-166601</v>
      </c>
      <c r="P10" s="162">
        <f>M10-H10+O10</f>
        <v>-128456760.85138917</v>
      </c>
    </row>
    <row r="11" spans="1:17" x14ac:dyDescent="0.2">
      <c r="A11" s="167" t="s">
        <v>47</v>
      </c>
      <c r="B11" s="167"/>
      <c r="C11" s="157">
        <v>282900</v>
      </c>
      <c r="D11" s="167" t="s">
        <v>198</v>
      </c>
      <c r="E11" s="167" t="s">
        <v>201</v>
      </c>
      <c r="F11" s="159">
        <v>1262726</v>
      </c>
      <c r="G11" s="159">
        <v>8523416.1801833175</v>
      </c>
      <c r="H11" s="160">
        <f>G11-F11</f>
        <v>7260690.1801833175</v>
      </c>
      <c r="I11" s="160"/>
      <c r="J11" s="161">
        <v>-64389426.090000004</v>
      </c>
      <c r="K11" s="159">
        <f>-F11</f>
        <v>-1262726</v>
      </c>
      <c r="L11" s="160">
        <f>-'DFIT 2018'!H11</f>
        <v>36860</v>
      </c>
      <c r="M11" s="161">
        <v>-65615292.090000004</v>
      </c>
      <c r="N11" s="162">
        <f>SUM(J11:L11)-M11</f>
        <v>0</v>
      </c>
      <c r="O11" s="160"/>
      <c r="P11" s="162">
        <f>M11-H11+O11</f>
        <v>-72875982.270183325</v>
      </c>
    </row>
    <row r="12" spans="1:17" x14ac:dyDescent="0.2">
      <c r="A12" s="158"/>
      <c r="B12" s="158"/>
      <c r="C12" s="168"/>
      <c r="D12" s="168"/>
      <c r="E12" s="168"/>
      <c r="F12" s="168"/>
      <c r="G12" s="168"/>
      <c r="H12" s="168"/>
      <c r="I12" s="168"/>
      <c r="J12" s="160"/>
      <c r="K12" s="160"/>
      <c r="L12" s="160"/>
      <c r="M12" s="169"/>
      <c r="O12" s="160"/>
    </row>
    <row r="13" spans="1:17" x14ac:dyDescent="0.2">
      <c r="A13" s="158" t="s">
        <v>6</v>
      </c>
      <c r="B13" s="167"/>
      <c r="C13" s="167"/>
      <c r="D13" s="167"/>
      <c r="E13" s="167"/>
      <c r="F13" s="170">
        <f>SUM(F7:F12)</f>
        <v>6209255</v>
      </c>
      <c r="G13" s="170">
        <f>SUM(G7:G12)</f>
        <v>65844874.730000004</v>
      </c>
      <c r="H13" s="203">
        <f>SUM(H7:H12)</f>
        <v>59635619.730000004</v>
      </c>
      <c r="I13" s="170"/>
      <c r="J13" s="170">
        <f>SUM(J7:J12)</f>
        <v>-812883474.43000007</v>
      </c>
      <c r="K13" s="170">
        <f>SUM(K7:K12)</f>
        <v>-6209255</v>
      </c>
      <c r="L13" s="170">
        <f>SUM(L7:L12)</f>
        <v>-310129</v>
      </c>
      <c r="M13" s="204">
        <f>SUM(M7:M12)</f>
        <v>-819402858.43000007</v>
      </c>
      <c r="N13" s="162">
        <f>SUM(J13:L13)-M13</f>
        <v>0</v>
      </c>
      <c r="O13" s="170">
        <f>SUM(O7:O12)</f>
        <v>-506853</v>
      </c>
      <c r="P13" s="187">
        <f>SUM(P7:P12)</f>
        <v>-879545331.16000009</v>
      </c>
      <c r="Q13" s="188"/>
    </row>
    <row r="14" spans="1:17" x14ac:dyDescent="0.2">
      <c r="A14" s="171"/>
      <c r="H14" s="162">
        <f>G13-F13-H13</f>
        <v>0</v>
      </c>
      <c r="I14" s="162"/>
      <c r="K14" s="172"/>
      <c r="L14" s="172"/>
      <c r="M14" s="167"/>
      <c r="O14" s="172"/>
    </row>
    <row r="15" spans="1:17" x14ac:dyDescent="0.2">
      <c r="A15" s="171"/>
      <c r="I15" s="174" t="s">
        <v>213</v>
      </c>
      <c r="J15" s="159">
        <v>-813099047.27999997</v>
      </c>
      <c r="K15" s="172"/>
      <c r="L15" s="172"/>
      <c r="M15" s="173"/>
      <c r="O15" s="174" t="s">
        <v>213</v>
      </c>
      <c r="P15" s="159">
        <v>-853450906.03999996</v>
      </c>
    </row>
    <row r="16" spans="1:17" x14ac:dyDescent="0.2">
      <c r="A16" s="171"/>
      <c r="C16" s="181"/>
      <c r="D16" s="181"/>
      <c r="E16" s="181"/>
      <c r="F16" s="199" t="s">
        <v>206</v>
      </c>
      <c r="G16" s="199"/>
      <c r="H16" s="181"/>
      <c r="I16" s="174" t="s">
        <v>202</v>
      </c>
      <c r="J16" s="177">
        <f>J15-J13</f>
        <v>-215572.84999990463</v>
      </c>
      <c r="K16" s="162"/>
      <c r="L16" s="198"/>
      <c r="M16" s="173"/>
      <c r="O16" s="174" t="s">
        <v>202</v>
      </c>
      <c r="P16" s="177">
        <f>P15-P13</f>
        <v>26094425.120000124</v>
      </c>
    </row>
    <row r="17" spans="1:17" x14ac:dyDescent="0.2">
      <c r="A17" s="171"/>
      <c r="C17" s="155"/>
      <c r="D17" s="155"/>
      <c r="E17" s="155"/>
      <c r="F17" s="167" t="s">
        <v>36</v>
      </c>
      <c r="G17" s="181">
        <f>H7</f>
        <v>-52377</v>
      </c>
      <c r="H17" s="155"/>
      <c r="I17" s="189" t="s">
        <v>214</v>
      </c>
      <c r="J17" s="177">
        <f>-L13</f>
        <v>310129</v>
      </c>
      <c r="K17" s="160"/>
      <c r="L17" s="160"/>
      <c r="M17" s="173"/>
      <c r="O17" s="175" t="s">
        <v>216</v>
      </c>
      <c r="P17" s="176">
        <v>-94425</v>
      </c>
    </row>
    <row r="18" spans="1:17" x14ac:dyDescent="0.2">
      <c r="A18" s="171"/>
      <c r="C18" s="155"/>
      <c r="D18" s="155"/>
      <c r="E18" s="177"/>
      <c r="F18" s="206" t="s">
        <v>17</v>
      </c>
      <c r="G18" s="205">
        <f>-G17</f>
        <v>52377</v>
      </c>
      <c r="H18" s="183"/>
      <c r="I18" s="175" t="s">
        <v>216</v>
      </c>
      <c r="J18" s="176">
        <v>-94425</v>
      </c>
      <c r="K18" s="160"/>
      <c r="L18" s="160"/>
      <c r="M18" s="177"/>
      <c r="O18" s="160"/>
      <c r="P18" s="172">
        <f>SUM(P16:P17)</f>
        <v>26000000.120000124</v>
      </c>
      <c r="Q18" s="188"/>
    </row>
    <row r="19" spans="1:17" x14ac:dyDescent="0.2">
      <c r="A19" s="178"/>
      <c r="B19" s="178"/>
      <c r="E19" s="177"/>
      <c r="F19" s="167" t="s">
        <v>37</v>
      </c>
      <c r="G19" s="181">
        <f>H8</f>
        <v>0</v>
      </c>
      <c r="H19" s="177"/>
      <c r="I19" s="190" t="s">
        <v>215</v>
      </c>
      <c r="J19" s="177">
        <f>SUM(J16:J18)</f>
        <v>131.15000009536743</v>
      </c>
      <c r="K19" s="160"/>
      <c r="L19" s="160"/>
      <c r="M19" s="177"/>
      <c r="O19" s="197" t="s">
        <v>229</v>
      </c>
      <c r="P19" s="188">
        <v>26000000</v>
      </c>
    </row>
    <row r="20" spans="1:17" x14ac:dyDescent="0.2">
      <c r="A20" s="179"/>
      <c r="B20" s="178"/>
      <c r="E20" s="177"/>
      <c r="F20" s="167" t="s">
        <v>18</v>
      </c>
      <c r="G20" s="160">
        <f>-G19</f>
        <v>0</v>
      </c>
      <c r="H20" s="167"/>
      <c r="I20" s="160"/>
      <c r="J20" s="155"/>
      <c r="K20" s="160"/>
      <c r="L20" s="160"/>
      <c r="M20" s="177"/>
      <c r="O20" s="160"/>
      <c r="P20" s="162">
        <f>P18-P19</f>
        <v>0.12000012397766113</v>
      </c>
    </row>
    <row r="21" spans="1:17" x14ac:dyDescent="0.2">
      <c r="A21" s="179"/>
      <c r="B21" s="178"/>
      <c r="E21" s="172"/>
      <c r="F21" s="164" t="s">
        <v>38</v>
      </c>
      <c r="G21" s="181">
        <f>H9</f>
        <v>35563349.568427511</v>
      </c>
      <c r="H21" s="172"/>
      <c r="I21" s="172"/>
      <c r="J21" s="155"/>
      <c r="K21" s="180"/>
      <c r="L21" s="180"/>
      <c r="M21" s="177"/>
      <c r="O21" s="180"/>
    </row>
    <row r="22" spans="1:17" x14ac:dyDescent="0.2">
      <c r="A22" s="179"/>
      <c r="B22" s="178"/>
      <c r="E22" s="172"/>
      <c r="F22" s="207" t="s">
        <v>16</v>
      </c>
      <c r="G22" s="205">
        <f>-G21</f>
        <v>-35563349.568427511</v>
      </c>
      <c r="H22" s="167"/>
      <c r="I22" s="160"/>
      <c r="J22" s="155"/>
      <c r="K22" s="181"/>
      <c r="L22" s="181"/>
      <c r="M22" s="141"/>
      <c r="O22" s="181"/>
    </row>
    <row r="23" spans="1:17" s="177" customFormat="1" x14ac:dyDescent="0.2">
      <c r="A23" s="178"/>
      <c r="B23" s="178"/>
      <c r="C23" s="140"/>
      <c r="D23" s="140"/>
      <c r="E23" s="172"/>
      <c r="F23" s="184" t="s">
        <v>39</v>
      </c>
      <c r="G23" s="181">
        <f>H10</f>
        <v>16863956.981389172</v>
      </c>
      <c r="H23" s="172"/>
      <c r="I23" s="172"/>
      <c r="J23" s="155"/>
      <c r="K23" s="155"/>
      <c r="L23" s="155"/>
      <c r="M23" s="141"/>
      <c r="O23" s="155"/>
    </row>
    <row r="24" spans="1:17" s="177" customFormat="1" x14ac:dyDescent="0.2">
      <c r="A24" s="182"/>
      <c r="B24" s="178"/>
      <c r="C24" s="140"/>
      <c r="D24" s="140"/>
      <c r="E24" s="172"/>
      <c r="F24" s="208" t="s">
        <v>19</v>
      </c>
      <c r="G24" s="205">
        <f>-G23</f>
        <v>-16863956.981389172</v>
      </c>
      <c r="H24" s="164"/>
      <c r="I24" s="160"/>
      <c r="J24" s="155"/>
      <c r="K24" s="155"/>
      <c r="L24" s="155"/>
      <c r="M24" s="141"/>
      <c r="O24" s="155"/>
    </row>
    <row r="25" spans="1:17" s="177" customFormat="1" x14ac:dyDescent="0.2">
      <c r="A25" s="178"/>
      <c r="B25" s="178"/>
      <c r="C25" s="140"/>
      <c r="D25" s="140"/>
      <c r="E25" s="172"/>
      <c r="F25" s="167" t="s">
        <v>40</v>
      </c>
      <c r="G25" s="181">
        <f>H11</f>
        <v>7260690.1801833175</v>
      </c>
      <c r="H25" s="172"/>
      <c r="I25" s="172"/>
      <c r="J25" s="155"/>
      <c r="K25" s="155"/>
      <c r="L25" s="155"/>
      <c r="M25" s="141"/>
      <c r="O25" s="155"/>
    </row>
    <row r="26" spans="1:17" s="177" customFormat="1" x14ac:dyDescent="0.2">
      <c r="A26" s="178"/>
      <c r="B26" s="178"/>
      <c r="C26" s="140"/>
      <c r="D26" s="140"/>
      <c r="E26" s="172"/>
      <c r="F26" s="206" t="s">
        <v>24</v>
      </c>
      <c r="G26" s="205">
        <f>-G25</f>
        <v>-7260690.1801833175</v>
      </c>
      <c r="H26" s="184"/>
      <c r="I26" s="160"/>
      <c r="J26" s="155"/>
      <c r="K26" s="140"/>
      <c r="L26" s="140"/>
      <c r="M26" s="172"/>
      <c r="O26" s="140"/>
    </row>
    <row r="27" spans="1:17" s="177" customFormat="1" x14ac:dyDescent="0.2">
      <c r="A27" s="178"/>
      <c r="B27" s="178"/>
      <c r="C27" s="140"/>
      <c r="D27" s="140"/>
      <c r="E27" s="172"/>
      <c r="F27" s="186" t="s">
        <v>51</v>
      </c>
      <c r="G27" s="185">
        <f>SUM(G17:G26)</f>
        <v>0</v>
      </c>
      <c r="H27" s="172"/>
      <c r="I27" s="172"/>
      <c r="J27" s="155"/>
      <c r="K27" s="140"/>
      <c r="L27" s="140"/>
      <c r="M27" s="172"/>
      <c r="O27" s="140"/>
    </row>
    <row r="28" spans="1:17" s="172" customFormat="1" x14ac:dyDescent="0.2">
      <c r="A28" s="178"/>
      <c r="B28" s="178"/>
      <c r="C28" s="140"/>
      <c r="D28" s="140"/>
      <c r="F28" s="160"/>
      <c r="G28" s="160"/>
      <c r="H28" s="167"/>
      <c r="I28" s="160"/>
      <c r="J28" s="155"/>
      <c r="K28" s="140"/>
      <c r="L28" s="140"/>
      <c r="O28" s="140"/>
    </row>
    <row r="29" spans="1:17" s="172" customFormat="1" x14ac:dyDescent="0.2">
      <c r="A29" s="178"/>
      <c r="B29" s="178"/>
      <c r="C29" s="140"/>
      <c r="D29" s="140"/>
      <c r="F29" s="155"/>
      <c r="G29" s="155"/>
      <c r="H29" s="160"/>
      <c r="I29" s="160"/>
      <c r="J29" s="155"/>
      <c r="K29" s="140"/>
      <c r="L29" s="140"/>
      <c r="O29" s="140"/>
    </row>
    <row r="30" spans="1:17" s="172" customFormat="1" x14ac:dyDescent="0.2">
      <c r="A30" s="140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O30" s="140"/>
    </row>
    <row r="31" spans="1:17" s="172" customFormat="1" x14ac:dyDescent="0.2">
      <c r="A31" s="140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O31" s="140"/>
    </row>
    <row r="32" spans="1:17" s="172" customFormat="1" x14ac:dyDescent="0.2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O32" s="140"/>
    </row>
  </sheetData>
  <mergeCells count="1">
    <mergeCell ref="F16:G16"/>
  </mergeCells>
  <pageMargins left="0.7" right="0.7" top="0.75" bottom="0.75" header="0.3" footer="0.3"/>
  <pageSetup scale="7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65"/>
  <sheetViews>
    <sheetView zoomScale="80" zoomScaleNormal="80" workbookViewId="0">
      <pane xSplit="3" ySplit="5" topLeftCell="D9" activePane="bottomRight" state="frozenSplit"/>
      <selection pane="topRight" activeCell="C1" sqref="C1"/>
      <selection pane="bottomLeft" activeCell="A6" sqref="A6"/>
      <selection pane="bottomRight" activeCell="C75" sqref="C75"/>
    </sheetView>
  </sheetViews>
  <sheetFormatPr defaultRowHeight="12.75" x14ac:dyDescent="0.2"/>
  <cols>
    <col min="1" max="1" width="24.7109375" style="4" customWidth="1"/>
    <col min="2" max="2" width="1.140625" style="4" customWidth="1"/>
    <col min="3" max="3" width="15" style="4" bestFit="1" customWidth="1"/>
    <col min="4" max="4" width="16.42578125" style="4" bestFit="1" customWidth="1"/>
    <col min="5" max="5" width="0.85546875" style="4" customWidth="1"/>
    <col min="6" max="6" width="15.42578125" style="5" bestFit="1" customWidth="1"/>
    <col min="7" max="7" width="10.28515625" style="5" customWidth="1"/>
    <col min="8" max="8" width="15.28515625" style="5" customWidth="1"/>
    <col min="9" max="9" width="0.85546875" style="2" customWidth="1"/>
    <col min="10" max="10" width="13.7109375" style="5" customWidth="1"/>
    <col min="11" max="11" width="15" style="5" bestFit="1" customWidth="1"/>
    <col min="12" max="12" width="13.7109375" style="5" customWidth="1"/>
    <col min="13" max="14" width="15.140625" style="5" bestFit="1" customWidth="1"/>
    <col min="15" max="15" width="18.42578125" style="5" customWidth="1"/>
    <col min="16" max="18" width="14.7109375" style="6" customWidth="1"/>
    <col min="19" max="19" width="11.7109375" style="6" bestFit="1" customWidth="1"/>
    <col min="20" max="20" width="10.28515625" style="6" bestFit="1" customWidth="1"/>
    <col min="21" max="21" width="11.28515625" style="6" customWidth="1"/>
    <col min="22" max="16384" width="9.140625" style="4"/>
  </cols>
  <sheetData>
    <row r="1" spans="1:21" ht="13.5" x14ac:dyDescent="0.25">
      <c r="A1" s="3" t="s">
        <v>115</v>
      </c>
      <c r="E1" s="49"/>
      <c r="M1" s="7"/>
      <c r="N1" s="6"/>
      <c r="O1" s="6"/>
      <c r="P1" s="8"/>
      <c r="Q1" s="8"/>
      <c r="R1" s="8"/>
      <c r="S1" s="8"/>
      <c r="T1" s="9"/>
      <c r="U1" s="4"/>
    </row>
    <row r="2" spans="1:21" x14ac:dyDescent="0.2">
      <c r="A2" s="41" t="s">
        <v>116</v>
      </c>
      <c r="B2" s="10"/>
      <c r="C2" s="11"/>
      <c r="D2" s="11"/>
      <c r="E2" s="54"/>
      <c r="F2" s="23"/>
      <c r="G2" s="23"/>
      <c r="H2" s="23"/>
      <c r="I2" s="23"/>
      <c r="J2" s="4"/>
      <c r="L2" s="4"/>
      <c r="M2" s="4"/>
      <c r="N2" s="12"/>
      <c r="O2" s="12"/>
      <c r="P2" s="13" t="s">
        <v>82</v>
      </c>
      <c r="Q2" s="13" t="s">
        <v>82</v>
      </c>
      <c r="R2" s="13" t="s">
        <v>82</v>
      </c>
      <c r="S2" s="14"/>
      <c r="T2" s="15"/>
      <c r="U2" s="16"/>
    </row>
    <row r="3" spans="1:21" s="29" customFormat="1" ht="14.25" thickBot="1" x14ac:dyDescent="0.3">
      <c r="A3" s="92"/>
      <c r="B3" s="53"/>
      <c r="C3" s="54"/>
      <c r="D3" s="54"/>
      <c r="E3" s="54"/>
      <c r="F3" s="23"/>
      <c r="G3" s="23"/>
      <c r="H3" s="23" t="s">
        <v>48</v>
      </c>
      <c r="I3" s="23"/>
      <c r="J3" s="96">
        <v>40967</v>
      </c>
      <c r="K3" s="101" t="s">
        <v>118</v>
      </c>
      <c r="L3" s="18" t="s">
        <v>94</v>
      </c>
      <c r="M3" s="96">
        <v>41029</v>
      </c>
      <c r="N3" s="39"/>
      <c r="O3" s="96">
        <v>40968</v>
      </c>
      <c r="P3" s="101" t="s">
        <v>79</v>
      </c>
      <c r="Q3" s="101" t="s">
        <v>84</v>
      </c>
      <c r="R3" s="18" t="s">
        <v>83</v>
      </c>
      <c r="S3" s="55"/>
      <c r="T3" s="54"/>
      <c r="U3" s="53"/>
    </row>
    <row r="4" spans="1:21" ht="13.5" thickBot="1" x14ac:dyDescent="0.25">
      <c r="A4" s="98" t="s">
        <v>46</v>
      </c>
      <c r="B4" s="17"/>
      <c r="C4" s="20" t="s">
        <v>44</v>
      </c>
      <c r="D4" s="71" t="s">
        <v>117</v>
      </c>
      <c r="E4" s="71"/>
      <c r="F4" s="18" t="s">
        <v>65</v>
      </c>
      <c r="G4" s="18" t="s">
        <v>32</v>
      </c>
      <c r="H4" s="18" t="s">
        <v>34</v>
      </c>
      <c r="I4" s="18"/>
      <c r="J4" s="18" t="s">
        <v>23</v>
      </c>
      <c r="K4" s="18" t="s">
        <v>90</v>
      </c>
      <c r="L4" s="18" t="s">
        <v>8</v>
      </c>
      <c r="M4" s="48" t="s">
        <v>27</v>
      </c>
      <c r="N4" s="19"/>
      <c r="O4" s="18" t="s">
        <v>119</v>
      </c>
      <c r="P4" s="18" t="s">
        <v>80</v>
      </c>
      <c r="Q4" s="18" t="s">
        <v>85</v>
      </c>
      <c r="R4" s="71">
        <v>40178</v>
      </c>
      <c r="S4" s="17"/>
      <c r="T4" s="17"/>
      <c r="U4" s="17"/>
    </row>
    <row r="5" spans="1:21" ht="13.5" thickBot="1" x14ac:dyDescent="0.25">
      <c r="A5" s="21"/>
      <c r="B5" s="21"/>
      <c r="C5" s="50" t="s">
        <v>45</v>
      </c>
      <c r="D5" s="99" t="s">
        <v>53</v>
      </c>
      <c r="E5" s="71"/>
      <c r="F5" s="51" t="s">
        <v>4</v>
      </c>
      <c r="G5" s="51" t="s">
        <v>33</v>
      </c>
      <c r="H5" s="51" t="s">
        <v>65</v>
      </c>
      <c r="I5" s="18"/>
      <c r="J5" s="51" t="s">
        <v>56</v>
      </c>
      <c r="K5" s="51" t="s">
        <v>63</v>
      </c>
      <c r="L5" s="51" t="s">
        <v>7</v>
      </c>
      <c r="M5" s="52" t="s">
        <v>7</v>
      </c>
      <c r="N5" s="22"/>
      <c r="O5" s="51" t="s">
        <v>56</v>
      </c>
      <c r="P5" s="51" t="s">
        <v>81</v>
      </c>
      <c r="Q5" s="51" t="s">
        <v>62</v>
      </c>
      <c r="R5" s="99" t="s">
        <v>53</v>
      </c>
      <c r="S5" s="21"/>
      <c r="T5" s="21"/>
      <c r="U5" s="21"/>
    </row>
    <row r="6" spans="1:21" ht="5.25" customHeight="1" x14ac:dyDescent="0.2">
      <c r="E6" s="49"/>
      <c r="F6" s="23"/>
      <c r="G6" s="23"/>
      <c r="H6" s="23"/>
      <c r="I6" s="23"/>
      <c r="J6" s="23"/>
      <c r="L6" s="23"/>
      <c r="M6" s="7"/>
      <c r="N6" s="8"/>
      <c r="O6" s="9"/>
      <c r="P6" s="9"/>
      <c r="Q6" s="9"/>
      <c r="R6" s="9"/>
      <c r="S6" s="4"/>
      <c r="T6" s="4"/>
      <c r="U6" s="4"/>
    </row>
    <row r="7" spans="1:21" x14ac:dyDescent="0.2">
      <c r="A7" s="25" t="s">
        <v>49</v>
      </c>
      <c r="B7" s="25"/>
      <c r="C7" s="70"/>
      <c r="D7" s="28"/>
      <c r="E7" s="1"/>
      <c r="F7" s="27">
        <v>0</v>
      </c>
      <c r="G7" s="2"/>
      <c r="H7" s="2"/>
      <c r="J7" s="2"/>
      <c r="L7" s="2"/>
      <c r="M7" s="2"/>
      <c r="N7" s="32"/>
      <c r="O7" s="32"/>
      <c r="S7" s="31"/>
      <c r="T7" s="31"/>
      <c r="U7" s="31"/>
    </row>
    <row r="8" spans="1:21" x14ac:dyDescent="0.2">
      <c r="A8" s="25" t="s">
        <v>9</v>
      </c>
      <c r="B8" s="25"/>
      <c r="C8" s="25" t="s">
        <v>10</v>
      </c>
      <c r="D8" s="2">
        <v>0</v>
      </c>
      <c r="E8" s="1"/>
      <c r="F8"/>
      <c r="G8" s="69"/>
      <c r="H8" s="2">
        <f>-SUM(F8:G8)</f>
        <v>0</v>
      </c>
      <c r="J8"/>
      <c r="K8"/>
      <c r="L8" s="2">
        <f>H8-J8-K8</f>
        <v>0</v>
      </c>
      <c r="M8" s="2">
        <f>L8/(13-MONTH($M$3))</f>
        <v>0</v>
      </c>
      <c r="N8" s="32"/>
      <c r="O8" s="32"/>
      <c r="P8" s="26">
        <v>-4553280.72</v>
      </c>
      <c r="Q8" s="26"/>
      <c r="R8" s="26">
        <f>D8+H8+P8+Q8</f>
        <v>-4553280.72</v>
      </c>
      <c r="S8" s="31"/>
      <c r="T8" s="31"/>
      <c r="U8" s="31"/>
    </row>
    <row r="9" spans="1:21" x14ac:dyDescent="0.2">
      <c r="A9" s="25" t="s">
        <v>9</v>
      </c>
      <c r="B9" s="25"/>
      <c r="C9" s="25" t="s">
        <v>11</v>
      </c>
      <c r="D9" s="2">
        <v>0</v>
      </c>
      <c r="E9" s="1"/>
      <c r="F9"/>
      <c r="G9" s="69"/>
      <c r="H9" s="2">
        <f>-SUM(F9:G9)</f>
        <v>0</v>
      </c>
      <c r="J9"/>
      <c r="K9"/>
      <c r="L9" s="2">
        <f t="shared" ref="L9:L21" si="0">H9-J9-K9</f>
        <v>0</v>
      </c>
      <c r="M9" s="2">
        <f t="shared" ref="M9:M21" si="1">L9/(13-MONTH($M$3))</f>
        <v>0</v>
      </c>
      <c r="N9" s="2"/>
      <c r="O9" s="1"/>
      <c r="P9" s="26">
        <v>-7881208.2999999998</v>
      </c>
      <c r="Q9" s="26"/>
      <c r="R9" s="26">
        <f t="shared" ref="R9:R21" si="2">D9+H9+P9+Q9</f>
        <v>-7881208.2999999998</v>
      </c>
      <c r="S9" s="25"/>
      <c r="T9" s="25"/>
      <c r="U9" s="25"/>
    </row>
    <row r="10" spans="1:21" x14ac:dyDescent="0.2">
      <c r="A10" s="25" t="s">
        <v>50</v>
      </c>
      <c r="B10" s="25"/>
      <c r="C10" s="70"/>
      <c r="D10" s="2">
        <v>0</v>
      </c>
      <c r="E10" s="1"/>
      <c r="F10"/>
      <c r="G10" s="2"/>
      <c r="H10" s="2"/>
      <c r="J10"/>
      <c r="K10"/>
      <c r="L10" s="2">
        <f t="shared" si="0"/>
        <v>0</v>
      </c>
      <c r="M10" s="2">
        <f t="shared" si="1"/>
        <v>0</v>
      </c>
      <c r="N10" s="32"/>
      <c r="O10" s="32"/>
      <c r="P10" s="26"/>
      <c r="Q10" s="26"/>
      <c r="R10" s="26">
        <f t="shared" si="2"/>
        <v>0</v>
      </c>
      <c r="S10" s="31"/>
      <c r="T10" s="31"/>
      <c r="U10" s="31"/>
    </row>
    <row r="11" spans="1:21" x14ac:dyDescent="0.2">
      <c r="A11" s="25" t="s">
        <v>9</v>
      </c>
      <c r="B11" s="25"/>
      <c r="C11" s="25" t="s">
        <v>13</v>
      </c>
      <c r="D11" s="2">
        <v>0</v>
      </c>
      <c r="E11" s="1"/>
      <c r="F11"/>
      <c r="G11" s="69"/>
      <c r="H11" s="2">
        <f t="shared" ref="H11:H13" si="3">-SUM(F11:G11)</f>
        <v>0</v>
      </c>
      <c r="J11"/>
      <c r="K11"/>
      <c r="L11" s="2">
        <f t="shared" si="0"/>
        <v>0</v>
      </c>
      <c r="M11" s="2">
        <f t="shared" si="1"/>
        <v>0</v>
      </c>
      <c r="N11" s="26"/>
      <c r="O11" s="26"/>
      <c r="P11" s="26">
        <v>-398720.83</v>
      </c>
      <c r="Q11" s="26"/>
      <c r="R11" s="26">
        <f t="shared" si="2"/>
        <v>-398720.83</v>
      </c>
      <c r="S11" s="25"/>
      <c r="T11" s="25"/>
      <c r="U11" s="25"/>
    </row>
    <row r="12" spans="1:21" x14ac:dyDescent="0.2">
      <c r="A12" s="25" t="s">
        <v>9</v>
      </c>
      <c r="B12" s="25"/>
      <c r="C12" s="25" t="s">
        <v>12</v>
      </c>
      <c r="D12" s="2">
        <v>0</v>
      </c>
      <c r="E12" s="1"/>
      <c r="F12"/>
      <c r="G12" s="69"/>
      <c r="H12" s="2">
        <f t="shared" si="3"/>
        <v>0</v>
      </c>
      <c r="J12"/>
      <c r="K12"/>
      <c r="L12" s="2">
        <f t="shared" si="0"/>
        <v>0</v>
      </c>
      <c r="M12" s="2">
        <f t="shared" si="1"/>
        <v>0</v>
      </c>
      <c r="N12" s="26"/>
      <c r="O12" s="26"/>
      <c r="P12" s="26">
        <v>-948359.49</v>
      </c>
      <c r="Q12" s="26"/>
      <c r="R12" s="26">
        <f t="shared" si="2"/>
        <v>-948359.49</v>
      </c>
      <c r="S12" s="25"/>
      <c r="T12" s="25"/>
      <c r="U12" s="25"/>
    </row>
    <row r="13" spans="1:21" x14ac:dyDescent="0.2">
      <c r="A13" s="25" t="s">
        <v>9</v>
      </c>
      <c r="B13" s="25"/>
      <c r="C13" s="25" t="s">
        <v>14</v>
      </c>
      <c r="D13" s="2">
        <v>0</v>
      </c>
      <c r="E13" s="1"/>
      <c r="F13" s="27">
        <v>0</v>
      </c>
      <c r="G13" s="2"/>
      <c r="H13" s="2">
        <f t="shared" si="3"/>
        <v>0</v>
      </c>
      <c r="J13"/>
      <c r="K13"/>
      <c r="L13" s="2">
        <f t="shared" si="0"/>
        <v>0</v>
      </c>
      <c r="M13" s="2">
        <f t="shared" si="1"/>
        <v>0</v>
      </c>
      <c r="N13" s="26"/>
      <c r="O13" s="26"/>
      <c r="P13" s="26">
        <v>-255114.53</v>
      </c>
      <c r="Q13" s="26"/>
      <c r="R13" s="26">
        <f t="shared" si="2"/>
        <v>-255114.53</v>
      </c>
      <c r="S13" s="25"/>
      <c r="T13" s="25"/>
      <c r="U13" s="25"/>
    </row>
    <row r="14" spans="1:21" x14ac:dyDescent="0.2">
      <c r="A14" s="25" t="s">
        <v>2</v>
      </c>
      <c r="B14" s="25"/>
      <c r="C14" s="25" t="s">
        <v>20</v>
      </c>
      <c r="D14" s="2">
        <v>-59643</v>
      </c>
      <c r="E14" s="1"/>
      <c r="F14" s="27">
        <v>-4601</v>
      </c>
      <c r="G14" s="2"/>
      <c r="H14" s="2">
        <f t="shared" ref="H14:H21" si="4">-SUM(F14:G14)</f>
        <v>4601</v>
      </c>
      <c r="J14" s="27">
        <f>O14-D14</f>
        <v>-1</v>
      </c>
      <c r="K14" s="5">
        <f>ROUND(H14/12*3,0)-J14</f>
        <v>1151</v>
      </c>
      <c r="L14" s="2">
        <f t="shared" si="0"/>
        <v>3451</v>
      </c>
      <c r="M14" s="2">
        <f t="shared" si="1"/>
        <v>383.44444444444446</v>
      </c>
      <c r="N14" s="2"/>
      <c r="O14" s="1">
        <v>-59644</v>
      </c>
      <c r="P14" s="26"/>
      <c r="Q14" s="26"/>
      <c r="R14" s="26">
        <f t="shared" si="2"/>
        <v>-55042</v>
      </c>
      <c r="S14" s="25"/>
      <c r="T14" s="25"/>
      <c r="U14" s="25"/>
    </row>
    <row r="15" spans="1:21" x14ac:dyDescent="0.2">
      <c r="A15" s="25" t="s">
        <v>5</v>
      </c>
      <c r="B15" s="25"/>
      <c r="C15" s="25" t="s">
        <v>22</v>
      </c>
      <c r="D15" s="2">
        <v>209727</v>
      </c>
      <c r="E15" s="1"/>
      <c r="F15" s="27">
        <v>-59271</v>
      </c>
      <c r="G15" s="2"/>
      <c r="H15" s="2">
        <f t="shared" si="4"/>
        <v>59271</v>
      </c>
      <c r="J15" s="27">
        <f>O15-D15</f>
        <v>-187670</v>
      </c>
      <c r="K15" s="5">
        <f>ROUND(H15/12*3,0)-J15</f>
        <v>202488</v>
      </c>
      <c r="L15" s="2">
        <f t="shared" si="0"/>
        <v>44453</v>
      </c>
      <c r="M15" s="2">
        <f t="shared" si="1"/>
        <v>4939.2222222222226</v>
      </c>
      <c r="N15" s="2"/>
      <c r="O15" s="1">
        <v>22057</v>
      </c>
      <c r="P15" s="26"/>
      <c r="Q15" s="26"/>
      <c r="R15" s="26">
        <f t="shared" si="2"/>
        <v>268998</v>
      </c>
      <c r="S15" s="25"/>
      <c r="T15" s="25"/>
      <c r="U15" s="25"/>
    </row>
    <row r="16" spans="1:21" x14ac:dyDescent="0.2">
      <c r="A16" s="25" t="s">
        <v>52</v>
      </c>
      <c r="B16" s="25"/>
      <c r="C16" s="25" t="s">
        <v>21</v>
      </c>
      <c r="D16" s="2">
        <v>-858783</v>
      </c>
      <c r="E16" s="1"/>
      <c r="F16" s="27">
        <v>0</v>
      </c>
      <c r="G16" s="2"/>
      <c r="H16" s="2">
        <f t="shared" si="4"/>
        <v>0</v>
      </c>
      <c r="J16" s="27">
        <f t="shared" ref="J16:J21" si="5">O16-D16</f>
        <v>12944</v>
      </c>
      <c r="K16" s="5">
        <f t="shared" ref="K16:K21" si="6">ROUND(H16/12*3,0)-J16</f>
        <v>-12944</v>
      </c>
      <c r="L16" s="2">
        <f t="shared" si="0"/>
        <v>0</v>
      </c>
      <c r="M16" s="2">
        <f t="shared" si="1"/>
        <v>0</v>
      </c>
      <c r="N16" s="2"/>
      <c r="O16" s="1">
        <v>-845839</v>
      </c>
      <c r="P16" s="26"/>
      <c r="Q16" s="26"/>
      <c r="R16" s="26">
        <f t="shared" si="2"/>
        <v>-858783</v>
      </c>
      <c r="S16" s="25"/>
      <c r="T16" s="25"/>
      <c r="U16" s="25"/>
    </row>
    <row r="17" spans="1:21" x14ac:dyDescent="0.2">
      <c r="A17" s="28" t="s">
        <v>29</v>
      </c>
      <c r="B17" s="28"/>
      <c r="C17" s="25" t="s">
        <v>17</v>
      </c>
      <c r="D17" s="2">
        <v>-27932852</v>
      </c>
      <c r="E17" s="1"/>
      <c r="F17" s="27">
        <v>5694564</v>
      </c>
      <c r="G17" s="2"/>
      <c r="H17" s="2">
        <f t="shared" si="4"/>
        <v>-5694564</v>
      </c>
      <c r="J17" s="27">
        <f t="shared" si="5"/>
        <v>-1610478</v>
      </c>
      <c r="K17" s="5">
        <f t="shared" si="6"/>
        <v>186837</v>
      </c>
      <c r="L17" s="2">
        <f t="shared" si="0"/>
        <v>-4270923</v>
      </c>
      <c r="M17" s="2">
        <f t="shared" si="1"/>
        <v>-474547</v>
      </c>
      <c r="N17" s="2"/>
      <c r="O17" s="1">
        <v>-29543330</v>
      </c>
      <c r="P17" s="26"/>
      <c r="Q17" s="26"/>
      <c r="R17" s="26">
        <f t="shared" si="2"/>
        <v>-33627416</v>
      </c>
      <c r="S17" s="25"/>
      <c r="T17" s="25"/>
      <c r="U17" s="25"/>
    </row>
    <row r="18" spans="1:21" x14ac:dyDescent="0.2">
      <c r="A18" s="28" t="s">
        <v>30</v>
      </c>
      <c r="B18" s="28"/>
      <c r="C18" s="25" t="s">
        <v>18</v>
      </c>
      <c r="D18" s="2">
        <v>-1834152</v>
      </c>
      <c r="E18" s="1"/>
      <c r="F18" s="27">
        <v>66942</v>
      </c>
      <c r="G18" s="2"/>
      <c r="H18" s="2">
        <f t="shared" si="4"/>
        <v>-66942</v>
      </c>
      <c r="J18" s="27">
        <f t="shared" si="5"/>
        <v>-12062</v>
      </c>
      <c r="K18" s="5">
        <f t="shared" si="6"/>
        <v>-4674</v>
      </c>
      <c r="L18" s="2">
        <f t="shared" si="0"/>
        <v>-50206</v>
      </c>
      <c r="M18" s="2">
        <f t="shared" si="1"/>
        <v>-5578.4444444444443</v>
      </c>
      <c r="N18" s="2"/>
      <c r="O18" s="1">
        <v>-1846214</v>
      </c>
      <c r="P18" s="26"/>
      <c r="Q18" s="26"/>
      <c r="R18" s="26">
        <f t="shared" si="2"/>
        <v>-1901094</v>
      </c>
      <c r="S18" s="25"/>
      <c r="T18" s="25"/>
      <c r="U18" s="25"/>
    </row>
    <row r="19" spans="1:21" x14ac:dyDescent="0.2">
      <c r="A19" s="4" t="s">
        <v>28</v>
      </c>
      <c r="B19" s="46"/>
      <c r="C19" s="32" t="s">
        <v>16</v>
      </c>
      <c r="D19" s="2">
        <v>-276208059</v>
      </c>
      <c r="E19" s="2"/>
      <c r="F19" s="27">
        <v>7676434</v>
      </c>
      <c r="G19" s="2">
        <f>D35</f>
        <v>0</v>
      </c>
      <c r="H19" s="2">
        <f t="shared" si="4"/>
        <v>-7676434</v>
      </c>
      <c r="J19" s="27">
        <f t="shared" si="5"/>
        <v>-2149234</v>
      </c>
      <c r="K19" s="5">
        <f t="shared" si="6"/>
        <v>230125</v>
      </c>
      <c r="L19" s="2">
        <f t="shared" si="0"/>
        <v>-5757325</v>
      </c>
      <c r="M19" s="2">
        <f t="shared" si="1"/>
        <v>-639702.77777777775</v>
      </c>
      <c r="N19" s="2"/>
      <c r="O19" s="1">
        <v>-278357293</v>
      </c>
      <c r="P19" s="26">
        <f>(P8+P9)*-1</f>
        <v>12434489.02</v>
      </c>
      <c r="Q19" s="6">
        <v>11075201.25999999</v>
      </c>
      <c r="R19" s="26">
        <f t="shared" si="2"/>
        <v>-260374802.72000003</v>
      </c>
      <c r="S19" s="25"/>
      <c r="T19" s="25"/>
      <c r="U19" s="25"/>
    </row>
    <row r="20" spans="1:21" x14ac:dyDescent="0.2">
      <c r="A20" s="47" t="s">
        <v>26</v>
      </c>
      <c r="B20" s="28"/>
      <c r="C20" s="36" t="s">
        <v>19</v>
      </c>
      <c r="D20" s="2">
        <v>-59677071</v>
      </c>
      <c r="E20" s="40"/>
      <c r="F20" s="27">
        <v>3189033</v>
      </c>
      <c r="G20" s="2">
        <f>D36</f>
        <v>0</v>
      </c>
      <c r="H20" s="2">
        <f t="shared" si="4"/>
        <v>-3189033</v>
      </c>
      <c r="J20" s="27">
        <f t="shared" si="5"/>
        <v>-490836</v>
      </c>
      <c r="K20" s="5">
        <f t="shared" si="6"/>
        <v>-306422</v>
      </c>
      <c r="L20" s="2">
        <f t="shared" si="0"/>
        <v>-2391775</v>
      </c>
      <c r="M20" s="2">
        <f t="shared" si="1"/>
        <v>-265752.77777777775</v>
      </c>
      <c r="N20" s="2"/>
      <c r="O20" s="1">
        <v>-60167907</v>
      </c>
      <c r="P20" s="26">
        <f>(P11+P12)*-1</f>
        <v>1347080.32</v>
      </c>
      <c r="Q20" s="6">
        <v>2951950.549999997</v>
      </c>
      <c r="R20" s="26">
        <f t="shared" si="2"/>
        <v>-58567073.130000003</v>
      </c>
      <c r="S20" s="25"/>
      <c r="T20" s="25"/>
      <c r="U20" s="25"/>
    </row>
    <row r="21" spans="1:21" x14ac:dyDescent="0.2">
      <c r="A21" s="26" t="s">
        <v>47</v>
      </c>
      <c r="B21" s="26"/>
      <c r="C21" s="26" t="s">
        <v>24</v>
      </c>
      <c r="D21" s="2">
        <v>-32139461</v>
      </c>
      <c r="E21" s="1"/>
      <c r="F21" s="27">
        <v>1960203</v>
      </c>
      <c r="G21" s="2">
        <f>D37</f>
        <v>0</v>
      </c>
      <c r="H21" s="2">
        <f t="shared" si="4"/>
        <v>-1960203</v>
      </c>
      <c r="J21" s="27">
        <f t="shared" si="5"/>
        <v>-384776</v>
      </c>
      <c r="K21" s="5">
        <f t="shared" si="6"/>
        <v>-105275</v>
      </c>
      <c r="L21" s="2">
        <f t="shared" si="0"/>
        <v>-1470152</v>
      </c>
      <c r="M21" s="2">
        <f t="shared" si="1"/>
        <v>-163350.22222222222</v>
      </c>
      <c r="N21" s="2"/>
      <c r="O21" s="1">
        <v>-32524237</v>
      </c>
      <c r="P21" s="26">
        <f>(P13)*-1</f>
        <v>255114.53</v>
      </c>
      <c r="Q21" s="6">
        <v>1363621.129999999</v>
      </c>
      <c r="R21" s="26">
        <f t="shared" si="2"/>
        <v>-32480928.34</v>
      </c>
      <c r="S21" s="25"/>
      <c r="T21" s="25"/>
      <c r="U21" s="25"/>
    </row>
    <row r="22" spans="1:21" x14ac:dyDescent="0.2">
      <c r="A22" s="25"/>
      <c r="B22" s="25"/>
      <c r="C22" s="35"/>
      <c r="D22" s="2"/>
      <c r="E22" s="72"/>
      <c r="F22" s="2"/>
      <c r="G22" s="2"/>
      <c r="H22" s="2"/>
      <c r="J22" s="2"/>
      <c r="L22" s="2"/>
      <c r="M22" s="2"/>
      <c r="N22" s="26"/>
      <c r="O22" s="26"/>
      <c r="P22" s="26"/>
      <c r="Q22" s="26"/>
      <c r="R22" s="26">
        <f>D22+H22+P22</f>
        <v>0</v>
      </c>
      <c r="S22" s="25"/>
      <c r="U22" s="25"/>
    </row>
    <row r="23" spans="1:21" x14ac:dyDescent="0.2">
      <c r="A23" s="25" t="s">
        <v>6</v>
      </c>
      <c r="B23" s="26"/>
      <c r="C23" s="26"/>
      <c r="D23" s="45">
        <f>SUM(D8:D22)</f>
        <v>-398500294</v>
      </c>
      <c r="E23" s="2"/>
      <c r="F23" s="45">
        <f>SUM(F7:F22)-F7-F10</f>
        <v>18523304</v>
      </c>
      <c r="G23" s="45">
        <f>SUM(G8:G22)</f>
        <v>0</v>
      </c>
      <c r="H23" s="45">
        <f>SUM(H8:H22)</f>
        <v>-18523304</v>
      </c>
      <c r="J23" s="45">
        <f>SUM(J8:J22)</f>
        <v>-4822113</v>
      </c>
      <c r="K23" s="45">
        <f>SUM(K8:K22)</f>
        <v>191286</v>
      </c>
      <c r="L23" s="45">
        <f>SUM(L8:L22)</f>
        <v>-13892477</v>
      </c>
      <c r="M23" s="45">
        <f>SUM(M8:M22)</f>
        <v>-1543608.5555555555</v>
      </c>
      <c r="N23" s="26"/>
      <c r="O23" s="26">
        <f>SUM(O14:O22)</f>
        <v>-403322407</v>
      </c>
      <c r="P23" s="45">
        <f>SUM(P8:P22)</f>
        <v>4.3655745685100555E-10</v>
      </c>
      <c r="Q23" s="45"/>
      <c r="R23" s="45">
        <f>SUM(R8:R22)</f>
        <v>-401632825.06</v>
      </c>
      <c r="S23" s="25"/>
      <c r="U23" s="25"/>
    </row>
    <row r="24" spans="1:21" x14ac:dyDescent="0.2">
      <c r="A24" s="24" t="s">
        <v>43</v>
      </c>
      <c r="D24" s="26"/>
      <c r="E24" s="1"/>
      <c r="F24" s="56"/>
      <c r="H24" s="5">
        <f>ROUND(F24+H23,0)</f>
        <v>-18523304</v>
      </c>
      <c r="L24" s="7">
        <f>J23+K23+L23-H23</f>
        <v>0</v>
      </c>
      <c r="M24" s="6">
        <f>(M23*(13-MONTH($M$3))-L23)</f>
        <v>0</v>
      </c>
      <c r="N24" s="6"/>
      <c r="O24" s="8"/>
      <c r="P24" s="8"/>
      <c r="Q24" s="8"/>
      <c r="R24" s="8"/>
      <c r="S24" s="9"/>
      <c r="U24" s="4"/>
    </row>
    <row r="25" spans="1:21" ht="13.5" thickBot="1" x14ac:dyDescent="0.25">
      <c r="A25" s="24"/>
      <c r="D25" s="26"/>
      <c r="K25" s="7"/>
      <c r="L25" s="6"/>
      <c r="M25" s="6"/>
      <c r="N25" s="6"/>
      <c r="O25" s="8"/>
      <c r="P25" s="8"/>
      <c r="Q25" s="8"/>
      <c r="R25" s="8"/>
      <c r="S25" s="9"/>
      <c r="T25" s="25">
        <v>-11075201.25999999</v>
      </c>
      <c r="U25" s="4"/>
    </row>
    <row r="26" spans="1:21" ht="13.5" thickBot="1" x14ac:dyDescent="0.25">
      <c r="A26" s="24"/>
      <c r="H26" s="200" t="s">
        <v>120</v>
      </c>
      <c r="I26" s="201"/>
      <c r="J26" s="201"/>
      <c r="K26" s="201"/>
      <c r="L26" s="202"/>
      <c r="M26" s="6"/>
      <c r="O26" s="6"/>
      <c r="S26" s="8"/>
      <c r="T26" s="25">
        <v>-2951950.549999997</v>
      </c>
      <c r="U26" s="9"/>
    </row>
    <row r="27" spans="1:21" ht="13.5" thickBot="1" x14ac:dyDescent="0.25">
      <c r="A27" s="24"/>
      <c r="H27" s="200" t="s">
        <v>121</v>
      </c>
      <c r="I27" s="201"/>
      <c r="J27" s="201"/>
      <c r="K27" s="201"/>
      <c r="L27" s="202"/>
      <c r="M27" s="7"/>
      <c r="N27" s="6"/>
      <c r="O27" s="6"/>
      <c r="S27" s="8"/>
      <c r="T27" s="25">
        <v>-1363621.129999999</v>
      </c>
      <c r="U27" s="9"/>
    </row>
    <row r="28" spans="1:21" x14ac:dyDescent="0.2">
      <c r="A28" s="24"/>
      <c r="H28" s="75"/>
      <c r="I28" s="18"/>
      <c r="J28" s="18"/>
      <c r="K28" s="18"/>
      <c r="L28" s="76"/>
      <c r="N28" s="6"/>
      <c r="O28" s="7"/>
      <c r="T28" s="8"/>
      <c r="U28" s="8"/>
    </row>
    <row r="29" spans="1:21" x14ac:dyDescent="0.2">
      <c r="A29" s="57"/>
      <c r="B29" s="57"/>
      <c r="C29" s="57"/>
      <c r="D29" s="57"/>
      <c r="E29" s="57"/>
      <c r="F29" s="58"/>
      <c r="H29" s="77" t="s">
        <v>35</v>
      </c>
      <c r="I29" s="38"/>
      <c r="J29" s="38"/>
      <c r="K29" s="20" t="s">
        <v>44</v>
      </c>
      <c r="L29" s="78"/>
    </row>
    <row r="30" spans="1:21" ht="13.5" thickBot="1" x14ac:dyDescent="0.25">
      <c r="A30" s="59"/>
      <c r="B30" s="57"/>
      <c r="C30" s="57"/>
      <c r="D30" s="57"/>
      <c r="E30" s="57"/>
      <c r="F30" s="56"/>
      <c r="H30" s="79" t="s">
        <v>42</v>
      </c>
      <c r="I30" s="44"/>
      <c r="J30" s="38"/>
      <c r="K30" s="50" t="s">
        <v>45</v>
      </c>
      <c r="L30" s="78"/>
      <c r="N30" s="34"/>
      <c r="O30" s="34"/>
      <c r="P30" s="5"/>
      <c r="Q30" s="5"/>
      <c r="R30" s="5"/>
      <c r="T30" s="7"/>
    </row>
    <row r="31" spans="1:21" x14ac:dyDescent="0.2">
      <c r="A31" s="59"/>
      <c r="B31" s="57"/>
      <c r="C31" s="57"/>
      <c r="D31" s="57"/>
      <c r="E31" s="57"/>
      <c r="F31" s="56"/>
      <c r="H31" s="80" t="s">
        <v>38</v>
      </c>
      <c r="I31" s="38"/>
      <c r="J31" s="90">
        <f>-M8</f>
        <v>0</v>
      </c>
      <c r="K31" s="26" t="s">
        <v>10</v>
      </c>
      <c r="L31" s="91">
        <f>M8</f>
        <v>0</v>
      </c>
      <c r="P31" s="5"/>
      <c r="Q31" s="5"/>
      <c r="R31" s="5"/>
      <c r="T31" s="7"/>
    </row>
    <row r="32" spans="1:21" x14ac:dyDescent="0.2">
      <c r="A32" s="59"/>
      <c r="B32" s="57"/>
      <c r="C32" s="57"/>
      <c r="D32" s="57"/>
      <c r="E32" s="57"/>
      <c r="F32" s="56"/>
      <c r="H32" s="80" t="s">
        <v>38</v>
      </c>
      <c r="I32" s="43"/>
      <c r="J32" s="42">
        <f>-M9</f>
        <v>0</v>
      </c>
      <c r="K32" s="26" t="s">
        <v>11</v>
      </c>
      <c r="L32" s="78">
        <f>M9</f>
        <v>0</v>
      </c>
      <c r="P32" s="5"/>
      <c r="Q32" s="5"/>
      <c r="R32" s="5"/>
      <c r="T32" s="7"/>
    </row>
    <row r="33" spans="1:20" x14ac:dyDescent="0.2">
      <c r="A33" s="60"/>
      <c r="B33" s="60"/>
      <c r="C33" s="60"/>
      <c r="D33" s="60"/>
      <c r="E33" s="60"/>
      <c r="F33" s="61"/>
      <c r="H33" s="81" t="s">
        <v>15</v>
      </c>
      <c r="I33" s="43"/>
      <c r="J33" s="42">
        <f t="shared" ref="J33:J43" si="7">-M11</f>
        <v>0</v>
      </c>
      <c r="K33" s="26" t="s">
        <v>13</v>
      </c>
      <c r="L33" s="78">
        <f t="shared" ref="L33:L43" si="8">M11</f>
        <v>0</v>
      </c>
      <c r="P33" s="5"/>
      <c r="Q33" s="5"/>
      <c r="R33" s="5"/>
      <c r="T33" s="7"/>
    </row>
    <row r="34" spans="1:20" x14ac:dyDescent="0.2">
      <c r="A34" s="100"/>
      <c r="B34" s="60"/>
      <c r="C34" s="62"/>
      <c r="D34" s="62"/>
      <c r="E34" s="62"/>
      <c r="F34" s="62"/>
      <c r="H34" s="81" t="s">
        <v>15</v>
      </c>
      <c r="I34" s="38"/>
      <c r="J34" s="42">
        <f t="shared" si="7"/>
        <v>0</v>
      </c>
      <c r="K34" s="26" t="s">
        <v>12</v>
      </c>
      <c r="L34" s="78">
        <f t="shared" si="8"/>
        <v>0</v>
      </c>
      <c r="P34" s="5"/>
      <c r="Q34" s="5"/>
      <c r="R34" s="5"/>
      <c r="T34" s="7"/>
    </row>
    <row r="35" spans="1:20" x14ac:dyDescent="0.2">
      <c r="A35" s="60"/>
      <c r="B35" s="60"/>
      <c r="C35" s="97"/>
      <c r="D35" s="66"/>
      <c r="E35" s="63"/>
      <c r="F35" s="58"/>
      <c r="H35" s="81" t="s">
        <v>25</v>
      </c>
      <c r="I35" s="38"/>
      <c r="J35" s="42">
        <f t="shared" si="7"/>
        <v>0</v>
      </c>
      <c r="K35" s="26" t="s">
        <v>14</v>
      </c>
      <c r="L35" s="78">
        <f t="shared" si="8"/>
        <v>0</v>
      </c>
      <c r="P35" s="5"/>
      <c r="Q35" s="5"/>
      <c r="R35" s="5"/>
      <c r="T35" s="7"/>
    </row>
    <row r="36" spans="1:20" x14ac:dyDescent="0.2">
      <c r="A36" s="60"/>
      <c r="B36" s="60"/>
      <c r="C36" s="97"/>
      <c r="D36" s="66"/>
      <c r="E36" s="63"/>
      <c r="F36" s="58"/>
      <c r="H36" s="81" t="s">
        <v>41</v>
      </c>
      <c r="I36" s="38"/>
      <c r="J36" s="42">
        <f t="shared" si="7"/>
        <v>-383.44444444444446</v>
      </c>
      <c r="K36" s="26" t="s">
        <v>20</v>
      </c>
      <c r="L36" s="78">
        <f t="shared" si="8"/>
        <v>383.44444444444446</v>
      </c>
      <c r="P36" s="5"/>
      <c r="Q36" s="5"/>
      <c r="R36" s="5"/>
      <c r="T36" s="7"/>
    </row>
    <row r="37" spans="1:20" x14ac:dyDescent="0.2">
      <c r="A37" s="60"/>
      <c r="B37" s="60"/>
      <c r="C37" s="97"/>
      <c r="D37" s="66"/>
      <c r="E37" s="63"/>
      <c r="F37" s="58"/>
      <c r="H37" s="81" t="s">
        <v>41</v>
      </c>
      <c r="I37" s="43"/>
      <c r="J37" s="42">
        <f t="shared" si="7"/>
        <v>-4939.2222222222226</v>
      </c>
      <c r="K37" s="26" t="s">
        <v>22</v>
      </c>
      <c r="L37" s="78">
        <f t="shared" si="8"/>
        <v>4939.2222222222226</v>
      </c>
      <c r="P37" s="5"/>
      <c r="Q37" s="5"/>
      <c r="R37" s="5"/>
      <c r="T37" s="7"/>
    </row>
    <row r="38" spans="1:20" x14ac:dyDescent="0.2">
      <c r="A38" s="60"/>
      <c r="B38" s="60"/>
      <c r="C38" s="95"/>
      <c r="D38" s="64"/>
      <c r="E38" s="67"/>
      <c r="F38" s="58"/>
      <c r="H38" s="81" t="s">
        <v>41</v>
      </c>
      <c r="I38" s="38"/>
      <c r="J38" s="42">
        <f t="shared" si="7"/>
        <v>0</v>
      </c>
      <c r="K38" s="26" t="s">
        <v>21</v>
      </c>
      <c r="L38" s="78">
        <f t="shared" si="8"/>
        <v>0</v>
      </c>
      <c r="P38" s="5"/>
      <c r="Q38" s="5"/>
      <c r="R38" s="5"/>
      <c r="T38" s="7"/>
    </row>
    <row r="39" spans="1:20" x14ac:dyDescent="0.2">
      <c r="A39" s="60"/>
      <c r="B39" s="60"/>
      <c r="C39" s="65"/>
      <c r="D39" s="66"/>
      <c r="E39" s="66"/>
      <c r="F39" s="58"/>
      <c r="H39" s="80" t="s">
        <v>36</v>
      </c>
      <c r="I39" s="38"/>
      <c r="J39" s="42">
        <f t="shared" si="7"/>
        <v>474547</v>
      </c>
      <c r="K39" s="26" t="s">
        <v>17</v>
      </c>
      <c r="L39" s="78">
        <f t="shared" si="8"/>
        <v>-474547</v>
      </c>
      <c r="P39" s="5"/>
      <c r="Q39" s="5"/>
      <c r="R39" s="5"/>
      <c r="T39" s="7"/>
    </row>
    <row r="40" spans="1:20" x14ac:dyDescent="0.2">
      <c r="A40" s="49"/>
      <c r="B40" s="49"/>
      <c r="C40" s="93"/>
      <c r="D40" s="94"/>
      <c r="E40" s="94"/>
      <c r="H40" s="80" t="s">
        <v>37</v>
      </c>
      <c r="I40" s="38"/>
      <c r="J40" s="42">
        <f t="shared" si="7"/>
        <v>5578.4444444444443</v>
      </c>
      <c r="K40" s="26" t="s">
        <v>18</v>
      </c>
      <c r="L40" s="78">
        <f t="shared" si="8"/>
        <v>-5578.4444444444443</v>
      </c>
      <c r="P40" s="5"/>
      <c r="Q40" s="5"/>
      <c r="R40" s="5"/>
      <c r="T40" s="7"/>
    </row>
    <row r="41" spans="1:20" x14ac:dyDescent="0.2">
      <c r="A41" s="49"/>
      <c r="B41" s="49"/>
      <c r="C41" s="93"/>
      <c r="D41" s="94"/>
      <c r="E41" s="94"/>
      <c r="H41" s="82" t="s">
        <v>38</v>
      </c>
      <c r="I41" s="38"/>
      <c r="J41" s="42">
        <f t="shared" si="7"/>
        <v>639702.77777777775</v>
      </c>
      <c r="K41" s="32" t="s">
        <v>16</v>
      </c>
      <c r="L41" s="78">
        <f t="shared" si="8"/>
        <v>-639702.77777777775</v>
      </c>
      <c r="P41" s="5"/>
      <c r="Q41" s="5"/>
      <c r="R41" s="5"/>
      <c r="T41" s="7"/>
    </row>
    <row r="42" spans="1:20" x14ac:dyDescent="0.2">
      <c r="A42" s="49"/>
      <c r="B42" s="49"/>
      <c r="C42" s="93"/>
      <c r="D42" s="94"/>
      <c r="E42" s="94"/>
      <c r="H42" s="83" t="s">
        <v>39</v>
      </c>
      <c r="I42" s="33"/>
      <c r="J42" s="42">
        <f t="shared" si="7"/>
        <v>265752.77777777775</v>
      </c>
      <c r="K42" s="84" t="s">
        <v>19</v>
      </c>
      <c r="L42" s="78">
        <f t="shared" si="8"/>
        <v>-265752.77777777775</v>
      </c>
      <c r="P42" s="5"/>
      <c r="Q42" s="5"/>
      <c r="R42" s="5"/>
      <c r="T42" s="7"/>
    </row>
    <row r="43" spans="1:20" ht="13.5" thickBot="1" x14ac:dyDescent="0.25">
      <c r="A43" s="49"/>
      <c r="B43" s="49"/>
      <c r="C43" s="93"/>
      <c r="D43" s="94"/>
      <c r="E43" s="94"/>
      <c r="H43" s="85" t="s">
        <v>40</v>
      </c>
      <c r="I43" s="86"/>
      <c r="J43" s="87">
        <f t="shared" si="7"/>
        <v>163350.22222222222</v>
      </c>
      <c r="K43" s="88" t="s">
        <v>24</v>
      </c>
      <c r="L43" s="89">
        <f t="shared" si="8"/>
        <v>-163350.22222222222</v>
      </c>
      <c r="P43" s="5"/>
      <c r="Q43" s="5"/>
      <c r="R43" s="5"/>
      <c r="T43" s="7"/>
    </row>
    <row r="44" spans="1:20" x14ac:dyDescent="0.2">
      <c r="A44" s="49"/>
      <c r="B44" s="49"/>
      <c r="C44" s="93"/>
      <c r="D44" s="94"/>
      <c r="E44" s="94"/>
      <c r="H44" s="73" t="s">
        <v>51</v>
      </c>
      <c r="I44" s="37"/>
      <c r="J44" s="74">
        <f>SUM(J31:J43)+SUM(L31:L43)</f>
        <v>0</v>
      </c>
      <c r="L44" s="5">
        <f>SUM(L31:L43)</f>
        <v>-1543608.5555555555</v>
      </c>
      <c r="P44" s="5"/>
      <c r="Q44" s="5"/>
      <c r="R44" s="5"/>
      <c r="T44" s="7"/>
    </row>
    <row r="45" spans="1:20" x14ac:dyDescent="0.2">
      <c r="A45" s="49"/>
      <c r="B45" s="49"/>
      <c r="C45" s="93"/>
      <c r="D45" s="94"/>
      <c r="E45" s="94"/>
      <c r="H45" s="38"/>
      <c r="I45" s="38"/>
      <c r="P45" s="5"/>
      <c r="Q45" s="5"/>
      <c r="R45" s="5"/>
      <c r="T45" s="7"/>
    </row>
    <row r="46" spans="1:20" ht="13.5" thickBot="1" x14ac:dyDescent="0.25">
      <c r="A46" s="49"/>
      <c r="B46" s="49"/>
      <c r="C46" s="93"/>
      <c r="D46" s="94"/>
      <c r="E46" s="94"/>
      <c r="H46" s="38"/>
      <c r="I46" s="38"/>
      <c r="P46" s="5"/>
      <c r="Q46" s="5"/>
      <c r="R46" s="5"/>
      <c r="S46" s="7"/>
    </row>
    <row r="47" spans="1:20" ht="13.5" thickBot="1" x14ac:dyDescent="0.25">
      <c r="A47" s="49"/>
      <c r="B47" s="49"/>
      <c r="C47" s="93"/>
      <c r="D47" s="94"/>
      <c r="E47" s="94"/>
      <c r="H47" s="200" t="s">
        <v>122</v>
      </c>
      <c r="I47" s="201"/>
      <c r="J47" s="201"/>
      <c r="K47" s="201"/>
      <c r="L47" s="202"/>
      <c r="P47" s="5"/>
      <c r="Q47" s="5"/>
      <c r="R47" s="5"/>
      <c r="S47" s="7"/>
    </row>
    <row r="48" spans="1:20" ht="13.5" thickBot="1" x14ac:dyDescent="0.25">
      <c r="A48" s="49"/>
      <c r="B48" s="49"/>
      <c r="C48" s="93"/>
      <c r="D48" s="94"/>
      <c r="E48" s="94"/>
      <c r="H48" s="200" t="s">
        <v>121</v>
      </c>
      <c r="I48" s="201"/>
      <c r="J48" s="201"/>
      <c r="K48" s="201"/>
      <c r="L48" s="202"/>
      <c r="P48" s="5"/>
      <c r="Q48" s="5"/>
      <c r="R48" s="5"/>
      <c r="S48" s="7"/>
    </row>
    <row r="49" spans="1:12" x14ac:dyDescent="0.2">
      <c r="A49" s="29"/>
      <c r="B49" s="29"/>
      <c r="C49" s="29"/>
      <c r="D49" s="29"/>
      <c r="E49" s="29"/>
      <c r="H49" s="75"/>
      <c r="I49" s="18"/>
      <c r="J49" s="18"/>
      <c r="K49" s="18"/>
      <c r="L49" s="76"/>
    </row>
    <row r="50" spans="1:12" x14ac:dyDescent="0.2">
      <c r="A50" s="29"/>
      <c r="B50" s="29"/>
      <c r="C50" s="29"/>
      <c r="D50" s="29"/>
      <c r="E50" s="29"/>
      <c r="H50" s="77" t="s">
        <v>35</v>
      </c>
      <c r="I50" s="38"/>
      <c r="J50" s="38"/>
      <c r="K50" s="20" t="s">
        <v>44</v>
      </c>
      <c r="L50" s="78"/>
    </row>
    <row r="51" spans="1:12" ht="13.5" thickBot="1" x14ac:dyDescent="0.25">
      <c r="H51" s="79" t="s">
        <v>42</v>
      </c>
      <c r="I51" s="44"/>
      <c r="J51" s="38"/>
      <c r="K51" s="50" t="s">
        <v>45</v>
      </c>
      <c r="L51" s="78"/>
    </row>
    <row r="52" spans="1:12" x14ac:dyDescent="0.2">
      <c r="A52" s="29"/>
      <c r="B52" s="29"/>
      <c r="H52" s="80" t="s">
        <v>38</v>
      </c>
      <c r="I52" s="38"/>
      <c r="J52" s="90">
        <f>-K8</f>
        <v>0</v>
      </c>
      <c r="K52" s="26" t="s">
        <v>10</v>
      </c>
      <c r="L52" s="91">
        <f>K8</f>
        <v>0</v>
      </c>
    </row>
    <row r="53" spans="1:12" x14ac:dyDescent="0.2">
      <c r="H53" s="80" t="s">
        <v>38</v>
      </c>
      <c r="I53" s="43"/>
      <c r="J53" s="42">
        <f>-K9</f>
        <v>0</v>
      </c>
      <c r="K53" s="26" t="s">
        <v>11</v>
      </c>
      <c r="L53" s="78">
        <f>K9</f>
        <v>0</v>
      </c>
    </row>
    <row r="54" spans="1:12" x14ac:dyDescent="0.2">
      <c r="A54" s="29"/>
      <c r="B54" s="29"/>
      <c r="H54" s="81" t="s">
        <v>15</v>
      </c>
      <c r="I54" s="43"/>
      <c r="J54" s="42">
        <f>-K11</f>
        <v>0</v>
      </c>
      <c r="K54" s="26" t="s">
        <v>13</v>
      </c>
      <c r="L54" s="78">
        <f>K11</f>
        <v>0</v>
      </c>
    </row>
    <row r="55" spans="1:12" x14ac:dyDescent="0.2">
      <c r="H55" s="81" t="s">
        <v>15</v>
      </c>
      <c r="I55" s="38"/>
      <c r="J55" s="42">
        <f t="shared" ref="J55:J64" si="9">-K12</f>
        <v>0</v>
      </c>
      <c r="K55" s="26" t="s">
        <v>12</v>
      </c>
      <c r="L55" s="78">
        <f t="shared" ref="L55:L64" si="10">K12</f>
        <v>0</v>
      </c>
    </row>
    <row r="56" spans="1:12" x14ac:dyDescent="0.2">
      <c r="H56" s="81" t="s">
        <v>25</v>
      </c>
      <c r="I56" s="38"/>
      <c r="J56" s="42">
        <f t="shared" si="9"/>
        <v>0</v>
      </c>
      <c r="K56" s="26" t="s">
        <v>14</v>
      </c>
      <c r="L56" s="78">
        <f t="shared" si="10"/>
        <v>0</v>
      </c>
    </row>
    <row r="57" spans="1:12" x14ac:dyDescent="0.2">
      <c r="H57" s="81" t="s">
        <v>41</v>
      </c>
      <c r="I57" s="38"/>
      <c r="J57" s="42">
        <f t="shared" si="9"/>
        <v>-1151</v>
      </c>
      <c r="K57" s="26" t="s">
        <v>20</v>
      </c>
      <c r="L57" s="78">
        <f t="shared" si="10"/>
        <v>1151</v>
      </c>
    </row>
    <row r="58" spans="1:12" x14ac:dyDescent="0.2">
      <c r="H58" s="81" t="s">
        <v>41</v>
      </c>
      <c r="I58" s="43"/>
      <c r="J58" s="42">
        <f t="shared" si="9"/>
        <v>-202488</v>
      </c>
      <c r="K58" s="26" t="s">
        <v>22</v>
      </c>
      <c r="L58" s="78">
        <f t="shared" si="10"/>
        <v>202488</v>
      </c>
    </row>
    <row r="59" spans="1:12" x14ac:dyDescent="0.2">
      <c r="H59" s="81" t="s">
        <v>41</v>
      </c>
      <c r="I59" s="38"/>
      <c r="J59" s="42">
        <f t="shared" si="9"/>
        <v>12944</v>
      </c>
      <c r="K59" s="26" t="s">
        <v>21</v>
      </c>
      <c r="L59" s="78">
        <f t="shared" si="10"/>
        <v>-12944</v>
      </c>
    </row>
    <row r="60" spans="1:12" x14ac:dyDescent="0.2">
      <c r="H60" s="80" t="s">
        <v>36</v>
      </c>
      <c r="I60" s="38"/>
      <c r="J60" s="42">
        <f t="shared" si="9"/>
        <v>-186837</v>
      </c>
      <c r="K60" s="26" t="s">
        <v>17</v>
      </c>
      <c r="L60" s="78">
        <f t="shared" si="10"/>
        <v>186837</v>
      </c>
    </row>
    <row r="61" spans="1:12" x14ac:dyDescent="0.2">
      <c r="H61" s="80" t="s">
        <v>37</v>
      </c>
      <c r="I61" s="38"/>
      <c r="J61" s="42">
        <f t="shared" si="9"/>
        <v>4674</v>
      </c>
      <c r="K61" s="26" t="s">
        <v>18</v>
      </c>
      <c r="L61" s="78">
        <f t="shared" si="10"/>
        <v>-4674</v>
      </c>
    </row>
    <row r="62" spans="1:12" x14ac:dyDescent="0.2">
      <c r="H62" s="82" t="s">
        <v>38</v>
      </c>
      <c r="I62" s="38"/>
      <c r="J62" s="42">
        <f t="shared" si="9"/>
        <v>-230125</v>
      </c>
      <c r="K62" s="32" t="s">
        <v>16</v>
      </c>
      <c r="L62" s="78">
        <f t="shared" si="10"/>
        <v>230125</v>
      </c>
    </row>
    <row r="63" spans="1:12" x14ac:dyDescent="0.2">
      <c r="H63" s="83" t="s">
        <v>39</v>
      </c>
      <c r="I63" s="33"/>
      <c r="J63" s="42">
        <f t="shared" si="9"/>
        <v>306422</v>
      </c>
      <c r="K63" s="84" t="s">
        <v>19</v>
      </c>
      <c r="L63" s="78">
        <f t="shared" si="10"/>
        <v>-306422</v>
      </c>
    </row>
    <row r="64" spans="1:12" ht="13.5" thickBot="1" x14ac:dyDescent="0.25">
      <c r="H64" s="85" t="s">
        <v>40</v>
      </c>
      <c r="I64" s="86"/>
      <c r="J64" s="87">
        <f t="shared" si="9"/>
        <v>105275</v>
      </c>
      <c r="K64" s="88" t="s">
        <v>24</v>
      </c>
      <c r="L64" s="89">
        <f t="shared" si="10"/>
        <v>-105275</v>
      </c>
    </row>
    <row r="65" spans="8:12" x14ac:dyDescent="0.2">
      <c r="H65" s="73" t="s">
        <v>51</v>
      </c>
      <c r="I65" s="37"/>
      <c r="J65" s="74">
        <f>SUM(J52:J64)+SUM(L52:L64)</f>
        <v>0</v>
      </c>
      <c r="L65" s="5">
        <f>SUM(L52:L64)</f>
        <v>191286</v>
      </c>
    </row>
  </sheetData>
  <mergeCells count="4">
    <mergeCell ref="H26:L26"/>
    <mergeCell ref="H27:L27"/>
    <mergeCell ref="H47:L47"/>
    <mergeCell ref="H48:L48"/>
  </mergeCells>
  <conditionalFormatting sqref="M24 H24">
    <cfRule type="cellIs" dxfId="6" priority="1" stopIfTrue="1" operator="notBetween">
      <formula>-1</formula>
      <formula>1</formula>
    </cfRule>
  </conditionalFormatting>
  <pageMargins left="0.7" right="0.7" top="0.75" bottom="0.75" header="0.3" footer="0.3"/>
  <pageSetup scale="6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65"/>
  <sheetViews>
    <sheetView zoomScale="80" zoomScaleNormal="80" workbookViewId="0">
      <selection activeCell="D48" sqref="D48"/>
    </sheetView>
  </sheetViews>
  <sheetFormatPr defaultRowHeight="12.75" x14ac:dyDescent="0.2"/>
  <cols>
    <col min="1" max="1" width="24.7109375" style="4" customWidth="1"/>
    <col min="2" max="2" width="1.140625" style="4" customWidth="1"/>
    <col min="3" max="3" width="15" style="4" bestFit="1" customWidth="1"/>
    <col min="4" max="4" width="16.42578125" style="4" bestFit="1" customWidth="1"/>
    <col min="5" max="5" width="0.85546875" style="4" customWidth="1"/>
    <col min="6" max="6" width="15.42578125" style="5" bestFit="1" customWidth="1"/>
    <col min="7" max="7" width="10.28515625" style="5" customWidth="1"/>
    <col min="8" max="8" width="15.28515625" style="5" customWidth="1"/>
    <col min="9" max="9" width="0.85546875" style="2" customWidth="1"/>
    <col min="10" max="10" width="13.7109375" style="5" customWidth="1"/>
    <col min="11" max="11" width="15" style="5" bestFit="1" customWidth="1"/>
    <col min="12" max="12" width="13.7109375" style="5" customWidth="1"/>
    <col min="13" max="14" width="15.140625" style="5" bestFit="1" customWidth="1"/>
    <col min="15" max="15" width="18.42578125" style="5" customWidth="1"/>
    <col min="16" max="18" width="14.7109375" style="6" customWidth="1"/>
    <col min="19" max="19" width="15.5703125" style="6" bestFit="1" customWidth="1"/>
    <col min="20" max="20" width="10.28515625" style="6" bestFit="1" customWidth="1"/>
    <col min="21" max="21" width="11.28515625" style="6" customWidth="1"/>
    <col min="22" max="16384" width="9.140625" style="4"/>
  </cols>
  <sheetData>
    <row r="1" spans="1:21" ht="13.5" x14ac:dyDescent="0.25">
      <c r="A1" s="3" t="s">
        <v>110</v>
      </c>
      <c r="E1" s="49"/>
      <c r="M1" s="7"/>
      <c r="N1" s="6"/>
      <c r="O1" s="6"/>
      <c r="P1" s="8"/>
      <c r="Q1" s="8"/>
      <c r="R1" s="8"/>
      <c r="S1" s="8"/>
      <c r="T1" s="9"/>
      <c r="U1" s="4"/>
    </row>
    <row r="2" spans="1:21" x14ac:dyDescent="0.2">
      <c r="A2" s="41" t="s">
        <v>111</v>
      </c>
      <c r="B2" s="10"/>
      <c r="C2" s="11"/>
      <c r="D2" s="11"/>
      <c r="E2" s="54"/>
      <c r="F2" s="23"/>
      <c r="G2" s="23"/>
      <c r="H2" s="23"/>
      <c r="I2" s="23"/>
      <c r="J2" s="4"/>
      <c r="L2" s="4"/>
      <c r="M2" s="4"/>
      <c r="N2" s="12"/>
      <c r="O2" s="12"/>
      <c r="P2" s="13"/>
      <c r="Q2" s="13"/>
      <c r="R2" s="13"/>
      <c r="S2" s="14"/>
      <c r="T2" s="15"/>
      <c r="U2" s="16"/>
    </row>
    <row r="3" spans="1:21" s="29" customFormat="1" ht="14.25" thickBot="1" x14ac:dyDescent="0.3">
      <c r="A3" s="92"/>
      <c r="B3" s="53"/>
      <c r="C3" s="54"/>
      <c r="D3" s="54"/>
      <c r="E3" s="54"/>
      <c r="F3" s="23"/>
      <c r="G3" s="23"/>
      <c r="H3" s="23" t="s">
        <v>48</v>
      </c>
      <c r="I3" s="23"/>
      <c r="J3" s="96" t="s">
        <v>112</v>
      </c>
      <c r="K3" s="101" t="s">
        <v>107</v>
      </c>
      <c r="L3" s="18" t="s">
        <v>113</v>
      </c>
      <c r="M3" s="96" t="s">
        <v>114</v>
      </c>
      <c r="N3" s="39"/>
      <c r="O3" s="96">
        <v>40847</v>
      </c>
      <c r="P3" s="18" t="s">
        <v>100</v>
      </c>
      <c r="Q3" s="18" t="s">
        <v>101</v>
      </c>
      <c r="R3" s="18"/>
      <c r="S3" s="55"/>
      <c r="T3" s="54"/>
      <c r="U3" s="53"/>
    </row>
    <row r="4" spans="1:21" ht="13.5" thickBot="1" x14ac:dyDescent="0.25">
      <c r="A4" s="98" t="s">
        <v>46</v>
      </c>
      <c r="B4" s="17"/>
      <c r="C4" s="20" t="s">
        <v>44</v>
      </c>
      <c r="D4" s="71">
        <v>40543</v>
      </c>
      <c r="E4" s="71"/>
      <c r="F4" s="18" t="s">
        <v>65</v>
      </c>
      <c r="G4" s="18" t="s">
        <v>32</v>
      </c>
      <c r="H4" s="18" t="s">
        <v>34</v>
      </c>
      <c r="I4" s="18"/>
      <c r="J4" s="18" t="s">
        <v>23</v>
      </c>
      <c r="K4" s="18" t="s">
        <v>90</v>
      </c>
      <c r="L4" s="18" t="s">
        <v>8</v>
      </c>
      <c r="M4" s="48" t="s">
        <v>27</v>
      </c>
      <c r="N4" s="19"/>
      <c r="O4" s="18" t="s">
        <v>23</v>
      </c>
      <c r="P4" s="71">
        <v>40847</v>
      </c>
      <c r="Q4" s="71">
        <v>40847</v>
      </c>
      <c r="R4" s="71"/>
      <c r="S4" s="17"/>
      <c r="T4" s="17"/>
      <c r="U4" s="17"/>
    </row>
    <row r="5" spans="1:21" ht="13.5" thickBot="1" x14ac:dyDescent="0.25">
      <c r="A5" s="21"/>
      <c r="B5" s="21"/>
      <c r="C5" s="50" t="s">
        <v>45</v>
      </c>
      <c r="D5" s="99" t="s">
        <v>53</v>
      </c>
      <c r="E5" s="71"/>
      <c r="F5" s="51" t="s">
        <v>4</v>
      </c>
      <c r="G5" s="51" t="s">
        <v>33</v>
      </c>
      <c r="H5" s="51" t="s">
        <v>65</v>
      </c>
      <c r="I5" s="18"/>
      <c r="J5" s="51" t="s">
        <v>56</v>
      </c>
      <c r="K5" s="51" t="s">
        <v>63</v>
      </c>
      <c r="L5" s="51" t="s">
        <v>7</v>
      </c>
      <c r="M5" s="52" t="s">
        <v>7</v>
      </c>
      <c r="N5" s="22"/>
      <c r="O5" s="51" t="s">
        <v>56</v>
      </c>
      <c r="P5" s="99" t="s">
        <v>53</v>
      </c>
      <c r="Q5" s="99" t="s">
        <v>53</v>
      </c>
      <c r="R5" s="99" t="s">
        <v>102</v>
      </c>
      <c r="S5" s="21"/>
      <c r="T5" s="21"/>
      <c r="U5" s="21"/>
    </row>
    <row r="6" spans="1:21" ht="5.25" customHeight="1" x14ac:dyDescent="0.2">
      <c r="E6" s="49"/>
      <c r="F6" s="23"/>
      <c r="G6" s="23"/>
      <c r="H6" s="23"/>
      <c r="I6" s="23"/>
      <c r="J6" s="23"/>
      <c r="L6" s="23"/>
      <c r="M6" s="7"/>
      <c r="N6" s="8"/>
      <c r="O6" s="9"/>
      <c r="P6" s="4"/>
      <c r="Q6" s="9"/>
      <c r="R6" s="9"/>
      <c r="S6" s="4"/>
      <c r="T6" s="4"/>
      <c r="U6" s="4"/>
    </row>
    <row r="7" spans="1:21" x14ac:dyDescent="0.2">
      <c r="A7" s="25" t="s">
        <v>49</v>
      </c>
      <c r="B7" s="25"/>
      <c r="C7" s="70"/>
      <c r="D7" s="28"/>
      <c r="E7" s="1"/>
      <c r="F7" s="27">
        <v>0</v>
      </c>
      <c r="G7" s="2"/>
      <c r="H7" s="2"/>
      <c r="J7" s="2"/>
      <c r="L7" s="2"/>
      <c r="M7" s="2"/>
      <c r="N7" s="32"/>
      <c r="O7" s="32"/>
      <c r="P7" s="28"/>
      <c r="S7" s="31"/>
      <c r="T7" s="31"/>
      <c r="U7" s="31"/>
    </row>
    <row r="8" spans="1:21" x14ac:dyDescent="0.2">
      <c r="A8" s="25" t="s">
        <v>9</v>
      </c>
      <c r="B8" s="25"/>
      <c r="C8" s="25" t="s">
        <v>10</v>
      </c>
      <c r="D8" s="2">
        <v>0</v>
      </c>
      <c r="E8" s="1"/>
      <c r="F8"/>
      <c r="G8" s="69"/>
      <c r="H8" s="2">
        <f>-SUM(F8:G8)</f>
        <v>0</v>
      </c>
      <c r="J8"/>
      <c r="K8"/>
      <c r="L8" s="2">
        <f>H8-J8-K8</f>
        <v>0</v>
      </c>
      <c r="M8" s="2"/>
      <c r="N8" s="32"/>
      <c r="O8" s="32"/>
      <c r="P8" s="2">
        <v>0</v>
      </c>
      <c r="Q8" s="26"/>
      <c r="R8" s="26"/>
      <c r="S8" s="31"/>
      <c r="T8" s="31"/>
      <c r="U8" s="31"/>
    </row>
    <row r="9" spans="1:21" x14ac:dyDescent="0.2">
      <c r="A9" s="25" t="s">
        <v>9</v>
      </c>
      <c r="B9" s="25"/>
      <c r="C9" s="25" t="s">
        <v>11</v>
      </c>
      <c r="D9" s="2">
        <v>0</v>
      </c>
      <c r="E9" s="1"/>
      <c r="F9"/>
      <c r="G9" s="69"/>
      <c r="H9" s="2">
        <f>-SUM(F9:G9)</f>
        <v>0</v>
      </c>
      <c r="J9"/>
      <c r="K9"/>
      <c r="L9" s="2">
        <f t="shared" ref="L9:L21" si="0">H9-J9-K9</f>
        <v>0</v>
      </c>
      <c r="M9" s="2"/>
      <c r="N9" s="2"/>
      <c r="O9" s="1"/>
      <c r="P9" s="2">
        <v>0</v>
      </c>
      <c r="Q9" s="26"/>
      <c r="R9" s="26"/>
      <c r="S9" s="25"/>
      <c r="T9" s="25"/>
      <c r="U9" s="25"/>
    </row>
    <row r="10" spans="1:21" x14ac:dyDescent="0.2">
      <c r="A10" s="25" t="s">
        <v>50</v>
      </c>
      <c r="B10" s="25"/>
      <c r="C10" s="70"/>
      <c r="D10" s="2">
        <v>0</v>
      </c>
      <c r="E10" s="1"/>
      <c r="F10"/>
      <c r="G10" s="2"/>
      <c r="H10" s="2"/>
      <c r="J10"/>
      <c r="K10"/>
      <c r="L10" s="2">
        <f t="shared" si="0"/>
        <v>0</v>
      </c>
      <c r="M10" s="2"/>
      <c r="N10" s="32"/>
      <c r="O10" s="32"/>
      <c r="P10" s="2">
        <v>0</v>
      </c>
      <c r="Q10" s="26"/>
      <c r="R10" s="26"/>
      <c r="S10" s="31"/>
      <c r="T10" s="31"/>
      <c r="U10" s="31"/>
    </row>
    <row r="11" spans="1:21" x14ac:dyDescent="0.2">
      <c r="A11" s="25" t="s">
        <v>9</v>
      </c>
      <c r="B11" s="25"/>
      <c r="C11" s="25" t="s">
        <v>13</v>
      </c>
      <c r="D11" s="2">
        <v>0</v>
      </c>
      <c r="E11" s="1"/>
      <c r="F11"/>
      <c r="G11" s="69"/>
      <c r="H11" s="2">
        <f t="shared" ref="H11:H13" si="1">-SUM(F11:G11)</f>
        <v>0</v>
      </c>
      <c r="J11"/>
      <c r="K11"/>
      <c r="L11" s="2">
        <f t="shared" si="0"/>
        <v>0</v>
      </c>
      <c r="M11" s="2"/>
      <c r="N11" s="26"/>
      <c r="O11" s="26"/>
      <c r="P11" s="2">
        <v>0</v>
      </c>
      <c r="Q11" s="26"/>
      <c r="R11" s="26"/>
      <c r="S11" s="25"/>
      <c r="T11" s="25"/>
      <c r="U11" s="25"/>
    </row>
    <row r="12" spans="1:21" x14ac:dyDescent="0.2">
      <c r="A12" s="25" t="s">
        <v>9</v>
      </c>
      <c r="B12" s="25"/>
      <c r="C12" s="25" t="s">
        <v>12</v>
      </c>
      <c r="D12" s="2">
        <v>0</v>
      </c>
      <c r="E12" s="1"/>
      <c r="F12"/>
      <c r="G12" s="69"/>
      <c r="H12" s="2">
        <f t="shared" si="1"/>
        <v>0</v>
      </c>
      <c r="J12"/>
      <c r="K12"/>
      <c r="L12" s="2">
        <f t="shared" si="0"/>
        <v>0</v>
      </c>
      <c r="M12" s="2"/>
      <c r="N12" s="26"/>
      <c r="O12" s="26"/>
      <c r="P12" s="2">
        <v>0</v>
      </c>
      <c r="Q12" s="26"/>
      <c r="R12" s="26"/>
      <c r="S12" s="25"/>
      <c r="T12" s="25"/>
      <c r="U12" s="25"/>
    </row>
    <row r="13" spans="1:21" x14ac:dyDescent="0.2">
      <c r="A13" s="25" t="s">
        <v>9</v>
      </c>
      <c r="B13" s="25"/>
      <c r="C13" s="25" t="s">
        <v>14</v>
      </c>
      <c r="D13" s="2">
        <v>0</v>
      </c>
      <c r="E13" s="1"/>
      <c r="F13" s="27">
        <v>0</v>
      </c>
      <c r="G13" s="2"/>
      <c r="H13" s="2">
        <f t="shared" si="1"/>
        <v>0</v>
      </c>
      <c r="J13"/>
      <c r="K13"/>
      <c r="L13" s="2">
        <f t="shared" si="0"/>
        <v>0</v>
      </c>
      <c r="M13" s="2"/>
      <c r="N13" s="26"/>
      <c r="O13" s="26"/>
      <c r="P13" s="2">
        <v>0</v>
      </c>
      <c r="Q13" s="26"/>
      <c r="R13" s="26"/>
      <c r="S13" s="25"/>
      <c r="T13" s="25"/>
      <c r="U13" s="25"/>
    </row>
    <row r="14" spans="1:21" x14ac:dyDescent="0.2">
      <c r="A14" s="25" t="s">
        <v>2</v>
      </c>
      <c r="B14" s="25"/>
      <c r="C14" s="25" t="s">
        <v>20</v>
      </c>
      <c r="D14" s="2">
        <v>-59637</v>
      </c>
      <c r="E14" s="1"/>
      <c r="F14" s="27">
        <v>7</v>
      </c>
      <c r="G14" s="2"/>
      <c r="H14" s="2">
        <f t="shared" ref="H14:H21" si="2">-SUM(F14:G14)</f>
        <v>-7</v>
      </c>
      <c r="J14" s="1">
        <v>-6</v>
      </c>
      <c r="L14" s="2">
        <f t="shared" si="0"/>
        <v>-1</v>
      </c>
      <c r="M14" s="2">
        <f>L14</f>
        <v>-1</v>
      </c>
      <c r="N14" s="109" t="s">
        <v>20</v>
      </c>
      <c r="O14" s="1">
        <v>5007.4444444444443</v>
      </c>
      <c r="P14" s="2">
        <f>D14+O14</f>
        <v>-54629.555555555555</v>
      </c>
      <c r="Q14" s="2">
        <v>-54628.47</v>
      </c>
      <c r="R14" s="26">
        <f>Q14-P14</f>
        <v>1.085555555553583</v>
      </c>
      <c r="S14" s="102"/>
      <c r="T14" s="25"/>
      <c r="U14" s="25"/>
    </row>
    <row r="15" spans="1:21" x14ac:dyDescent="0.2">
      <c r="A15" s="25" t="s">
        <v>5</v>
      </c>
      <c r="B15" s="25"/>
      <c r="C15" s="25" t="s">
        <v>22</v>
      </c>
      <c r="D15" s="2">
        <v>145046</v>
      </c>
      <c r="E15" s="1"/>
      <c r="F15" s="27">
        <v>-64683</v>
      </c>
      <c r="G15" s="2"/>
      <c r="H15" s="2">
        <f t="shared" si="2"/>
        <v>64683</v>
      </c>
      <c r="J15" s="1">
        <v>59293</v>
      </c>
      <c r="L15" s="2">
        <f t="shared" si="0"/>
        <v>5390</v>
      </c>
      <c r="M15" s="2">
        <f t="shared" ref="M15:M21" si="3">L15</f>
        <v>5390</v>
      </c>
      <c r="N15" s="109" t="s">
        <v>22</v>
      </c>
      <c r="O15" s="1">
        <v>55103.333333333328</v>
      </c>
      <c r="P15" s="2">
        <f t="shared" ref="P15:P21" si="4">D15+O15</f>
        <v>200149.33333333331</v>
      </c>
      <c r="Q15" s="2">
        <v>200147.1</v>
      </c>
      <c r="R15" s="26">
        <f t="shared" ref="R15:R23" si="5">Q15-P15</f>
        <v>-2.23333333330811</v>
      </c>
      <c r="S15" s="102"/>
      <c r="T15" s="25"/>
      <c r="U15" s="25"/>
    </row>
    <row r="16" spans="1:21" x14ac:dyDescent="0.2">
      <c r="A16" s="25" t="s">
        <v>52</v>
      </c>
      <c r="B16" s="25"/>
      <c r="C16" s="25" t="s">
        <v>21</v>
      </c>
      <c r="D16" s="2">
        <v>-936450</v>
      </c>
      <c r="E16" s="1"/>
      <c r="F16" s="27">
        <v>-77670</v>
      </c>
      <c r="G16" s="2"/>
      <c r="H16" s="2">
        <f t="shared" si="2"/>
        <v>77670</v>
      </c>
      <c r="J16" s="1">
        <v>71198</v>
      </c>
      <c r="L16" s="2">
        <f t="shared" si="0"/>
        <v>6472</v>
      </c>
      <c r="M16" s="2">
        <f t="shared" si="3"/>
        <v>6472</v>
      </c>
      <c r="N16" s="109" t="s">
        <v>21</v>
      </c>
      <c r="O16" s="1">
        <v>64725.111111111109</v>
      </c>
      <c r="P16" s="2">
        <f t="shared" si="4"/>
        <v>-871724.88888888888</v>
      </c>
      <c r="Q16" s="2">
        <v>-871728.12</v>
      </c>
      <c r="R16" s="26">
        <f t="shared" si="5"/>
        <v>-3.2311111111193895</v>
      </c>
      <c r="S16" s="102"/>
      <c r="T16" s="25"/>
      <c r="U16" s="25"/>
    </row>
    <row r="17" spans="1:21" x14ac:dyDescent="0.2">
      <c r="A17" s="28" t="s">
        <v>29</v>
      </c>
      <c r="B17" s="28"/>
      <c r="C17" s="25" t="s">
        <v>17</v>
      </c>
      <c r="D17" s="2">
        <v>-18269982</v>
      </c>
      <c r="E17" s="1"/>
      <c r="F17" s="27">
        <v>9662867</v>
      </c>
      <c r="G17" s="2"/>
      <c r="H17" s="2">
        <f t="shared" si="2"/>
        <v>-9662867</v>
      </c>
      <c r="J17" s="1">
        <v>-8857628</v>
      </c>
      <c r="L17" s="2">
        <f t="shared" si="0"/>
        <v>-805239</v>
      </c>
      <c r="M17" s="2">
        <f t="shared" si="3"/>
        <v>-805239</v>
      </c>
      <c r="N17" s="109" t="s">
        <v>17</v>
      </c>
      <c r="O17" s="1">
        <v>-16187345.888888888</v>
      </c>
      <c r="P17" s="2">
        <f t="shared" si="4"/>
        <v>-34457327.888888888</v>
      </c>
      <c r="Q17" s="2">
        <v>-32648330.530000001</v>
      </c>
      <c r="R17" s="26">
        <f t="shared" si="5"/>
        <v>1808997.3588888869</v>
      </c>
      <c r="S17" s="102"/>
      <c r="T17" s="25"/>
      <c r="U17" s="25"/>
    </row>
    <row r="18" spans="1:21" x14ac:dyDescent="0.2">
      <c r="A18" s="28" t="s">
        <v>30</v>
      </c>
      <c r="B18" s="28"/>
      <c r="C18" s="25" t="s">
        <v>18</v>
      </c>
      <c r="D18" s="2">
        <v>-1761777</v>
      </c>
      <c r="E18" s="1"/>
      <c r="F18" s="27">
        <v>72378</v>
      </c>
      <c r="G18" s="2"/>
      <c r="H18" s="2">
        <f t="shared" si="2"/>
        <v>-72378</v>
      </c>
      <c r="J18" s="1">
        <v>-66347</v>
      </c>
      <c r="L18" s="2">
        <f t="shared" si="0"/>
        <v>-6031</v>
      </c>
      <c r="M18" s="2">
        <f t="shared" si="3"/>
        <v>-6031</v>
      </c>
      <c r="N18" s="109" t="s">
        <v>18</v>
      </c>
      <c r="O18" s="1">
        <v>-60315.111111111109</v>
      </c>
      <c r="P18" s="2">
        <f t="shared" si="4"/>
        <v>-1822092.111111111</v>
      </c>
      <c r="Q18" s="2">
        <v>-1822089.33</v>
      </c>
      <c r="R18" s="26">
        <f t="shared" si="5"/>
        <v>2.781111110933125</v>
      </c>
      <c r="S18" s="102"/>
      <c r="T18" s="25"/>
      <c r="U18" s="25"/>
    </row>
    <row r="19" spans="1:21" x14ac:dyDescent="0.2">
      <c r="A19" s="4" t="s">
        <v>28</v>
      </c>
      <c r="B19" s="46"/>
      <c r="C19" s="32" t="s">
        <v>16</v>
      </c>
      <c r="D19" s="2">
        <v>-262312309</v>
      </c>
      <c r="E19" s="2"/>
      <c r="F19" s="27">
        <v>12895401</v>
      </c>
      <c r="G19" s="2">
        <f>D35</f>
        <v>0</v>
      </c>
      <c r="H19" s="2">
        <f t="shared" si="2"/>
        <v>-12895401</v>
      </c>
      <c r="J19" s="1">
        <v>-11820784</v>
      </c>
      <c r="L19" s="2">
        <f t="shared" si="0"/>
        <v>-1074617</v>
      </c>
      <c r="M19" s="2">
        <f t="shared" si="3"/>
        <v>-1074617</v>
      </c>
      <c r="N19" s="110" t="s">
        <v>16</v>
      </c>
      <c r="O19" s="1">
        <v>-6750405.8888888881</v>
      </c>
      <c r="P19" s="2">
        <f t="shared" si="4"/>
        <v>-269062714.8888889</v>
      </c>
      <c r="Q19" s="2">
        <v>-270063064.10000002</v>
      </c>
      <c r="R19" s="26">
        <f t="shared" si="5"/>
        <v>-1000349.2111111283</v>
      </c>
      <c r="S19" s="102"/>
      <c r="T19" s="25"/>
      <c r="U19" s="25"/>
    </row>
    <row r="20" spans="1:21" x14ac:dyDescent="0.2">
      <c r="A20" s="47" t="s">
        <v>26</v>
      </c>
      <c r="B20" s="28"/>
      <c r="C20" s="36" t="s">
        <v>19</v>
      </c>
      <c r="D20" s="2">
        <v>-55945310</v>
      </c>
      <c r="E20" s="40"/>
      <c r="F20" s="27">
        <v>2956459</v>
      </c>
      <c r="G20" s="2">
        <f>D36</f>
        <v>0</v>
      </c>
      <c r="H20" s="2">
        <f t="shared" si="2"/>
        <v>-2956459</v>
      </c>
      <c r="J20" s="1">
        <v>-2699599</v>
      </c>
      <c r="L20" s="2">
        <f t="shared" si="0"/>
        <v>-256860</v>
      </c>
      <c r="M20" s="2">
        <f t="shared" si="3"/>
        <v>-256860</v>
      </c>
      <c r="N20" s="109" t="s">
        <v>19</v>
      </c>
      <c r="O20" s="1">
        <v>-3336829.222222222</v>
      </c>
      <c r="P20" s="2">
        <f t="shared" si="4"/>
        <v>-59282139.222222224</v>
      </c>
      <c r="Q20" s="2">
        <v>-59925613.509999998</v>
      </c>
      <c r="R20" s="26">
        <f t="shared" si="5"/>
        <v>-643474.28777777404</v>
      </c>
      <c r="S20" s="102"/>
      <c r="T20" s="25"/>
      <c r="U20" s="25"/>
    </row>
    <row r="21" spans="1:21" x14ac:dyDescent="0.2">
      <c r="A21" s="26" t="s">
        <v>47</v>
      </c>
      <c r="B21" s="26"/>
      <c r="C21" s="26" t="s">
        <v>24</v>
      </c>
      <c r="D21" s="2">
        <v>-29570004</v>
      </c>
      <c r="E21" s="1"/>
      <c r="F21" s="27">
        <v>2311022</v>
      </c>
      <c r="G21" s="2">
        <f>D37</f>
        <v>0</v>
      </c>
      <c r="H21" s="2">
        <f t="shared" si="2"/>
        <v>-2311022</v>
      </c>
      <c r="J21" s="1">
        <v>-2116271</v>
      </c>
      <c r="L21" s="2">
        <f t="shared" si="0"/>
        <v>-194751</v>
      </c>
      <c r="M21" s="2">
        <f t="shared" si="3"/>
        <v>-194751</v>
      </c>
      <c r="N21" s="111" t="s">
        <v>24</v>
      </c>
      <c r="O21" s="1">
        <v>-1813659.222222222</v>
      </c>
      <c r="P21" s="2">
        <f t="shared" si="4"/>
        <v>-31383663.222222224</v>
      </c>
      <c r="Q21" s="2">
        <v>-31598155.469999999</v>
      </c>
      <c r="R21" s="26">
        <f t="shared" si="5"/>
        <v>-214492.24777777493</v>
      </c>
      <c r="S21" s="102"/>
      <c r="T21" s="25"/>
      <c r="U21" s="25"/>
    </row>
    <row r="22" spans="1:21" x14ac:dyDescent="0.2">
      <c r="A22" s="25"/>
      <c r="B22" s="25"/>
      <c r="C22" s="35"/>
      <c r="D22" s="2"/>
      <c r="E22" s="72"/>
      <c r="F22" s="2"/>
      <c r="G22" s="2"/>
      <c r="H22" s="2"/>
      <c r="J22" s="2"/>
      <c r="L22" s="2"/>
      <c r="M22" s="2"/>
      <c r="N22" s="26"/>
      <c r="O22" s="26"/>
      <c r="P22" s="2"/>
      <c r="Q22" s="25"/>
      <c r="R22" s="26">
        <f t="shared" si="5"/>
        <v>0</v>
      </c>
      <c r="S22" s="25"/>
      <c r="U22" s="25"/>
    </row>
    <row r="23" spans="1:21" x14ac:dyDescent="0.2">
      <c r="A23" s="25" t="s">
        <v>6</v>
      </c>
      <c r="B23" s="26"/>
      <c r="C23" s="26"/>
      <c r="D23" s="45">
        <f>SUM(D8:D22)</f>
        <v>-368710423</v>
      </c>
      <c r="E23" s="2"/>
      <c r="F23" s="45">
        <f>SUM(F7:F22)-F7-F10</f>
        <v>27755781</v>
      </c>
      <c r="G23" s="45">
        <f>SUM(G8:G22)</f>
        <v>0</v>
      </c>
      <c r="H23" s="45">
        <f>SUM(H8:H22)</f>
        <v>-27755781</v>
      </c>
      <c r="J23" s="45">
        <f>SUM(J8:J22)</f>
        <v>-25430144</v>
      </c>
      <c r="K23" s="45">
        <f>SUM(K8:K22)</f>
        <v>0</v>
      </c>
      <c r="L23" s="45">
        <f>SUM(L8:L22)</f>
        <v>-2325637</v>
      </c>
      <c r="M23" s="45">
        <f>SUM(M8:M22)</f>
        <v>-2325637</v>
      </c>
      <c r="N23" s="26"/>
      <c r="O23" s="26">
        <f>SUM(O14:O22)</f>
        <v>-28023719.444444448</v>
      </c>
      <c r="P23" s="45">
        <f>SUM(P8:P22)</f>
        <v>-396734142.44444442</v>
      </c>
      <c r="Q23" s="45">
        <f>SUM(Q8:Q22)</f>
        <v>-396783462.43000007</v>
      </c>
      <c r="R23" s="26">
        <f t="shared" si="5"/>
        <v>-49319.985555648804</v>
      </c>
      <c r="S23" s="45"/>
      <c r="U23" s="25"/>
    </row>
    <row r="24" spans="1:21" x14ac:dyDescent="0.2">
      <c r="A24" s="24" t="s">
        <v>43</v>
      </c>
      <c r="D24" s="26"/>
      <c r="E24" s="1"/>
      <c r="F24" s="56"/>
      <c r="H24" s="5">
        <f>ROUND(F24+H23,0)</f>
        <v>-27755781</v>
      </c>
      <c r="L24" s="7">
        <f>J23+K23+L23-H23</f>
        <v>0</v>
      </c>
      <c r="M24" s="6"/>
      <c r="N24" s="6"/>
      <c r="O24" s="8"/>
      <c r="P24" s="8"/>
      <c r="Q24" s="8"/>
      <c r="R24" s="8"/>
      <c r="S24" s="9"/>
      <c r="U24" s="4"/>
    </row>
    <row r="25" spans="1:21" ht="13.5" thickBot="1" x14ac:dyDescent="0.25">
      <c r="A25" s="24"/>
      <c r="D25" s="26"/>
      <c r="K25" s="7"/>
      <c r="L25" s="6"/>
      <c r="M25" s="6"/>
      <c r="N25" s="6"/>
      <c r="O25" s="8"/>
      <c r="P25" s="8"/>
      <c r="Q25" s="103" t="s">
        <v>103</v>
      </c>
      <c r="R25" s="104"/>
      <c r="S25" s="9"/>
      <c r="T25" s="25"/>
      <c r="U25" s="4"/>
    </row>
    <row r="26" spans="1:21" ht="13.5" thickBot="1" x14ac:dyDescent="0.25">
      <c r="A26" s="24"/>
      <c r="H26" s="200" t="s">
        <v>109</v>
      </c>
      <c r="I26" s="201"/>
      <c r="J26" s="201"/>
      <c r="K26" s="201"/>
      <c r="L26" s="202"/>
      <c r="M26" s="6"/>
      <c r="O26" s="6"/>
      <c r="Q26" s="105" t="s">
        <v>104</v>
      </c>
      <c r="R26" s="106"/>
      <c r="S26" s="8"/>
      <c r="T26" s="25"/>
      <c r="U26" s="9"/>
    </row>
    <row r="27" spans="1:21" ht="13.5" thickBot="1" x14ac:dyDescent="0.25">
      <c r="A27" s="24"/>
      <c r="H27" s="200" t="s">
        <v>96</v>
      </c>
      <c r="I27" s="201"/>
      <c r="J27" s="201"/>
      <c r="K27" s="201"/>
      <c r="L27" s="202"/>
      <c r="M27" s="7"/>
      <c r="N27" s="6"/>
      <c r="O27" s="6"/>
      <c r="Q27" s="105" t="s">
        <v>105</v>
      </c>
      <c r="R27" s="106"/>
      <c r="S27" s="8"/>
      <c r="T27" s="25"/>
      <c r="U27" s="9"/>
    </row>
    <row r="28" spans="1:21" x14ac:dyDescent="0.2">
      <c r="A28" s="24"/>
      <c r="H28" s="75"/>
      <c r="I28" s="18"/>
      <c r="J28" s="18"/>
      <c r="K28" s="18"/>
      <c r="L28" s="76"/>
      <c r="N28" s="6"/>
      <c r="O28" s="7"/>
      <c r="Q28" s="107" t="s">
        <v>106</v>
      </c>
      <c r="R28" s="108"/>
      <c r="T28" s="8"/>
      <c r="U28" s="8"/>
    </row>
    <row r="29" spans="1:21" x14ac:dyDescent="0.2">
      <c r="A29" s="57"/>
      <c r="B29" s="57"/>
      <c r="C29" s="57"/>
      <c r="D29" s="57"/>
      <c r="E29" s="57"/>
      <c r="F29" s="58"/>
      <c r="H29" s="77" t="s">
        <v>35</v>
      </c>
      <c r="I29" s="38"/>
      <c r="J29" s="38"/>
      <c r="K29" s="20" t="s">
        <v>44</v>
      </c>
      <c r="L29" s="78"/>
    </row>
    <row r="30" spans="1:21" ht="13.5" thickBot="1" x14ac:dyDescent="0.25">
      <c r="A30" s="59"/>
      <c r="B30" s="57"/>
      <c r="C30" s="57"/>
      <c r="D30" s="57"/>
      <c r="E30" s="57"/>
      <c r="F30" s="56"/>
      <c r="H30" s="79" t="s">
        <v>42</v>
      </c>
      <c r="I30" s="44"/>
      <c r="J30" s="38"/>
      <c r="K30" s="50" t="s">
        <v>45</v>
      </c>
      <c r="L30" s="78"/>
      <c r="N30" s="34"/>
      <c r="O30" s="34"/>
      <c r="P30" s="5"/>
      <c r="Q30" s="5"/>
      <c r="R30" s="5"/>
      <c r="T30" s="7"/>
    </row>
    <row r="31" spans="1:21" x14ac:dyDescent="0.2">
      <c r="A31" s="59"/>
      <c r="B31" s="57"/>
      <c r="C31" s="57"/>
      <c r="D31" s="57"/>
      <c r="E31" s="57"/>
      <c r="F31" s="56"/>
      <c r="H31" s="80" t="s">
        <v>38</v>
      </c>
      <c r="I31" s="38"/>
      <c r="J31" s="90">
        <f>-M8</f>
        <v>0</v>
      </c>
      <c r="K31" s="26" t="s">
        <v>10</v>
      </c>
      <c r="L31" s="91">
        <f>M8</f>
        <v>0</v>
      </c>
      <c r="P31" s="5"/>
      <c r="Q31" s="5"/>
      <c r="R31" s="5"/>
      <c r="T31" s="7"/>
    </row>
    <row r="32" spans="1:21" x14ac:dyDescent="0.2">
      <c r="A32" s="59"/>
      <c r="B32" s="57"/>
      <c r="C32" s="57"/>
      <c r="D32" s="57"/>
      <c r="E32" s="57"/>
      <c r="F32" s="56"/>
      <c r="H32" s="80" t="s">
        <v>38</v>
      </c>
      <c r="I32" s="43"/>
      <c r="J32" s="42">
        <f>-M9</f>
        <v>0</v>
      </c>
      <c r="K32" s="26" t="s">
        <v>11</v>
      </c>
      <c r="L32" s="78">
        <f>M9</f>
        <v>0</v>
      </c>
      <c r="P32" s="5"/>
      <c r="Q32" s="5"/>
      <c r="R32" s="5"/>
      <c r="T32" s="7"/>
    </row>
    <row r="33" spans="1:20" x14ac:dyDescent="0.2">
      <c r="A33" s="60"/>
      <c r="B33" s="60"/>
      <c r="C33" s="60"/>
      <c r="D33" s="60"/>
      <c r="E33" s="60"/>
      <c r="F33" s="61"/>
      <c r="H33" s="81" t="s">
        <v>15</v>
      </c>
      <c r="I33" s="43"/>
      <c r="J33" s="42">
        <f t="shared" ref="J33:J43" si="6">-M11</f>
        <v>0</v>
      </c>
      <c r="K33" s="26" t="s">
        <v>13</v>
      </c>
      <c r="L33" s="78">
        <f t="shared" ref="L33:L43" si="7">M11</f>
        <v>0</v>
      </c>
      <c r="P33" s="5"/>
      <c r="Q33" s="5"/>
      <c r="R33" s="5"/>
      <c r="T33" s="7"/>
    </row>
    <row r="34" spans="1:20" x14ac:dyDescent="0.2">
      <c r="A34" s="100"/>
      <c r="B34" s="60"/>
      <c r="C34" s="62"/>
      <c r="D34" s="62"/>
      <c r="E34" s="62"/>
      <c r="F34" s="62"/>
      <c r="H34" s="81" t="s">
        <v>15</v>
      </c>
      <c r="I34" s="38"/>
      <c r="J34" s="42">
        <f t="shared" si="6"/>
        <v>0</v>
      </c>
      <c r="K34" s="26" t="s">
        <v>12</v>
      </c>
      <c r="L34" s="78">
        <f t="shared" si="7"/>
        <v>0</v>
      </c>
      <c r="P34" s="5"/>
      <c r="Q34" s="5"/>
      <c r="R34" s="5"/>
      <c r="T34" s="7"/>
    </row>
    <row r="35" spans="1:20" x14ac:dyDescent="0.2">
      <c r="A35" s="60"/>
      <c r="B35" s="60"/>
      <c r="C35" s="97"/>
      <c r="D35" s="66"/>
      <c r="E35" s="63"/>
      <c r="F35" s="58"/>
      <c r="H35" s="81" t="s">
        <v>25</v>
      </c>
      <c r="I35" s="38"/>
      <c r="J35" s="42">
        <f t="shared" si="6"/>
        <v>0</v>
      </c>
      <c r="K35" s="26" t="s">
        <v>14</v>
      </c>
      <c r="L35" s="78">
        <f t="shared" si="7"/>
        <v>0</v>
      </c>
      <c r="P35" s="5"/>
      <c r="Q35" s="5"/>
      <c r="R35" s="5"/>
      <c r="T35" s="7"/>
    </row>
    <row r="36" spans="1:20" x14ac:dyDescent="0.2">
      <c r="A36" s="60"/>
      <c r="B36" s="60"/>
      <c r="C36" s="97"/>
      <c r="D36" s="66"/>
      <c r="E36" s="63"/>
      <c r="F36" s="58"/>
      <c r="H36" s="81" t="s">
        <v>41</v>
      </c>
      <c r="I36" s="38"/>
      <c r="J36" s="42">
        <f t="shared" si="6"/>
        <v>1</v>
      </c>
      <c r="K36" s="26" t="s">
        <v>20</v>
      </c>
      <c r="L36" s="78">
        <f t="shared" si="7"/>
        <v>-1</v>
      </c>
      <c r="P36" s="5"/>
      <c r="Q36" s="5"/>
      <c r="R36" s="5"/>
      <c r="T36" s="7"/>
    </row>
    <row r="37" spans="1:20" x14ac:dyDescent="0.2">
      <c r="A37" s="60"/>
      <c r="B37" s="60"/>
      <c r="C37" s="97"/>
      <c r="D37" s="66"/>
      <c r="E37" s="63"/>
      <c r="F37" s="58"/>
      <c r="H37" s="81" t="s">
        <v>41</v>
      </c>
      <c r="I37" s="43"/>
      <c r="J37" s="42">
        <f t="shared" si="6"/>
        <v>-5390</v>
      </c>
      <c r="K37" s="26" t="s">
        <v>22</v>
      </c>
      <c r="L37" s="78">
        <f t="shared" si="7"/>
        <v>5390</v>
      </c>
      <c r="P37" s="5"/>
      <c r="Q37" s="5"/>
      <c r="R37" s="5"/>
      <c r="T37" s="7"/>
    </row>
    <row r="38" spans="1:20" x14ac:dyDescent="0.2">
      <c r="A38" s="60"/>
      <c r="B38" s="60"/>
      <c r="C38" s="95"/>
      <c r="D38" s="64"/>
      <c r="E38" s="67"/>
      <c r="F38" s="58"/>
      <c r="H38" s="81" t="s">
        <v>41</v>
      </c>
      <c r="I38" s="38"/>
      <c r="J38" s="42">
        <f t="shared" si="6"/>
        <v>-6472</v>
      </c>
      <c r="K38" s="26" t="s">
        <v>21</v>
      </c>
      <c r="L38" s="78">
        <f t="shared" si="7"/>
        <v>6472</v>
      </c>
      <c r="P38" s="5"/>
      <c r="Q38" s="5"/>
      <c r="R38" s="5"/>
      <c r="T38" s="7"/>
    </row>
    <row r="39" spans="1:20" x14ac:dyDescent="0.2">
      <c r="A39" s="60"/>
      <c r="B39" s="60"/>
      <c r="C39" s="65"/>
      <c r="D39" s="66"/>
      <c r="E39" s="66"/>
      <c r="F39" s="58"/>
      <c r="H39" s="80" t="s">
        <v>36</v>
      </c>
      <c r="I39" s="38"/>
      <c r="J39" s="42">
        <f t="shared" si="6"/>
        <v>805239</v>
      </c>
      <c r="K39" s="26" t="s">
        <v>17</v>
      </c>
      <c r="L39" s="78">
        <f t="shared" si="7"/>
        <v>-805239</v>
      </c>
      <c r="P39" s="5"/>
      <c r="Q39" s="5"/>
      <c r="R39" s="5"/>
      <c r="T39" s="7"/>
    </row>
    <row r="40" spans="1:20" x14ac:dyDescent="0.2">
      <c r="A40" s="49"/>
      <c r="B40" s="49"/>
      <c r="C40" s="93"/>
      <c r="D40" s="94"/>
      <c r="E40" s="94"/>
      <c r="H40" s="80" t="s">
        <v>37</v>
      </c>
      <c r="I40" s="38"/>
      <c r="J40" s="42">
        <f t="shared" si="6"/>
        <v>6031</v>
      </c>
      <c r="K40" s="26" t="s">
        <v>18</v>
      </c>
      <c r="L40" s="78">
        <f t="shared" si="7"/>
        <v>-6031</v>
      </c>
      <c r="P40" s="5"/>
      <c r="Q40" s="5"/>
      <c r="R40" s="5"/>
      <c r="T40" s="7"/>
    </row>
    <row r="41" spans="1:20" x14ac:dyDescent="0.2">
      <c r="A41" s="49"/>
      <c r="B41" s="49"/>
      <c r="C41" s="93"/>
      <c r="D41" s="94"/>
      <c r="E41" s="94"/>
      <c r="H41" s="82" t="s">
        <v>38</v>
      </c>
      <c r="I41" s="38"/>
      <c r="J41" s="42">
        <f t="shared" si="6"/>
        <v>1074617</v>
      </c>
      <c r="K41" s="32" t="s">
        <v>16</v>
      </c>
      <c r="L41" s="78">
        <f t="shared" si="7"/>
        <v>-1074617</v>
      </c>
      <c r="P41" s="5"/>
      <c r="Q41" s="5"/>
      <c r="R41" s="5"/>
      <c r="T41" s="7"/>
    </row>
    <row r="42" spans="1:20" x14ac:dyDescent="0.2">
      <c r="A42" s="49"/>
      <c r="B42" s="49"/>
      <c r="C42" s="93"/>
      <c r="D42" s="94"/>
      <c r="E42" s="94"/>
      <c r="H42" s="83" t="s">
        <v>39</v>
      </c>
      <c r="I42" s="33"/>
      <c r="J42" s="42">
        <f t="shared" si="6"/>
        <v>256860</v>
      </c>
      <c r="K42" s="84" t="s">
        <v>19</v>
      </c>
      <c r="L42" s="78">
        <f t="shared" si="7"/>
        <v>-256860</v>
      </c>
      <c r="P42" s="5"/>
      <c r="Q42" s="5"/>
      <c r="R42" s="5"/>
      <c r="T42" s="7"/>
    </row>
    <row r="43" spans="1:20" ht="13.5" thickBot="1" x14ac:dyDescent="0.25">
      <c r="A43" s="49"/>
      <c r="B43" s="49"/>
      <c r="C43" s="93"/>
      <c r="D43" s="94"/>
      <c r="E43" s="94"/>
      <c r="H43" s="85" t="s">
        <v>40</v>
      </c>
      <c r="I43" s="86"/>
      <c r="J43" s="87">
        <f t="shared" si="6"/>
        <v>194751</v>
      </c>
      <c r="K43" s="88" t="s">
        <v>24</v>
      </c>
      <c r="L43" s="89">
        <f t="shared" si="7"/>
        <v>-194751</v>
      </c>
      <c r="P43" s="5"/>
      <c r="Q43" s="5"/>
      <c r="R43" s="5"/>
      <c r="T43" s="7"/>
    </row>
    <row r="44" spans="1:20" x14ac:dyDescent="0.2">
      <c r="A44" s="49"/>
      <c r="B44" s="49"/>
      <c r="C44" s="93"/>
      <c r="D44" s="94"/>
      <c r="E44" s="94"/>
      <c r="H44" s="73" t="s">
        <v>51</v>
      </c>
      <c r="I44" s="37"/>
      <c r="J44" s="74">
        <f>SUM(J31:J43)+SUM(L31:L43)</f>
        <v>0</v>
      </c>
      <c r="L44" s="5">
        <f>SUM(L31:L43)</f>
        <v>-2325637</v>
      </c>
      <c r="P44" s="5"/>
      <c r="Q44" s="5"/>
      <c r="R44" s="5"/>
      <c r="T44" s="7"/>
    </row>
    <row r="45" spans="1:20" x14ac:dyDescent="0.2">
      <c r="A45" s="49"/>
      <c r="B45" s="49"/>
      <c r="C45" s="93"/>
      <c r="D45" s="94"/>
      <c r="E45" s="94"/>
      <c r="H45" s="38"/>
      <c r="I45" s="38"/>
      <c r="P45" s="5"/>
      <c r="Q45" s="5"/>
      <c r="R45" s="5"/>
      <c r="T45" s="7"/>
    </row>
    <row r="46" spans="1:20" ht="13.5" thickBot="1" x14ac:dyDescent="0.25">
      <c r="A46" s="49"/>
      <c r="B46" s="49"/>
      <c r="C46" s="93"/>
      <c r="D46" s="94"/>
      <c r="E46" s="94"/>
      <c r="H46" s="38"/>
      <c r="I46" s="38"/>
      <c r="P46" s="5"/>
      <c r="Q46" s="5"/>
      <c r="R46" s="5"/>
      <c r="S46" s="7"/>
    </row>
    <row r="47" spans="1:20" ht="13.5" thickBot="1" x14ac:dyDescent="0.25">
      <c r="A47" s="49"/>
      <c r="B47" s="49"/>
      <c r="C47" s="93"/>
      <c r="D47" s="94"/>
      <c r="E47" s="94"/>
      <c r="H47" s="200" t="s">
        <v>108</v>
      </c>
      <c r="I47" s="201"/>
      <c r="J47" s="201"/>
      <c r="K47" s="201"/>
      <c r="L47" s="202"/>
      <c r="P47" s="5"/>
      <c r="Q47" s="5"/>
      <c r="R47" s="5"/>
      <c r="S47" s="7"/>
    </row>
    <row r="48" spans="1:20" ht="13.5" thickBot="1" x14ac:dyDescent="0.25">
      <c r="A48" s="49"/>
      <c r="B48" s="49"/>
      <c r="C48" s="93"/>
      <c r="D48" s="94"/>
      <c r="E48" s="94"/>
      <c r="H48" s="200" t="s">
        <v>96</v>
      </c>
      <c r="I48" s="201"/>
      <c r="J48" s="201"/>
      <c r="K48" s="201"/>
      <c r="L48" s="202"/>
      <c r="P48" s="5"/>
      <c r="Q48" s="5"/>
      <c r="R48" s="5"/>
      <c r="S48" s="7"/>
    </row>
    <row r="49" spans="1:12" x14ac:dyDescent="0.2">
      <c r="A49" s="29"/>
      <c r="B49" s="29"/>
      <c r="C49" s="29"/>
      <c r="D49" s="29"/>
      <c r="E49" s="29"/>
      <c r="H49" s="75"/>
      <c r="I49" s="18"/>
      <c r="J49" s="18"/>
      <c r="K49" s="18"/>
      <c r="L49" s="76"/>
    </row>
    <row r="50" spans="1:12" x14ac:dyDescent="0.2">
      <c r="A50" s="29"/>
      <c r="B50" s="29"/>
      <c r="C50" s="29"/>
      <c r="D50" s="29"/>
      <c r="E50" s="29"/>
      <c r="H50" s="77" t="s">
        <v>35</v>
      </c>
      <c r="I50" s="38"/>
      <c r="J50" s="38"/>
      <c r="K50" s="20" t="s">
        <v>44</v>
      </c>
      <c r="L50" s="78"/>
    </row>
    <row r="51" spans="1:12" ht="13.5" thickBot="1" x14ac:dyDescent="0.25">
      <c r="H51" s="79" t="s">
        <v>42</v>
      </c>
      <c r="I51" s="44"/>
      <c r="J51" s="38"/>
      <c r="K51" s="50" t="s">
        <v>45</v>
      </c>
      <c r="L51" s="78"/>
    </row>
    <row r="52" spans="1:12" x14ac:dyDescent="0.2">
      <c r="A52" s="29"/>
      <c r="B52" s="29"/>
      <c r="H52" s="80" t="s">
        <v>38</v>
      </c>
      <c r="I52" s="38"/>
      <c r="J52" s="90">
        <f>-K8</f>
        <v>0</v>
      </c>
      <c r="K52" s="26" t="s">
        <v>10</v>
      </c>
      <c r="L52" s="91">
        <f>K8</f>
        <v>0</v>
      </c>
    </row>
    <row r="53" spans="1:12" x14ac:dyDescent="0.2">
      <c r="H53" s="80" t="s">
        <v>38</v>
      </c>
      <c r="I53" s="43"/>
      <c r="J53" s="42">
        <f>-K9</f>
        <v>0</v>
      </c>
      <c r="K53" s="26" t="s">
        <v>11</v>
      </c>
      <c r="L53" s="78">
        <f>K9</f>
        <v>0</v>
      </c>
    </row>
    <row r="54" spans="1:12" x14ac:dyDescent="0.2">
      <c r="A54" s="29"/>
      <c r="B54" s="29"/>
      <c r="H54" s="81" t="s">
        <v>15</v>
      </c>
      <c r="I54" s="43"/>
      <c r="J54" s="42">
        <f>-K11</f>
        <v>0</v>
      </c>
      <c r="K54" s="26" t="s">
        <v>13</v>
      </c>
      <c r="L54" s="78">
        <f>K11</f>
        <v>0</v>
      </c>
    </row>
    <row r="55" spans="1:12" x14ac:dyDescent="0.2">
      <c r="H55" s="81" t="s">
        <v>15</v>
      </c>
      <c r="I55" s="38"/>
      <c r="J55" s="42">
        <f t="shared" ref="J55:J64" si="8">-K12</f>
        <v>0</v>
      </c>
      <c r="K55" s="26" t="s">
        <v>12</v>
      </c>
      <c r="L55" s="78">
        <f t="shared" ref="L55:L64" si="9">K12</f>
        <v>0</v>
      </c>
    </row>
    <row r="56" spans="1:12" x14ac:dyDescent="0.2">
      <c r="H56" s="81" t="s">
        <v>25</v>
      </c>
      <c r="I56" s="38"/>
      <c r="J56" s="42">
        <f t="shared" si="8"/>
        <v>0</v>
      </c>
      <c r="K56" s="26" t="s">
        <v>14</v>
      </c>
      <c r="L56" s="78">
        <f t="shared" si="9"/>
        <v>0</v>
      </c>
    </row>
    <row r="57" spans="1:12" x14ac:dyDescent="0.2">
      <c r="H57" s="81" t="s">
        <v>41</v>
      </c>
      <c r="I57" s="38"/>
      <c r="J57" s="42">
        <f t="shared" si="8"/>
        <v>0</v>
      </c>
      <c r="K57" s="26" t="s">
        <v>20</v>
      </c>
      <c r="L57" s="78">
        <f t="shared" si="9"/>
        <v>0</v>
      </c>
    </row>
    <row r="58" spans="1:12" x14ac:dyDescent="0.2">
      <c r="H58" s="81" t="s">
        <v>41</v>
      </c>
      <c r="I58" s="43"/>
      <c r="J58" s="42">
        <f t="shared" si="8"/>
        <v>0</v>
      </c>
      <c r="K58" s="26" t="s">
        <v>22</v>
      </c>
      <c r="L58" s="78">
        <f t="shared" si="9"/>
        <v>0</v>
      </c>
    </row>
    <row r="59" spans="1:12" x14ac:dyDescent="0.2">
      <c r="H59" s="81" t="s">
        <v>41</v>
      </c>
      <c r="I59" s="38"/>
      <c r="J59" s="42">
        <f t="shared" si="8"/>
        <v>0</v>
      </c>
      <c r="K59" s="26" t="s">
        <v>21</v>
      </c>
      <c r="L59" s="78">
        <f t="shared" si="9"/>
        <v>0</v>
      </c>
    </row>
    <row r="60" spans="1:12" x14ac:dyDescent="0.2">
      <c r="H60" s="80" t="s">
        <v>36</v>
      </c>
      <c r="I60" s="38"/>
      <c r="J60" s="42">
        <f t="shared" si="8"/>
        <v>0</v>
      </c>
      <c r="K60" s="26" t="s">
        <v>17</v>
      </c>
      <c r="L60" s="78">
        <f t="shared" si="9"/>
        <v>0</v>
      </c>
    </row>
    <row r="61" spans="1:12" x14ac:dyDescent="0.2">
      <c r="H61" s="80" t="s">
        <v>37</v>
      </c>
      <c r="I61" s="38"/>
      <c r="J61" s="42">
        <f t="shared" si="8"/>
        <v>0</v>
      </c>
      <c r="K61" s="26" t="s">
        <v>18</v>
      </c>
      <c r="L61" s="78">
        <f t="shared" si="9"/>
        <v>0</v>
      </c>
    </row>
    <row r="62" spans="1:12" x14ac:dyDescent="0.2">
      <c r="H62" s="82" t="s">
        <v>38</v>
      </c>
      <c r="I62" s="38"/>
      <c r="J62" s="42">
        <f t="shared" si="8"/>
        <v>0</v>
      </c>
      <c r="K62" s="32" t="s">
        <v>16</v>
      </c>
      <c r="L62" s="78">
        <f t="shared" si="9"/>
        <v>0</v>
      </c>
    </row>
    <row r="63" spans="1:12" x14ac:dyDescent="0.2">
      <c r="H63" s="83" t="s">
        <v>39</v>
      </c>
      <c r="I63" s="33"/>
      <c r="J63" s="42">
        <f t="shared" si="8"/>
        <v>0</v>
      </c>
      <c r="K63" s="84" t="s">
        <v>19</v>
      </c>
      <c r="L63" s="78">
        <f t="shared" si="9"/>
        <v>0</v>
      </c>
    </row>
    <row r="64" spans="1:12" ht="13.5" thickBot="1" x14ac:dyDescent="0.25">
      <c r="H64" s="85" t="s">
        <v>40</v>
      </c>
      <c r="I64" s="86"/>
      <c r="J64" s="87">
        <f t="shared" si="8"/>
        <v>0</v>
      </c>
      <c r="K64" s="88" t="s">
        <v>24</v>
      </c>
      <c r="L64" s="89">
        <f t="shared" si="9"/>
        <v>0</v>
      </c>
    </row>
    <row r="65" spans="8:12" x14ac:dyDescent="0.2">
      <c r="H65" s="73" t="s">
        <v>51</v>
      </c>
      <c r="I65" s="37"/>
      <c r="J65" s="74">
        <f>SUM(J52:J64)+SUM(L52:L64)</f>
        <v>0</v>
      </c>
      <c r="L65" s="5">
        <f>SUM(L52:L64)</f>
        <v>0</v>
      </c>
    </row>
  </sheetData>
  <mergeCells count="4">
    <mergeCell ref="H26:L26"/>
    <mergeCell ref="H27:L27"/>
    <mergeCell ref="H47:L47"/>
    <mergeCell ref="H48:L48"/>
  </mergeCells>
  <conditionalFormatting sqref="M24 H24">
    <cfRule type="cellIs" dxfId="5" priority="1" stopIfTrue="1" operator="notBetween">
      <formula>-1</formula>
      <formula>1</formula>
    </cfRule>
  </conditionalFormatting>
  <pageMargins left="0.7" right="0.7" top="0.75" bottom="0.75" header="0.3" footer="0.3"/>
  <pageSetup scale="6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65"/>
  <sheetViews>
    <sheetView zoomScale="80" zoomScaleNormal="80" workbookViewId="0">
      <selection activeCell="A16" sqref="A16:XFD16"/>
    </sheetView>
  </sheetViews>
  <sheetFormatPr defaultRowHeight="12.75" x14ac:dyDescent="0.2"/>
  <cols>
    <col min="1" max="1" width="24.7109375" style="4" customWidth="1"/>
    <col min="2" max="2" width="1.140625" style="4" customWidth="1"/>
    <col min="3" max="3" width="15" style="4" bestFit="1" customWidth="1"/>
    <col min="4" max="4" width="16.42578125" style="4" bestFit="1" customWidth="1"/>
    <col min="5" max="5" width="0.85546875" style="4" customWidth="1"/>
    <col min="6" max="6" width="15.42578125" style="5" bestFit="1" customWidth="1"/>
    <col min="7" max="7" width="10.28515625" style="5" customWidth="1"/>
    <col min="8" max="8" width="15.28515625" style="5" customWidth="1"/>
    <col min="9" max="9" width="0.85546875" style="2" customWidth="1"/>
    <col min="10" max="10" width="13.7109375" style="5" customWidth="1"/>
    <col min="11" max="11" width="15" style="5" bestFit="1" customWidth="1"/>
    <col min="12" max="12" width="13.7109375" style="5" customWidth="1"/>
    <col min="13" max="14" width="15.140625" style="5" bestFit="1" customWidth="1"/>
    <col min="15" max="15" width="18.42578125" style="5" customWidth="1"/>
    <col min="16" max="16384" width="9.140625" style="4"/>
  </cols>
  <sheetData>
    <row r="1" spans="1:15" ht="13.5" x14ac:dyDescent="0.25">
      <c r="A1" s="3" t="s">
        <v>58</v>
      </c>
      <c r="E1" s="49"/>
      <c r="M1" s="7"/>
      <c r="N1" s="6"/>
      <c r="O1" s="6"/>
    </row>
    <row r="2" spans="1:15" x14ac:dyDescent="0.2">
      <c r="A2" s="41" t="s">
        <v>60</v>
      </c>
      <c r="B2" s="10"/>
      <c r="C2" s="11"/>
      <c r="D2" s="11"/>
      <c r="E2" s="54"/>
      <c r="F2" s="23"/>
      <c r="G2" s="23"/>
      <c r="H2" s="23"/>
      <c r="I2" s="23"/>
      <c r="J2" s="4"/>
      <c r="L2" s="4"/>
      <c r="M2" s="4"/>
      <c r="N2" s="12"/>
      <c r="O2" s="12"/>
    </row>
    <row r="3" spans="1:15" s="29" customFormat="1" ht="14.25" thickBot="1" x14ac:dyDescent="0.3">
      <c r="A3" s="92"/>
      <c r="B3" s="53"/>
      <c r="C3" s="54"/>
      <c r="D3" s="54"/>
      <c r="E3" s="54"/>
      <c r="F3" s="23"/>
      <c r="G3" s="23"/>
      <c r="H3" s="23" t="s">
        <v>48</v>
      </c>
      <c r="I3" s="23"/>
      <c r="J3" s="96">
        <v>39538</v>
      </c>
      <c r="K3" s="18" t="s">
        <v>61</v>
      </c>
      <c r="L3" s="18" t="s">
        <v>64</v>
      </c>
      <c r="M3" s="96">
        <v>39933</v>
      </c>
      <c r="N3" s="39"/>
      <c r="O3" s="39"/>
    </row>
    <row r="4" spans="1:15" ht="13.5" thickBot="1" x14ac:dyDescent="0.25">
      <c r="A4" s="98" t="s">
        <v>46</v>
      </c>
      <c r="B4" s="17"/>
      <c r="C4" s="20" t="s">
        <v>44</v>
      </c>
      <c r="D4" s="71">
        <v>39813</v>
      </c>
      <c r="E4" s="71"/>
      <c r="F4" s="18" t="s">
        <v>65</v>
      </c>
      <c r="G4" s="18" t="s">
        <v>32</v>
      </c>
      <c r="H4" s="18" t="s">
        <v>34</v>
      </c>
      <c r="I4" s="18"/>
      <c r="J4" s="18" t="s">
        <v>23</v>
      </c>
      <c r="K4" s="18" t="s">
        <v>62</v>
      </c>
      <c r="L4" s="18" t="s">
        <v>8</v>
      </c>
      <c r="M4" s="48" t="s">
        <v>27</v>
      </c>
      <c r="N4" s="19"/>
      <c r="O4" s="20"/>
    </row>
    <row r="5" spans="1:15" ht="13.5" thickBot="1" x14ac:dyDescent="0.25">
      <c r="A5" s="21"/>
      <c r="B5" s="21"/>
      <c r="C5" s="50" t="s">
        <v>45</v>
      </c>
      <c r="D5" s="99" t="s">
        <v>53</v>
      </c>
      <c r="E5" s="71"/>
      <c r="F5" s="51" t="s">
        <v>4</v>
      </c>
      <c r="G5" s="51" t="s">
        <v>33</v>
      </c>
      <c r="H5" s="51" t="s">
        <v>65</v>
      </c>
      <c r="I5" s="18"/>
      <c r="J5" s="51" t="s">
        <v>56</v>
      </c>
      <c r="K5" s="51" t="s">
        <v>63</v>
      </c>
      <c r="L5" s="51" t="s">
        <v>7</v>
      </c>
      <c r="M5" s="52" t="s">
        <v>7</v>
      </c>
      <c r="N5" s="22"/>
      <c r="O5" s="22"/>
    </row>
    <row r="6" spans="1:15" ht="5.25" customHeight="1" x14ac:dyDescent="0.2">
      <c r="E6" s="49"/>
      <c r="F6" s="23"/>
      <c r="G6" s="23"/>
      <c r="H6" s="23"/>
      <c r="I6" s="23"/>
      <c r="J6" s="23"/>
      <c r="L6" s="23"/>
      <c r="M6" s="7"/>
      <c r="N6" s="8"/>
      <c r="O6" s="9"/>
    </row>
    <row r="7" spans="1:15" x14ac:dyDescent="0.2">
      <c r="A7" s="25" t="s">
        <v>49</v>
      </c>
      <c r="B7" s="25"/>
      <c r="C7" s="70"/>
      <c r="D7" s="28"/>
      <c r="E7" s="1"/>
      <c r="F7" s="27">
        <v>0</v>
      </c>
      <c r="G7" s="2"/>
      <c r="H7" s="2"/>
      <c r="J7" s="2"/>
      <c r="L7" s="2"/>
      <c r="M7" s="2"/>
      <c r="N7" s="32"/>
      <c r="O7" s="32"/>
    </row>
    <row r="8" spans="1:15" x14ac:dyDescent="0.2">
      <c r="A8" s="25" t="s">
        <v>9</v>
      </c>
      <c r="B8" s="25"/>
      <c r="C8" s="25" t="s">
        <v>10</v>
      </c>
      <c r="D8" s="68">
        <v>4553281</v>
      </c>
      <c r="E8" s="1"/>
      <c r="F8" s="2">
        <f>F7*(D8/(D8+D9))</f>
        <v>0</v>
      </c>
      <c r="G8" s="69"/>
      <c r="H8" s="2">
        <f>-SUM(F8:G8)</f>
        <v>0</v>
      </c>
      <c r="J8" s="27">
        <v>61852</v>
      </c>
      <c r="K8" s="5">
        <f>(H8/12*3)-J8</f>
        <v>-61852</v>
      </c>
      <c r="L8" s="2">
        <f>H8-J8-K8</f>
        <v>0</v>
      </c>
      <c r="M8" s="2">
        <f>L8/(13-MONTH($M$3))</f>
        <v>0</v>
      </c>
      <c r="N8" s="32"/>
      <c r="O8" s="32"/>
    </row>
    <row r="9" spans="1:15" x14ac:dyDescent="0.2">
      <c r="A9" s="25" t="s">
        <v>9</v>
      </c>
      <c r="B9" s="25"/>
      <c r="C9" s="25" t="s">
        <v>11</v>
      </c>
      <c r="D9" s="68">
        <v>7881208</v>
      </c>
      <c r="E9" s="1"/>
      <c r="F9" s="2">
        <f>F7*(D9/(D9+D8))</f>
        <v>0</v>
      </c>
      <c r="G9" s="69"/>
      <c r="H9" s="2">
        <f>-SUM(F9:G9)</f>
        <v>0</v>
      </c>
      <c r="J9" s="27">
        <v>107060</v>
      </c>
      <c r="K9" s="5">
        <f t="shared" ref="K9:K21" si="0">(H9/12*3)-J9</f>
        <v>-107060</v>
      </c>
      <c r="L9" s="2">
        <f t="shared" ref="L9:L21" si="1">H9-J9-K9</f>
        <v>0</v>
      </c>
      <c r="M9" s="2">
        <f t="shared" ref="M9:M21" si="2">L9/(13-MONTH($M$3))</f>
        <v>0</v>
      </c>
      <c r="N9" s="2"/>
      <c r="O9" s="1"/>
    </row>
    <row r="10" spans="1:15" x14ac:dyDescent="0.2">
      <c r="A10" s="25" t="s">
        <v>50</v>
      </c>
      <c r="B10" s="25"/>
      <c r="C10" s="70"/>
      <c r="D10" s="28"/>
      <c r="E10" s="1"/>
      <c r="F10" s="27">
        <v>0</v>
      </c>
      <c r="G10" s="2"/>
      <c r="H10" s="2"/>
      <c r="J10" s="2"/>
      <c r="K10" s="5">
        <f t="shared" si="0"/>
        <v>0</v>
      </c>
      <c r="L10" s="2">
        <f t="shared" si="1"/>
        <v>0</v>
      </c>
      <c r="M10" s="2">
        <f t="shared" si="2"/>
        <v>0</v>
      </c>
      <c r="N10" s="32"/>
      <c r="O10" s="32"/>
    </row>
    <row r="11" spans="1:15" x14ac:dyDescent="0.2">
      <c r="A11" s="25" t="s">
        <v>9</v>
      </c>
      <c r="B11" s="25"/>
      <c r="C11" s="25" t="s">
        <v>13</v>
      </c>
      <c r="D11" s="68">
        <v>398721</v>
      </c>
      <c r="E11" s="1"/>
      <c r="F11" s="2">
        <f>F10*(D11/(D11+D12))</f>
        <v>0</v>
      </c>
      <c r="G11" s="69"/>
      <c r="H11" s="2">
        <f t="shared" ref="H11:H21" si="3">-SUM(F11:G11)</f>
        <v>0</v>
      </c>
      <c r="J11" s="27">
        <v>2252</v>
      </c>
      <c r="K11" s="5">
        <f t="shared" si="0"/>
        <v>-2252</v>
      </c>
      <c r="L11" s="2">
        <f t="shared" si="1"/>
        <v>0</v>
      </c>
      <c r="M11" s="2">
        <f t="shared" si="2"/>
        <v>0</v>
      </c>
      <c r="N11" s="26"/>
      <c r="O11" s="26"/>
    </row>
    <row r="12" spans="1:15" x14ac:dyDescent="0.2">
      <c r="A12" s="25" t="s">
        <v>9</v>
      </c>
      <c r="B12" s="25"/>
      <c r="C12" s="25" t="s">
        <v>12</v>
      </c>
      <c r="D12" s="68">
        <v>948359</v>
      </c>
      <c r="E12" s="1"/>
      <c r="F12" s="2">
        <f>F10*(D12/(D12+D11))</f>
        <v>0</v>
      </c>
      <c r="G12" s="69"/>
      <c r="H12" s="2">
        <f t="shared" si="3"/>
        <v>0</v>
      </c>
      <c r="J12" s="27">
        <v>5356</v>
      </c>
      <c r="K12" s="5">
        <f t="shared" si="0"/>
        <v>-5356</v>
      </c>
      <c r="L12" s="2">
        <f t="shared" si="1"/>
        <v>0</v>
      </c>
      <c r="M12" s="2">
        <f t="shared" si="2"/>
        <v>0</v>
      </c>
      <c r="N12" s="26"/>
      <c r="O12" s="26"/>
    </row>
    <row r="13" spans="1:15" x14ac:dyDescent="0.2">
      <c r="A13" s="25" t="s">
        <v>9</v>
      </c>
      <c r="B13" s="25"/>
      <c r="C13" s="25" t="s">
        <v>14</v>
      </c>
      <c r="D13" s="68">
        <v>255115</v>
      </c>
      <c r="E13" s="1"/>
      <c r="F13" s="27">
        <v>0</v>
      </c>
      <c r="G13" s="2"/>
      <c r="H13" s="2">
        <f t="shared" si="3"/>
        <v>0</v>
      </c>
      <c r="J13" s="27">
        <v>2024</v>
      </c>
      <c r="K13" s="5">
        <f t="shared" si="0"/>
        <v>-2024</v>
      </c>
      <c r="L13" s="2">
        <f t="shared" si="1"/>
        <v>0</v>
      </c>
      <c r="M13" s="2">
        <f t="shared" si="2"/>
        <v>0</v>
      </c>
      <c r="N13" s="26"/>
      <c r="O13" s="26"/>
    </row>
    <row r="14" spans="1:15" x14ac:dyDescent="0.2">
      <c r="A14" s="25" t="s">
        <v>2</v>
      </c>
      <c r="B14" s="25"/>
      <c r="C14" s="25" t="s">
        <v>20</v>
      </c>
      <c r="D14" s="68">
        <v>-58175</v>
      </c>
      <c r="E14" s="1"/>
      <c r="F14" s="27">
        <v>2387</v>
      </c>
      <c r="G14" s="2"/>
      <c r="H14" s="2">
        <f t="shared" si="3"/>
        <v>-2387</v>
      </c>
      <c r="J14" s="27">
        <v>-746</v>
      </c>
      <c r="K14" s="5">
        <f t="shared" si="0"/>
        <v>149.25</v>
      </c>
      <c r="L14" s="2">
        <f t="shared" si="1"/>
        <v>-1790.25</v>
      </c>
      <c r="M14" s="2">
        <f t="shared" si="2"/>
        <v>-198.91666666666666</v>
      </c>
      <c r="N14" s="2"/>
      <c r="O14" s="1"/>
    </row>
    <row r="15" spans="1:15" x14ac:dyDescent="0.2">
      <c r="A15" s="25" t="s">
        <v>5</v>
      </c>
      <c r="B15" s="25"/>
      <c r="C15" s="25" t="s">
        <v>22</v>
      </c>
      <c r="D15" s="68">
        <v>146855</v>
      </c>
      <c r="E15" s="1"/>
      <c r="F15" s="27">
        <v>91213</v>
      </c>
      <c r="G15" s="2"/>
      <c r="H15" s="2">
        <f t="shared" si="3"/>
        <v>-91213</v>
      </c>
      <c r="J15" s="27">
        <v>-26724</v>
      </c>
      <c r="K15" s="5">
        <f t="shared" si="0"/>
        <v>3920.75</v>
      </c>
      <c r="L15" s="2">
        <f t="shared" si="1"/>
        <v>-68409.75</v>
      </c>
      <c r="M15" s="2">
        <f t="shared" si="2"/>
        <v>-7601.083333333333</v>
      </c>
      <c r="N15" s="30"/>
      <c r="O15" s="1"/>
    </row>
    <row r="16" spans="1:15" x14ac:dyDescent="0.2">
      <c r="A16" s="25" t="s">
        <v>52</v>
      </c>
      <c r="B16" s="25"/>
      <c r="C16" s="25" t="s">
        <v>21</v>
      </c>
      <c r="D16" s="68">
        <v>-1170418</v>
      </c>
      <c r="E16" s="1"/>
      <c r="F16" s="27">
        <v>-116955</v>
      </c>
      <c r="G16" s="2"/>
      <c r="H16" s="2">
        <f t="shared" si="3"/>
        <v>116955</v>
      </c>
      <c r="J16" s="27">
        <v>8100</v>
      </c>
      <c r="K16" s="5">
        <f t="shared" si="0"/>
        <v>21138.75</v>
      </c>
      <c r="L16" s="2">
        <f t="shared" si="1"/>
        <v>87716.25</v>
      </c>
      <c r="M16" s="2">
        <f t="shared" si="2"/>
        <v>9746.25</v>
      </c>
      <c r="N16" s="2"/>
      <c r="O16" s="1"/>
    </row>
    <row r="17" spans="1:15" x14ac:dyDescent="0.2">
      <c r="A17" s="28" t="s">
        <v>29</v>
      </c>
      <c r="B17" s="28"/>
      <c r="C17" s="25" t="s">
        <v>17</v>
      </c>
      <c r="D17" s="68">
        <v>-10142283</v>
      </c>
      <c r="E17" s="1"/>
      <c r="F17" s="27">
        <v>1705918</v>
      </c>
      <c r="G17" s="2"/>
      <c r="H17" s="2">
        <f t="shared" si="3"/>
        <v>-1705918</v>
      </c>
      <c r="J17" s="27">
        <v>-166530</v>
      </c>
      <c r="K17" s="5">
        <f t="shared" si="0"/>
        <v>-259949.5</v>
      </c>
      <c r="L17" s="2">
        <f t="shared" si="1"/>
        <v>-1279438.5</v>
      </c>
      <c r="M17" s="2">
        <f t="shared" si="2"/>
        <v>-142159.83333333334</v>
      </c>
      <c r="N17" s="26"/>
      <c r="O17" s="26"/>
    </row>
    <row r="18" spans="1:15" x14ac:dyDescent="0.2">
      <c r="A18" s="28" t="s">
        <v>30</v>
      </c>
      <c r="B18" s="28"/>
      <c r="C18" s="25" t="s">
        <v>18</v>
      </c>
      <c r="D18" s="68">
        <v>-1598945</v>
      </c>
      <c r="E18" s="1"/>
      <c r="F18" s="27">
        <v>12306</v>
      </c>
      <c r="G18" s="2"/>
      <c r="H18" s="2">
        <f t="shared" si="3"/>
        <v>-12306</v>
      </c>
      <c r="J18" s="27">
        <v>-50252</v>
      </c>
      <c r="K18" s="5">
        <f t="shared" si="0"/>
        <v>47175.5</v>
      </c>
      <c r="L18" s="2">
        <f t="shared" si="1"/>
        <v>-9229.5</v>
      </c>
      <c r="M18" s="2">
        <f t="shared" si="2"/>
        <v>-1025.5</v>
      </c>
      <c r="N18" s="26"/>
      <c r="O18" s="26"/>
    </row>
    <row r="19" spans="1:15" x14ac:dyDescent="0.2">
      <c r="A19" s="4" t="s">
        <v>28</v>
      </c>
      <c r="B19" s="46"/>
      <c r="C19" s="32" t="s">
        <v>16</v>
      </c>
      <c r="D19" s="68">
        <v>-243571538</v>
      </c>
      <c r="E19" s="2"/>
      <c r="F19" s="27">
        <v>7828728</v>
      </c>
      <c r="G19" s="2">
        <f>D35</f>
        <v>0</v>
      </c>
      <c r="H19" s="2">
        <f t="shared" si="3"/>
        <v>-7828728</v>
      </c>
      <c r="J19" s="27">
        <v>-1851024</v>
      </c>
      <c r="K19" s="5">
        <f t="shared" si="0"/>
        <v>-106158</v>
      </c>
      <c r="L19" s="2">
        <f t="shared" si="1"/>
        <v>-5871546</v>
      </c>
      <c r="M19" s="2">
        <f t="shared" si="2"/>
        <v>-652394</v>
      </c>
      <c r="N19" s="26"/>
      <c r="O19" s="26"/>
    </row>
    <row r="20" spans="1:15" x14ac:dyDescent="0.2">
      <c r="A20" s="47" t="s">
        <v>26</v>
      </c>
      <c r="B20" s="28"/>
      <c r="C20" s="36" t="s">
        <v>19</v>
      </c>
      <c r="D20" s="68">
        <v>-45399798</v>
      </c>
      <c r="E20" s="40"/>
      <c r="F20" s="27">
        <v>3676441</v>
      </c>
      <c r="G20" s="2">
        <f>D36</f>
        <v>0</v>
      </c>
      <c r="H20" s="2">
        <f t="shared" si="3"/>
        <v>-3676441</v>
      </c>
      <c r="J20" s="27">
        <v>-572066</v>
      </c>
      <c r="K20" s="5">
        <f t="shared" si="0"/>
        <v>-347044.25</v>
      </c>
      <c r="L20" s="2">
        <f t="shared" si="1"/>
        <v>-2757330.75</v>
      </c>
      <c r="M20" s="2">
        <f t="shared" si="2"/>
        <v>-306370.08333333331</v>
      </c>
      <c r="N20" s="26"/>
      <c r="O20" s="26"/>
    </row>
    <row r="21" spans="1:15" x14ac:dyDescent="0.2">
      <c r="A21" s="26" t="s">
        <v>47</v>
      </c>
      <c r="B21" s="26"/>
      <c r="C21" s="26" t="s">
        <v>24</v>
      </c>
      <c r="D21" s="68">
        <v>-20969939</v>
      </c>
      <c r="E21" s="1"/>
      <c r="F21" s="27">
        <v>1970626</v>
      </c>
      <c r="G21" s="2">
        <f>D37</f>
        <v>0</v>
      </c>
      <c r="H21" s="2">
        <f t="shared" si="3"/>
        <v>-1970626</v>
      </c>
      <c r="J21" s="27">
        <v>-426436</v>
      </c>
      <c r="K21" s="5">
        <f t="shared" si="0"/>
        <v>-66220.5</v>
      </c>
      <c r="L21" s="2">
        <f t="shared" si="1"/>
        <v>-1477969.5</v>
      </c>
      <c r="M21" s="2">
        <f t="shared" si="2"/>
        <v>-164218.83333333334</v>
      </c>
      <c r="N21" s="26"/>
      <c r="O21" s="26"/>
    </row>
    <row r="22" spans="1:15" x14ac:dyDescent="0.2">
      <c r="A22" s="25"/>
      <c r="B22" s="25"/>
      <c r="C22" s="35"/>
      <c r="D22" s="35"/>
      <c r="E22" s="72"/>
      <c r="F22" s="2"/>
      <c r="G22" s="2"/>
      <c r="H22" s="2"/>
      <c r="J22" s="2"/>
      <c r="L22" s="2"/>
      <c r="M22" s="2"/>
      <c r="N22" s="26"/>
      <c r="O22" s="26"/>
    </row>
    <row r="23" spans="1:15" x14ac:dyDescent="0.2">
      <c r="A23" s="25" t="s">
        <v>6</v>
      </c>
      <c r="B23" s="26"/>
      <c r="C23" s="26"/>
      <c r="D23" s="45">
        <f>SUM(D8:D22)</f>
        <v>-308727557</v>
      </c>
      <c r="E23" s="2"/>
      <c r="F23" s="45">
        <f>SUM(F7:F22)-F7-F10</f>
        <v>15170664</v>
      </c>
      <c r="G23" s="45">
        <f>SUM(G8:G22)</f>
        <v>0</v>
      </c>
      <c r="H23" s="45">
        <f>SUM(H8:H22)</f>
        <v>-15170664</v>
      </c>
      <c r="J23" s="45">
        <f>SUM(J8:J22)</f>
        <v>-2907134</v>
      </c>
      <c r="K23" s="45">
        <f>SUM(K8:K22)</f>
        <v>-885532</v>
      </c>
      <c r="L23" s="45">
        <f>SUM(L8:L22)</f>
        <v>-11377998</v>
      </c>
      <c r="M23" s="45">
        <f>SUM(M8:M22)</f>
        <v>-1264222</v>
      </c>
      <c r="N23" s="26"/>
      <c r="O23" s="26"/>
    </row>
    <row r="24" spans="1:15" x14ac:dyDescent="0.2">
      <c r="A24" s="24" t="s">
        <v>43</v>
      </c>
      <c r="D24" s="26"/>
      <c r="E24" s="1"/>
      <c r="F24" s="56"/>
      <c r="H24" s="5">
        <f>ROUND(F24+H23,0)</f>
        <v>-15170664</v>
      </c>
      <c r="L24" s="7">
        <f>J23+K23+L23-H23</f>
        <v>0</v>
      </c>
      <c r="M24" s="6">
        <f>(M23*(13-MONTH($M$3))-L23)</f>
        <v>0</v>
      </c>
      <c r="N24" s="6"/>
      <c r="O24" s="8"/>
    </row>
    <row r="25" spans="1:15" ht="13.5" thickBot="1" x14ac:dyDescent="0.25">
      <c r="A25" s="24"/>
      <c r="D25" s="26"/>
      <c r="K25" s="7"/>
      <c r="L25" s="6"/>
      <c r="M25" s="6"/>
      <c r="N25" s="6"/>
      <c r="O25" s="8"/>
    </row>
    <row r="26" spans="1:15" ht="13.5" thickBot="1" x14ac:dyDescent="0.25">
      <c r="A26" s="24"/>
      <c r="H26" s="200" t="s">
        <v>76</v>
      </c>
      <c r="I26" s="201"/>
      <c r="J26" s="201"/>
      <c r="K26" s="201"/>
      <c r="L26" s="202"/>
      <c r="M26" s="6"/>
      <c r="O26" s="6"/>
    </row>
    <row r="27" spans="1:15" ht="13.5" thickBot="1" x14ac:dyDescent="0.25">
      <c r="A27" s="24"/>
      <c r="H27" s="200" t="s">
        <v>78</v>
      </c>
      <c r="I27" s="201"/>
      <c r="J27" s="201"/>
      <c r="K27" s="201"/>
      <c r="L27" s="202"/>
      <c r="M27" s="7"/>
      <c r="N27" s="6"/>
      <c r="O27" s="6"/>
    </row>
    <row r="28" spans="1:15" x14ac:dyDescent="0.2">
      <c r="A28" s="24"/>
      <c r="H28" s="75"/>
      <c r="I28" s="18"/>
      <c r="J28" s="18"/>
      <c r="K28" s="18"/>
      <c r="L28" s="76"/>
      <c r="N28" s="6"/>
      <c r="O28" s="7"/>
    </row>
    <row r="29" spans="1:15" x14ac:dyDescent="0.2">
      <c r="A29" s="57" t="s">
        <v>31</v>
      </c>
      <c r="B29" s="57"/>
      <c r="C29" s="57"/>
      <c r="D29" s="57"/>
      <c r="E29" s="57"/>
      <c r="F29" s="58"/>
      <c r="H29" s="77" t="s">
        <v>35</v>
      </c>
      <c r="I29" s="38"/>
      <c r="J29" s="38"/>
      <c r="K29" s="20" t="s">
        <v>44</v>
      </c>
      <c r="L29" s="78"/>
    </row>
    <row r="30" spans="1:15" ht="13.5" thickBot="1" x14ac:dyDescent="0.25">
      <c r="A30" s="59" t="s">
        <v>0</v>
      </c>
      <c r="B30" s="57"/>
      <c r="C30" s="57"/>
      <c r="D30" s="57"/>
      <c r="E30" s="57"/>
      <c r="F30" s="56">
        <v>0</v>
      </c>
      <c r="H30" s="79" t="s">
        <v>42</v>
      </c>
      <c r="I30" s="44"/>
      <c r="J30" s="38"/>
      <c r="K30" s="50" t="s">
        <v>45</v>
      </c>
      <c r="L30" s="78"/>
      <c r="N30" s="34"/>
      <c r="O30" s="34"/>
    </row>
    <row r="31" spans="1:15" x14ac:dyDescent="0.2">
      <c r="A31" s="59" t="s">
        <v>3</v>
      </c>
      <c r="B31" s="57"/>
      <c r="C31" s="57"/>
      <c r="D31" s="57"/>
      <c r="E31" s="57"/>
      <c r="F31" s="56">
        <v>0</v>
      </c>
      <c r="H31" s="80" t="s">
        <v>38</v>
      </c>
      <c r="I31" s="38"/>
      <c r="J31" s="90">
        <f>-M8</f>
        <v>0</v>
      </c>
      <c r="K31" s="26" t="s">
        <v>10</v>
      </c>
      <c r="L31" s="91">
        <f>M8</f>
        <v>0</v>
      </c>
    </row>
    <row r="32" spans="1:15" x14ac:dyDescent="0.2">
      <c r="A32" s="59" t="s">
        <v>1</v>
      </c>
      <c r="B32" s="57"/>
      <c r="C32" s="57"/>
      <c r="D32" s="57"/>
      <c r="E32" s="57"/>
      <c r="F32" s="56">
        <v>0</v>
      </c>
      <c r="H32" s="80" t="s">
        <v>38</v>
      </c>
      <c r="I32" s="43"/>
      <c r="J32" s="42">
        <f>-M9</f>
        <v>0</v>
      </c>
      <c r="K32" s="26" t="s">
        <v>11</v>
      </c>
      <c r="L32" s="78">
        <f>M9</f>
        <v>0</v>
      </c>
    </row>
    <row r="33" spans="1:12" x14ac:dyDescent="0.2">
      <c r="A33" s="60"/>
      <c r="B33" s="60"/>
      <c r="C33" s="60"/>
      <c r="D33" s="60"/>
      <c r="E33" s="60"/>
      <c r="F33" s="61">
        <f>ROUND(G23-SUM(F31:F32),0)</f>
        <v>0</v>
      </c>
      <c r="H33" s="81" t="s">
        <v>15</v>
      </c>
      <c r="I33" s="43"/>
      <c r="J33" s="42">
        <f t="shared" ref="J33:J43" si="4">-M11</f>
        <v>0</v>
      </c>
      <c r="K33" s="26" t="s">
        <v>13</v>
      </c>
      <c r="L33" s="78">
        <f t="shared" ref="L33:L43" si="5">M11</f>
        <v>0</v>
      </c>
    </row>
    <row r="34" spans="1:12" x14ac:dyDescent="0.2">
      <c r="A34" s="100" t="s">
        <v>57</v>
      </c>
      <c r="B34" s="60"/>
      <c r="C34" s="62"/>
      <c r="D34" s="62"/>
      <c r="E34" s="62"/>
      <c r="F34" s="62"/>
      <c r="H34" s="81" t="s">
        <v>15</v>
      </c>
      <c r="I34" s="38"/>
      <c r="J34" s="42">
        <f t="shared" si="4"/>
        <v>0</v>
      </c>
      <c r="K34" s="26" t="s">
        <v>12</v>
      </c>
      <c r="L34" s="78">
        <f t="shared" si="5"/>
        <v>0</v>
      </c>
    </row>
    <row r="35" spans="1:12" x14ac:dyDescent="0.2">
      <c r="A35" s="60" t="s">
        <v>54</v>
      </c>
      <c r="B35" s="60"/>
      <c r="C35" s="97">
        <v>0.81311999999999995</v>
      </c>
      <c r="D35" s="66">
        <f>ROUND((SUM($F$30:$F$32))*C35,2)</f>
        <v>0</v>
      </c>
      <c r="E35" s="63"/>
      <c r="F35" s="58"/>
      <c r="H35" s="81" t="s">
        <v>25</v>
      </c>
      <c r="I35" s="38"/>
      <c r="J35" s="42">
        <f t="shared" si="4"/>
        <v>0</v>
      </c>
      <c r="K35" s="26" t="s">
        <v>14</v>
      </c>
      <c r="L35" s="78">
        <f t="shared" si="5"/>
        <v>0</v>
      </c>
    </row>
    <row r="36" spans="1:12" x14ac:dyDescent="0.2">
      <c r="A36" s="60" t="s">
        <v>26</v>
      </c>
      <c r="B36" s="60"/>
      <c r="C36" s="97">
        <v>0.12905</v>
      </c>
      <c r="D36" s="66">
        <f>ROUND((SUM($F$30:$F$32))*C36,2)</f>
        <v>0</v>
      </c>
      <c r="E36" s="63"/>
      <c r="F36" s="58"/>
      <c r="H36" s="81" t="s">
        <v>41</v>
      </c>
      <c r="I36" s="38"/>
      <c r="J36" s="42">
        <f t="shared" si="4"/>
        <v>198.91666666666666</v>
      </c>
      <c r="K36" s="26" t="s">
        <v>20</v>
      </c>
      <c r="L36" s="78">
        <f t="shared" si="5"/>
        <v>-198.91666666666666</v>
      </c>
    </row>
    <row r="37" spans="1:12" x14ac:dyDescent="0.2">
      <c r="A37" s="60" t="s">
        <v>55</v>
      </c>
      <c r="B37" s="60"/>
      <c r="C37" s="97">
        <v>5.7829999999999999E-2</v>
      </c>
      <c r="D37" s="66">
        <f>ROUND((SUM($F$30:$F$32))*C37,2)</f>
        <v>0</v>
      </c>
      <c r="E37" s="63"/>
      <c r="F37" s="58"/>
      <c r="H37" s="81" t="s">
        <v>41</v>
      </c>
      <c r="I37" s="43"/>
      <c r="J37" s="42">
        <f t="shared" si="4"/>
        <v>7601.083333333333</v>
      </c>
      <c r="K37" s="26" t="s">
        <v>22</v>
      </c>
      <c r="L37" s="78">
        <f t="shared" si="5"/>
        <v>-7601.083333333333</v>
      </c>
    </row>
    <row r="38" spans="1:12" x14ac:dyDescent="0.2">
      <c r="A38" s="60"/>
      <c r="B38" s="60"/>
      <c r="C38" s="95">
        <f>SUM(C35:C37)</f>
        <v>1</v>
      </c>
      <c r="D38" s="64">
        <f>SUM(D35:D37)</f>
        <v>0</v>
      </c>
      <c r="E38" s="67"/>
      <c r="F38" s="58"/>
      <c r="H38" s="81" t="s">
        <v>41</v>
      </c>
      <c r="I38" s="38"/>
      <c r="J38" s="42">
        <f t="shared" si="4"/>
        <v>-9746.25</v>
      </c>
      <c r="K38" s="26" t="s">
        <v>21</v>
      </c>
      <c r="L38" s="78">
        <f t="shared" si="5"/>
        <v>9746.25</v>
      </c>
    </row>
    <row r="39" spans="1:12" x14ac:dyDescent="0.2">
      <c r="A39" s="60"/>
      <c r="B39" s="60"/>
      <c r="C39" s="65"/>
      <c r="D39" s="66"/>
      <c r="E39" s="66"/>
      <c r="F39" s="58"/>
      <c r="H39" s="80" t="s">
        <v>36</v>
      </c>
      <c r="I39" s="38"/>
      <c r="J39" s="42">
        <f t="shared" si="4"/>
        <v>142159.83333333334</v>
      </c>
      <c r="K39" s="26" t="s">
        <v>17</v>
      </c>
      <c r="L39" s="78">
        <f t="shared" si="5"/>
        <v>-142159.83333333334</v>
      </c>
    </row>
    <row r="40" spans="1:12" x14ac:dyDescent="0.2">
      <c r="A40" s="49"/>
      <c r="B40" s="49"/>
      <c r="C40" s="93"/>
      <c r="D40" s="94"/>
      <c r="E40" s="94"/>
      <c r="H40" s="80" t="s">
        <v>37</v>
      </c>
      <c r="I40" s="38"/>
      <c r="J40" s="42">
        <f t="shared" si="4"/>
        <v>1025.5</v>
      </c>
      <c r="K40" s="26" t="s">
        <v>18</v>
      </c>
      <c r="L40" s="78">
        <f t="shared" si="5"/>
        <v>-1025.5</v>
      </c>
    </row>
    <row r="41" spans="1:12" x14ac:dyDescent="0.2">
      <c r="A41" s="49"/>
      <c r="B41" s="49"/>
      <c r="C41" s="93"/>
      <c r="D41" s="94"/>
      <c r="E41" s="94"/>
      <c r="H41" s="82" t="s">
        <v>38</v>
      </c>
      <c r="I41" s="38"/>
      <c r="J41" s="42">
        <f t="shared" si="4"/>
        <v>652394</v>
      </c>
      <c r="K41" s="32" t="s">
        <v>16</v>
      </c>
      <c r="L41" s="78">
        <f t="shared" si="5"/>
        <v>-652394</v>
      </c>
    </row>
    <row r="42" spans="1:12" x14ac:dyDescent="0.2">
      <c r="A42" s="49"/>
      <c r="B42" s="49"/>
      <c r="C42" s="93"/>
      <c r="D42" s="94"/>
      <c r="E42" s="94"/>
      <c r="H42" s="83" t="s">
        <v>39</v>
      </c>
      <c r="I42" s="33"/>
      <c r="J42" s="42">
        <f t="shared" si="4"/>
        <v>306370.08333333331</v>
      </c>
      <c r="K42" s="84" t="s">
        <v>19</v>
      </c>
      <c r="L42" s="78">
        <f t="shared" si="5"/>
        <v>-306370.08333333331</v>
      </c>
    </row>
    <row r="43" spans="1:12" ht="13.5" thickBot="1" x14ac:dyDescent="0.25">
      <c r="A43" s="49"/>
      <c r="B43" s="49"/>
      <c r="C43" s="93"/>
      <c r="D43" s="94"/>
      <c r="E43" s="94"/>
      <c r="H43" s="85" t="s">
        <v>40</v>
      </c>
      <c r="I43" s="86"/>
      <c r="J43" s="87">
        <f t="shared" si="4"/>
        <v>164218.83333333334</v>
      </c>
      <c r="K43" s="88" t="s">
        <v>24</v>
      </c>
      <c r="L43" s="89">
        <f t="shared" si="5"/>
        <v>-164218.83333333334</v>
      </c>
    </row>
    <row r="44" spans="1:12" x14ac:dyDescent="0.2">
      <c r="A44" s="49"/>
      <c r="B44" s="49"/>
      <c r="C44" s="93"/>
      <c r="D44" s="94"/>
      <c r="E44" s="94"/>
      <c r="H44" s="73" t="s">
        <v>51</v>
      </c>
      <c r="I44" s="37"/>
      <c r="J44" s="74">
        <f>SUM(J31:J43)+SUM(L31:L43)</f>
        <v>0</v>
      </c>
      <c r="L44" s="5">
        <f>SUM(L31:L43)</f>
        <v>-1264222</v>
      </c>
    </row>
    <row r="45" spans="1:12" x14ac:dyDescent="0.2">
      <c r="A45" s="49"/>
      <c r="B45" s="49"/>
      <c r="C45" s="93"/>
      <c r="D45" s="94"/>
      <c r="E45" s="94"/>
      <c r="H45" s="38"/>
      <c r="I45" s="38"/>
    </row>
    <row r="46" spans="1:12" ht="13.5" thickBot="1" x14ac:dyDescent="0.25">
      <c r="A46" s="49"/>
      <c r="B46" s="49"/>
      <c r="C46" s="93"/>
      <c r="D46" s="94"/>
      <c r="E46" s="94"/>
      <c r="H46" s="38"/>
      <c r="I46" s="38"/>
    </row>
    <row r="47" spans="1:12" ht="13.5" thickBot="1" x14ac:dyDescent="0.25">
      <c r="A47" s="49"/>
      <c r="B47" s="49"/>
      <c r="C47" s="93"/>
      <c r="D47" s="94"/>
      <c r="E47" s="94"/>
      <c r="H47" s="200" t="s">
        <v>77</v>
      </c>
      <c r="I47" s="201"/>
      <c r="J47" s="201"/>
      <c r="K47" s="201"/>
      <c r="L47" s="202"/>
    </row>
    <row r="48" spans="1:12" ht="13.5" thickBot="1" x14ac:dyDescent="0.25">
      <c r="A48" s="49"/>
      <c r="B48" s="49"/>
      <c r="C48" s="93"/>
      <c r="D48" s="94"/>
      <c r="E48" s="94"/>
      <c r="H48" s="200" t="s">
        <v>78</v>
      </c>
      <c r="I48" s="201"/>
      <c r="J48" s="201"/>
      <c r="K48" s="201"/>
      <c r="L48" s="202"/>
    </row>
    <row r="49" spans="1:12" x14ac:dyDescent="0.2">
      <c r="A49" s="29"/>
      <c r="B49" s="29"/>
      <c r="C49" s="29"/>
      <c r="D49" s="29"/>
      <c r="E49" s="29"/>
      <c r="H49" s="75"/>
      <c r="I49" s="18"/>
      <c r="J49" s="18"/>
      <c r="K49" s="18"/>
      <c r="L49" s="76"/>
    </row>
    <row r="50" spans="1:12" x14ac:dyDescent="0.2">
      <c r="A50" s="29"/>
      <c r="B50" s="29"/>
      <c r="C50" s="29"/>
      <c r="D50" s="29"/>
      <c r="E50" s="29"/>
      <c r="H50" s="77" t="s">
        <v>35</v>
      </c>
      <c r="I50" s="38"/>
      <c r="J50" s="38"/>
      <c r="K50" s="20" t="s">
        <v>44</v>
      </c>
      <c r="L50" s="78"/>
    </row>
    <row r="51" spans="1:12" ht="13.5" thickBot="1" x14ac:dyDescent="0.25">
      <c r="H51" s="79" t="s">
        <v>42</v>
      </c>
      <c r="I51" s="44"/>
      <c r="J51" s="38"/>
      <c r="K51" s="50" t="s">
        <v>45</v>
      </c>
      <c r="L51" s="78"/>
    </row>
    <row r="52" spans="1:12" x14ac:dyDescent="0.2">
      <c r="A52" s="29"/>
      <c r="B52" s="29"/>
      <c r="H52" s="80" t="s">
        <v>38</v>
      </c>
      <c r="I52" s="38"/>
      <c r="J52" s="90">
        <f>-K8</f>
        <v>61852</v>
      </c>
      <c r="K52" s="26" t="s">
        <v>10</v>
      </c>
      <c r="L52" s="91">
        <f>K8</f>
        <v>-61852</v>
      </c>
    </row>
    <row r="53" spans="1:12" x14ac:dyDescent="0.2">
      <c r="H53" s="80" t="s">
        <v>38</v>
      </c>
      <c r="I53" s="43"/>
      <c r="J53" s="42">
        <f>-K9</f>
        <v>107060</v>
      </c>
      <c r="K53" s="26" t="s">
        <v>11</v>
      </c>
      <c r="L53" s="78">
        <f>K9</f>
        <v>-107060</v>
      </c>
    </row>
    <row r="54" spans="1:12" x14ac:dyDescent="0.2">
      <c r="A54" s="29"/>
      <c r="B54" s="29"/>
      <c r="H54" s="81" t="s">
        <v>15</v>
      </c>
      <c r="I54" s="43"/>
      <c r="J54" s="42">
        <f>-K11</f>
        <v>2252</v>
      </c>
      <c r="K54" s="26" t="s">
        <v>13</v>
      </c>
      <c r="L54" s="78">
        <f>K11</f>
        <v>-2252</v>
      </c>
    </row>
    <row r="55" spans="1:12" x14ac:dyDescent="0.2">
      <c r="H55" s="81" t="s">
        <v>15</v>
      </c>
      <c r="I55" s="38"/>
      <c r="J55" s="42">
        <f t="shared" ref="J55:J64" si="6">-K12</f>
        <v>5356</v>
      </c>
      <c r="K55" s="26" t="s">
        <v>12</v>
      </c>
      <c r="L55" s="78">
        <f t="shared" ref="L55:L64" si="7">K12</f>
        <v>-5356</v>
      </c>
    </row>
    <row r="56" spans="1:12" x14ac:dyDescent="0.2">
      <c r="H56" s="81" t="s">
        <v>25</v>
      </c>
      <c r="I56" s="38"/>
      <c r="J56" s="42">
        <f t="shared" si="6"/>
        <v>2024</v>
      </c>
      <c r="K56" s="26" t="s">
        <v>14</v>
      </c>
      <c r="L56" s="78">
        <f t="shared" si="7"/>
        <v>-2024</v>
      </c>
    </row>
    <row r="57" spans="1:12" x14ac:dyDescent="0.2">
      <c r="H57" s="81" t="s">
        <v>41</v>
      </c>
      <c r="I57" s="38"/>
      <c r="J57" s="42">
        <f t="shared" si="6"/>
        <v>-149.25</v>
      </c>
      <c r="K57" s="26" t="s">
        <v>20</v>
      </c>
      <c r="L57" s="78">
        <f t="shared" si="7"/>
        <v>149.25</v>
      </c>
    </row>
    <row r="58" spans="1:12" x14ac:dyDescent="0.2">
      <c r="H58" s="81" t="s">
        <v>41</v>
      </c>
      <c r="I58" s="43"/>
      <c r="J58" s="42">
        <f t="shared" si="6"/>
        <v>-3920.75</v>
      </c>
      <c r="K58" s="26" t="s">
        <v>22</v>
      </c>
      <c r="L58" s="78">
        <f t="shared" si="7"/>
        <v>3920.75</v>
      </c>
    </row>
    <row r="59" spans="1:12" x14ac:dyDescent="0.2">
      <c r="H59" s="81" t="s">
        <v>41</v>
      </c>
      <c r="I59" s="38"/>
      <c r="J59" s="42">
        <f t="shared" si="6"/>
        <v>-21138.75</v>
      </c>
      <c r="K59" s="26" t="s">
        <v>21</v>
      </c>
      <c r="L59" s="78">
        <f t="shared" si="7"/>
        <v>21138.75</v>
      </c>
    </row>
    <row r="60" spans="1:12" x14ac:dyDescent="0.2">
      <c r="H60" s="80" t="s">
        <v>36</v>
      </c>
      <c r="I60" s="38"/>
      <c r="J60" s="42">
        <f t="shared" si="6"/>
        <v>259949.5</v>
      </c>
      <c r="K60" s="26" t="s">
        <v>17</v>
      </c>
      <c r="L60" s="78">
        <f t="shared" si="7"/>
        <v>-259949.5</v>
      </c>
    </row>
    <row r="61" spans="1:12" x14ac:dyDescent="0.2">
      <c r="H61" s="80" t="s">
        <v>37</v>
      </c>
      <c r="I61" s="38"/>
      <c r="J61" s="42">
        <f t="shared" si="6"/>
        <v>-47175.5</v>
      </c>
      <c r="K61" s="26" t="s">
        <v>18</v>
      </c>
      <c r="L61" s="78">
        <f t="shared" si="7"/>
        <v>47175.5</v>
      </c>
    </row>
    <row r="62" spans="1:12" x14ac:dyDescent="0.2">
      <c r="H62" s="82" t="s">
        <v>38</v>
      </c>
      <c r="I62" s="38"/>
      <c r="J62" s="42">
        <f t="shared" si="6"/>
        <v>106158</v>
      </c>
      <c r="K62" s="32" t="s">
        <v>16</v>
      </c>
      <c r="L62" s="78">
        <f t="shared" si="7"/>
        <v>-106158</v>
      </c>
    </row>
    <row r="63" spans="1:12" x14ac:dyDescent="0.2">
      <c r="H63" s="83" t="s">
        <v>39</v>
      </c>
      <c r="I63" s="33"/>
      <c r="J63" s="42">
        <f t="shared" si="6"/>
        <v>347044.25</v>
      </c>
      <c r="K63" s="84" t="s">
        <v>19</v>
      </c>
      <c r="L63" s="78">
        <f t="shared" si="7"/>
        <v>-347044.25</v>
      </c>
    </row>
    <row r="64" spans="1:12" ht="13.5" thickBot="1" x14ac:dyDescent="0.25">
      <c r="H64" s="85" t="s">
        <v>40</v>
      </c>
      <c r="I64" s="86"/>
      <c r="J64" s="87">
        <f t="shared" si="6"/>
        <v>66220.5</v>
      </c>
      <c r="K64" s="88" t="s">
        <v>24</v>
      </c>
      <c r="L64" s="89">
        <f t="shared" si="7"/>
        <v>-66220.5</v>
      </c>
    </row>
    <row r="65" spans="8:12" x14ac:dyDescent="0.2">
      <c r="H65" s="73" t="s">
        <v>51</v>
      </c>
      <c r="I65" s="37"/>
      <c r="J65" s="74">
        <f>SUM(J52:J64)+SUM(L52:L64)</f>
        <v>0</v>
      </c>
      <c r="L65" s="5">
        <f>SUM(L52:L64)</f>
        <v>-885532</v>
      </c>
    </row>
  </sheetData>
  <mergeCells count="4">
    <mergeCell ref="H27:L27"/>
    <mergeCell ref="H26:L26"/>
    <mergeCell ref="H47:L47"/>
    <mergeCell ref="H48:L48"/>
  </mergeCells>
  <phoneticPr fontId="0" type="noConversion"/>
  <conditionalFormatting sqref="M24 H24">
    <cfRule type="cellIs" dxfId="4" priority="1" stopIfTrue="1" operator="notBetween">
      <formula>-1</formula>
      <formula>1</formula>
    </cfRule>
  </conditionalFormatting>
  <pageMargins left="0.5" right="0.5" top="0.5" bottom="0.5" header="0.5" footer="0.5"/>
  <pageSetup scale="66" orientation="landscape" r:id="rId1"/>
  <headerFooter alignWithMargins="0">
    <oddFooter>&amp;R&amp;"Times New Roman,Regular"&amp;Z&amp;F\&amp;"Times New Roman,Bold"&amp;A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65"/>
  <sheetViews>
    <sheetView zoomScale="80" zoomScaleNormal="80" workbookViewId="0">
      <pane xSplit="5" topLeftCell="F1" activePane="topRight" state="frozenSplit"/>
      <selection pane="topRight" activeCell="R23" sqref="R23"/>
    </sheetView>
  </sheetViews>
  <sheetFormatPr defaultRowHeight="12.75" x14ac:dyDescent="0.2"/>
  <cols>
    <col min="1" max="1" width="24.7109375" style="4" customWidth="1"/>
    <col min="2" max="2" width="1.140625" style="4" customWidth="1"/>
    <col min="3" max="3" width="15" style="4" bestFit="1" customWidth="1"/>
    <col min="4" max="4" width="16.42578125" style="4" bestFit="1" customWidth="1"/>
    <col min="5" max="5" width="0.85546875" style="4" customWidth="1"/>
    <col min="6" max="6" width="15.42578125" style="5" bestFit="1" customWidth="1"/>
    <col min="7" max="7" width="10.28515625" style="5" customWidth="1"/>
    <col min="8" max="8" width="15.28515625" style="5" customWidth="1"/>
    <col min="9" max="9" width="0.85546875" style="2" customWidth="1"/>
    <col min="10" max="10" width="13.7109375" style="5" customWidth="1"/>
    <col min="11" max="11" width="15" style="5" bestFit="1" customWidth="1"/>
    <col min="12" max="12" width="13.7109375" style="5" customWidth="1"/>
    <col min="13" max="14" width="15.140625" style="5" bestFit="1" customWidth="1"/>
    <col min="15" max="15" width="18.42578125" style="5" customWidth="1"/>
    <col min="16" max="18" width="14.7109375" style="6" customWidth="1"/>
    <col min="19" max="19" width="11.7109375" style="6" bestFit="1" customWidth="1"/>
    <col min="20" max="20" width="10.28515625" style="6" bestFit="1" customWidth="1"/>
    <col min="21" max="21" width="11.28515625" style="6" customWidth="1"/>
    <col min="22" max="16384" width="9.140625" style="4"/>
  </cols>
  <sheetData>
    <row r="1" spans="1:21" ht="13.5" x14ac:dyDescent="0.25">
      <c r="A1" s="3" t="s">
        <v>70</v>
      </c>
      <c r="E1" s="49"/>
      <c r="M1" s="7"/>
      <c r="N1" s="6"/>
      <c r="O1" s="6"/>
      <c r="P1" s="8"/>
      <c r="Q1" s="8"/>
      <c r="R1" s="8"/>
      <c r="S1" s="8"/>
      <c r="T1" s="9"/>
      <c r="U1" s="4"/>
    </row>
    <row r="2" spans="1:21" x14ac:dyDescent="0.2">
      <c r="A2" s="41" t="s">
        <v>71</v>
      </c>
      <c r="B2" s="10"/>
      <c r="C2" s="11"/>
      <c r="D2" s="11"/>
      <c r="E2" s="54"/>
      <c r="F2" s="23"/>
      <c r="G2" s="23"/>
      <c r="H2" s="23"/>
      <c r="I2" s="23"/>
      <c r="J2" s="4"/>
      <c r="L2" s="4"/>
      <c r="M2" s="4"/>
      <c r="N2" s="12"/>
      <c r="O2" s="12"/>
      <c r="P2" s="13" t="s">
        <v>82</v>
      </c>
      <c r="Q2" s="13" t="s">
        <v>82</v>
      </c>
      <c r="R2" s="13" t="s">
        <v>82</v>
      </c>
      <c r="S2" s="14"/>
      <c r="T2" s="15"/>
      <c r="U2" s="16"/>
    </row>
    <row r="3" spans="1:21" s="29" customFormat="1" ht="14.25" thickBot="1" x14ac:dyDescent="0.3">
      <c r="A3" s="92"/>
      <c r="B3" s="53"/>
      <c r="C3" s="54"/>
      <c r="D3" s="54"/>
      <c r="E3" s="54"/>
      <c r="F3" s="23"/>
      <c r="G3" s="23"/>
      <c r="H3" s="23" t="s">
        <v>48</v>
      </c>
      <c r="I3" s="23"/>
      <c r="J3" s="96">
        <v>40147</v>
      </c>
      <c r="K3" s="18" t="s">
        <v>67</v>
      </c>
      <c r="L3" s="18" t="s">
        <v>68</v>
      </c>
      <c r="M3" s="96">
        <v>40178</v>
      </c>
      <c r="N3" s="39"/>
      <c r="O3" s="39"/>
      <c r="P3" s="101" t="s">
        <v>79</v>
      </c>
      <c r="Q3" s="101" t="s">
        <v>84</v>
      </c>
      <c r="R3" s="18" t="s">
        <v>83</v>
      </c>
      <c r="S3" s="55"/>
      <c r="T3" s="54"/>
      <c r="U3" s="53"/>
    </row>
    <row r="4" spans="1:21" ht="13.5" thickBot="1" x14ac:dyDescent="0.25">
      <c r="A4" s="98" t="s">
        <v>46</v>
      </c>
      <c r="B4" s="17"/>
      <c r="C4" s="20" t="s">
        <v>44</v>
      </c>
      <c r="D4" s="71">
        <v>39813</v>
      </c>
      <c r="E4" s="71"/>
      <c r="F4" s="18" t="s">
        <v>65</v>
      </c>
      <c r="G4" s="18" t="s">
        <v>32</v>
      </c>
      <c r="H4" s="18" t="s">
        <v>34</v>
      </c>
      <c r="I4" s="18"/>
      <c r="J4" s="18" t="s">
        <v>23</v>
      </c>
      <c r="K4" s="18" t="s">
        <v>62</v>
      </c>
      <c r="L4" s="18" t="s">
        <v>8</v>
      </c>
      <c r="M4" s="48" t="s">
        <v>27</v>
      </c>
      <c r="N4" s="19"/>
      <c r="O4" s="20"/>
      <c r="P4" s="18" t="s">
        <v>80</v>
      </c>
      <c r="Q4" s="18" t="s">
        <v>85</v>
      </c>
      <c r="R4" s="71">
        <v>40178</v>
      </c>
      <c r="S4" s="17"/>
      <c r="T4" s="17"/>
      <c r="U4" s="17"/>
    </row>
    <row r="5" spans="1:21" ht="13.5" thickBot="1" x14ac:dyDescent="0.25">
      <c r="A5" s="21"/>
      <c r="B5" s="21"/>
      <c r="C5" s="50" t="s">
        <v>45</v>
      </c>
      <c r="D5" s="99" t="s">
        <v>53</v>
      </c>
      <c r="E5" s="71"/>
      <c r="F5" s="51" t="s">
        <v>4</v>
      </c>
      <c r="G5" s="51" t="s">
        <v>33</v>
      </c>
      <c r="H5" s="51" t="s">
        <v>65</v>
      </c>
      <c r="I5" s="18"/>
      <c r="J5" s="51" t="s">
        <v>56</v>
      </c>
      <c r="K5" s="51" t="s">
        <v>63</v>
      </c>
      <c r="L5" s="51" t="s">
        <v>7</v>
      </c>
      <c r="M5" s="52" t="s">
        <v>7</v>
      </c>
      <c r="N5" s="22"/>
      <c r="O5" s="22"/>
      <c r="P5" s="51" t="s">
        <v>81</v>
      </c>
      <c r="Q5" s="51" t="s">
        <v>62</v>
      </c>
      <c r="R5" s="99" t="s">
        <v>53</v>
      </c>
      <c r="S5" s="21"/>
      <c r="T5" s="21"/>
      <c r="U5" s="21"/>
    </row>
    <row r="6" spans="1:21" ht="5.25" customHeight="1" x14ac:dyDescent="0.2">
      <c r="E6" s="49"/>
      <c r="F6" s="23"/>
      <c r="G6" s="23"/>
      <c r="H6" s="23"/>
      <c r="I6" s="23"/>
      <c r="J6" s="23"/>
      <c r="L6" s="23"/>
      <c r="M6" s="7"/>
      <c r="N6" s="8"/>
      <c r="O6" s="9"/>
      <c r="P6" s="9"/>
      <c r="Q6" s="9"/>
      <c r="R6" s="9"/>
      <c r="S6" s="4"/>
      <c r="T6" s="4"/>
      <c r="U6" s="4"/>
    </row>
    <row r="7" spans="1:21" x14ac:dyDescent="0.2">
      <c r="A7" s="25" t="s">
        <v>49</v>
      </c>
      <c r="B7" s="25"/>
      <c r="C7" s="70"/>
      <c r="D7" s="28"/>
      <c r="E7" s="1"/>
      <c r="F7" s="27">
        <v>0</v>
      </c>
      <c r="G7" s="2"/>
      <c r="H7" s="2"/>
      <c r="J7" s="2"/>
      <c r="L7" s="2"/>
      <c r="M7" s="2"/>
      <c r="N7" s="32"/>
      <c r="O7" s="32"/>
      <c r="S7" s="31"/>
      <c r="T7" s="31"/>
      <c r="U7" s="31"/>
    </row>
    <row r="8" spans="1:21" x14ac:dyDescent="0.2">
      <c r="A8" s="25" t="s">
        <v>9</v>
      </c>
      <c r="B8" s="25"/>
      <c r="C8" s="25" t="s">
        <v>10</v>
      </c>
      <c r="D8" s="68">
        <v>4553281</v>
      </c>
      <c r="E8" s="1"/>
      <c r="F8" s="2">
        <f>F7*(D8/(D8+D9))</f>
        <v>0</v>
      </c>
      <c r="G8" s="69"/>
      <c r="H8" s="2">
        <f>-SUM(F8:G8)</f>
        <v>0</v>
      </c>
      <c r="J8"/>
      <c r="K8"/>
      <c r="L8" s="2">
        <f>H8-J8-K8</f>
        <v>0</v>
      </c>
      <c r="M8" s="2">
        <f>L8/(13-MONTH($M$3))</f>
        <v>0</v>
      </c>
      <c r="N8" s="32"/>
      <c r="O8" s="32"/>
      <c r="P8" s="26">
        <v>-4553280.72</v>
      </c>
      <c r="Q8" s="26"/>
      <c r="R8" s="26">
        <f>D8+H8+P8+Q8</f>
        <v>0.28000000026077032</v>
      </c>
      <c r="S8" s="31"/>
      <c r="T8" s="31"/>
      <c r="U8" s="31"/>
    </row>
    <row r="9" spans="1:21" x14ac:dyDescent="0.2">
      <c r="A9" s="25" t="s">
        <v>9</v>
      </c>
      <c r="B9" s="25"/>
      <c r="C9" s="25" t="s">
        <v>11</v>
      </c>
      <c r="D9" s="68">
        <v>7881208</v>
      </c>
      <c r="E9" s="1"/>
      <c r="F9" s="2">
        <f>F7*(D9/(D9+D8))</f>
        <v>0</v>
      </c>
      <c r="G9" s="69"/>
      <c r="H9" s="2">
        <f>-SUM(F9:G9)</f>
        <v>0</v>
      </c>
      <c r="J9"/>
      <c r="K9"/>
      <c r="L9" s="2">
        <f t="shared" ref="L9:L21" si="0">H9-J9-K9</f>
        <v>0</v>
      </c>
      <c r="M9" s="2">
        <f t="shared" ref="M9:M21" si="1">L9/(13-MONTH($M$3))</f>
        <v>0</v>
      </c>
      <c r="N9" s="2"/>
      <c r="O9" s="1"/>
      <c r="P9" s="26">
        <v>-7881208.2999999998</v>
      </c>
      <c r="Q9" s="26"/>
      <c r="R9" s="26">
        <f t="shared" ref="R9:R21" si="2">D9+H9+P9+Q9</f>
        <v>-0.29999999981373549</v>
      </c>
      <c r="S9" s="25"/>
      <c r="T9" s="25"/>
      <c r="U9" s="25"/>
    </row>
    <row r="10" spans="1:21" x14ac:dyDescent="0.2">
      <c r="A10" s="25" t="s">
        <v>50</v>
      </c>
      <c r="B10" s="25"/>
      <c r="C10" s="70"/>
      <c r="D10" s="28"/>
      <c r="E10" s="1"/>
      <c r="F10" s="27">
        <v>0</v>
      </c>
      <c r="G10" s="2"/>
      <c r="H10" s="2"/>
      <c r="J10"/>
      <c r="K10"/>
      <c r="L10" s="2">
        <f t="shared" si="0"/>
        <v>0</v>
      </c>
      <c r="M10" s="2">
        <f t="shared" si="1"/>
        <v>0</v>
      </c>
      <c r="N10" s="32"/>
      <c r="O10" s="32"/>
      <c r="P10" s="26"/>
      <c r="Q10" s="26"/>
      <c r="R10" s="26">
        <f t="shared" si="2"/>
        <v>0</v>
      </c>
      <c r="S10" s="31"/>
      <c r="T10" s="31"/>
      <c r="U10" s="31"/>
    </row>
    <row r="11" spans="1:21" x14ac:dyDescent="0.2">
      <c r="A11" s="25" t="s">
        <v>9</v>
      </c>
      <c r="B11" s="25"/>
      <c r="C11" s="25" t="s">
        <v>13</v>
      </c>
      <c r="D11" s="68">
        <v>398721</v>
      </c>
      <c r="E11" s="1"/>
      <c r="F11" s="2">
        <f>F10*(D11/(D11+D12))</f>
        <v>0</v>
      </c>
      <c r="G11" s="69"/>
      <c r="H11" s="2">
        <f t="shared" ref="H11:H21" si="3">-SUM(F11:G11)</f>
        <v>0</v>
      </c>
      <c r="J11"/>
      <c r="K11"/>
      <c r="L11" s="2">
        <f t="shared" si="0"/>
        <v>0</v>
      </c>
      <c r="M11" s="2">
        <f t="shared" si="1"/>
        <v>0</v>
      </c>
      <c r="N11" s="26"/>
      <c r="O11" s="26"/>
      <c r="P11" s="26">
        <v>-398720.83</v>
      </c>
      <c r="Q11" s="26"/>
      <c r="R11" s="26">
        <f t="shared" si="2"/>
        <v>0.16999999998370185</v>
      </c>
      <c r="S11" s="25"/>
      <c r="T11" s="25"/>
      <c r="U11" s="25"/>
    </row>
    <row r="12" spans="1:21" x14ac:dyDescent="0.2">
      <c r="A12" s="25" t="s">
        <v>9</v>
      </c>
      <c r="B12" s="25"/>
      <c r="C12" s="25" t="s">
        <v>12</v>
      </c>
      <c r="D12" s="68">
        <v>948359</v>
      </c>
      <c r="E12" s="1"/>
      <c r="F12" s="2">
        <f>F10*(D12/(D12+D11))</f>
        <v>0</v>
      </c>
      <c r="G12" s="69"/>
      <c r="H12" s="2">
        <f t="shared" si="3"/>
        <v>0</v>
      </c>
      <c r="J12"/>
      <c r="K12"/>
      <c r="L12" s="2">
        <f t="shared" si="0"/>
        <v>0</v>
      </c>
      <c r="M12" s="2">
        <f t="shared" si="1"/>
        <v>0</v>
      </c>
      <c r="N12" s="26"/>
      <c r="O12" s="26"/>
      <c r="P12" s="26">
        <v>-948359.49</v>
      </c>
      <c r="Q12" s="26"/>
      <c r="R12" s="26">
        <f t="shared" si="2"/>
        <v>-0.48999999999068677</v>
      </c>
      <c r="S12" s="25"/>
      <c r="T12" s="25"/>
      <c r="U12" s="25"/>
    </row>
    <row r="13" spans="1:21" x14ac:dyDescent="0.2">
      <c r="A13" s="25" t="s">
        <v>9</v>
      </c>
      <c r="B13" s="25"/>
      <c r="C13" s="25" t="s">
        <v>14</v>
      </c>
      <c r="D13" s="68">
        <v>255115</v>
      </c>
      <c r="E13" s="1"/>
      <c r="F13" s="27">
        <v>0</v>
      </c>
      <c r="G13" s="2"/>
      <c r="H13" s="2">
        <f t="shared" si="3"/>
        <v>0</v>
      </c>
      <c r="J13"/>
      <c r="K13"/>
      <c r="L13" s="2">
        <f t="shared" si="0"/>
        <v>0</v>
      </c>
      <c r="M13" s="2">
        <f t="shared" si="1"/>
        <v>0</v>
      </c>
      <c r="N13" s="26"/>
      <c r="O13" s="26"/>
      <c r="P13" s="26">
        <v>-255114.53</v>
      </c>
      <c r="Q13" s="26"/>
      <c r="R13" s="26">
        <f t="shared" si="2"/>
        <v>0.47000000000116415</v>
      </c>
      <c r="S13" s="25"/>
      <c r="T13" s="25"/>
      <c r="U13" s="25"/>
    </row>
    <row r="14" spans="1:21" x14ac:dyDescent="0.2">
      <c r="A14" s="25" t="s">
        <v>2</v>
      </c>
      <c r="B14" s="25"/>
      <c r="C14" s="25" t="s">
        <v>20</v>
      </c>
      <c r="D14" s="68">
        <v>-58175</v>
      </c>
      <c r="E14" s="1"/>
      <c r="F14" s="27">
        <v>-4579</v>
      </c>
      <c r="G14" s="2"/>
      <c r="H14" s="2">
        <f t="shared" si="3"/>
        <v>4579</v>
      </c>
      <c r="J14" s="27">
        <v>-2188.083333333333</v>
      </c>
      <c r="K14" s="5">
        <f>H14-J14</f>
        <v>6767.083333333333</v>
      </c>
      <c r="L14" s="2">
        <f t="shared" si="0"/>
        <v>0</v>
      </c>
      <c r="M14" s="2">
        <f t="shared" si="1"/>
        <v>0</v>
      </c>
      <c r="N14" s="2">
        <f>M14*8</f>
        <v>0</v>
      </c>
      <c r="O14" s="1">
        <f>N14+K14+J14</f>
        <v>4579</v>
      </c>
      <c r="P14" s="26"/>
      <c r="Q14" s="26"/>
      <c r="R14" s="26">
        <f>D14+H14+P14+Q14</f>
        <v>-53596</v>
      </c>
      <c r="S14" s="25"/>
      <c r="T14" s="25"/>
      <c r="U14" s="25"/>
    </row>
    <row r="15" spans="1:21" x14ac:dyDescent="0.2">
      <c r="A15" s="25" t="s">
        <v>5</v>
      </c>
      <c r="B15" s="25"/>
      <c r="C15" s="25" t="s">
        <v>22</v>
      </c>
      <c r="D15" s="68">
        <v>146855</v>
      </c>
      <c r="E15" s="1"/>
      <c r="F15" s="27">
        <v>92318</v>
      </c>
      <c r="G15" s="2"/>
      <c r="H15" s="2">
        <f t="shared" si="3"/>
        <v>-92318</v>
      </c>
      <c r="J15" s="27">
        <v>-83611.916666666657</v>
      </c>
      <c r="K15" s="5">
        <f t="shared" ref="K15:K21" si="4">H15-J15</f>
        <v>-8706.083333333343</v>
      </c>
      <c r="L15" s="2">
        <f t="shared" si="0"/>
        <v>0</v>
      </c>
      <c r="M15" s="2">
        <f t="shared" si="1"/>
        <v>0</v>
      </c>
      <c r="N15" s="2">
        <f t="shared" ref="N15:N21" si="5">M15*8</f>
        <v>0</v>
      </c>
      <c r="O15" s="1">
        <f t="shared" ref="O15:O21" si="6">N15+K15+J15</f>
        <v>-92318</v>
      </c>
      <c r="P15" s="26"/>
      <c r="Q15" s="26"/>
      <c r="R15" s="26">
        <f t="shared" si="2"/>
        <v>54537</v>
      </c>
      <c r="S15" s="25"/>
      <c r="T15" s="25"/>
      <c r="U15" s="25"/>
    </row>
    <row r="16" spans="1:21" x14ac:dyDescent="0.2">
      <c r="A16" s="25" t="s">
        <v>52</v>
      </c>
      <c r="B16" s="25"/>
      <c r="C16" s="25" t="s">
        <v>21</v>
      </c>
      <c r="D16" s="68">
        <v>-1170418</v>
      </c>
      <c r="E16" s="1"/>
      <c r="F16" s="27">
        <v>-116955</v>
      </c>
      <c r="G16" s="2"/>
      <c r="H16" s="2">
        <f t="shared" si="3"/>
        <v>116955</v>
      </c>
      <c r="J16" s="27">
        <v>107208.75</v>
      </c>
      <c r="K16" s="5">
        <f t="shared" si="4"/>
        <v>9746.25</v>
      </c>
      <c r="L16" s="2">
        <f t="shared" si="0"/>
        <v>0</v>
      </c>
      <c r="M16" s="2">
        <f t="shared" si="1"/>
        <v>0</v>
      </c>
      <c r="N16" s="2">
        <f t="shared" si="5"/>
        <v>0</v>
      </c>
      <c r="O16" s="1">
        <f t="shared" si="6"/>
        <v>116955</v>
      </c>
      <c r="P16" s="26"/>
      <c r="Q16" s="26"/>
      <c r="R16" s="26">
        <f t="shared" si="2"/>
        <v>-1053463</v>
      </c>
      <c r="S16" s="25"/>
      <c r="T16" s="25"/>
      <c r="U16" s="25"/>
    </row>
    <row r="17" spans="1:21" x14ac:dyDescent="0.2">
      <c r="A17" s="28" t="s">
        <v>29</v>
      </c>
      <c r="B17" s="28"/>
      <c r="C17" s="25" t="s">
        <v>17</v>
      </c>
      <c r="D17" s="68">
        <v>-10142283</v>
      </c>
      <c r="E17" s="1"/>
      <c r="F17" s="27">
        <v>3957495</v>
      </c>
      <c r="G17" s="2"/>
      <c r="H17" s="2">
        <f t="shared" si="3"/>
        <v>-3957495</v>
      </c>
      <c r="J17" s="27">
        <v>-1563758.1666666667</v>
      </c>
      <c r="K17" s="5">
        <f t="shared" si="4"/>
        <v>-2393736.833333333</v>
      </c>
      <c r="L17" s="2">
        <f t="shared" si="0"/>
        <v>0</v>
      </c>
      <c r="M17" s="2">
        <f t="shared" si="1"/>
        <v>0</v>
      </c>
      <c r="N17" s="2">
        <f t="shared" si="5"/>
        <v>0</v>
      </c>
      <c r="O17" s="1">
        <f t="shared" si="6"/>
        <v>-3957495</v>
      </c>
      <c r="P17" s="26"/>
      <c r="Q17" s="26"/>
      <c r="R17" s="26">
        <f t="shared" si="2"/>
        <v>-14099778</v>
      </c>
      <c r="S17" s="25"/>
      <c r="T17" s="25"/>
      <c r="U17" s="25"/>
    </row>
    <row r="18" spans="1:21" x14ac:dyDescent="0.2">
      <c r="A18" s="28" t="s">
        <v>30</v>
      </c>
      <c r="B18" s="28"/>
      <c r="C18" s="25" t="s">
        <v>18</v>
      </c>
      <c r="D18" s="68">
        <v>-1598945</v>
      </c>
      <c r="E18" s="1"/>
      <c r="F18" s="27">
        <v>84589</v>
      </c>
      <c r="G18" s="2"/>
      <c r="H18" s="2">
        <f t="shared" si="3"/>
        <v>-84589</v>
      </c>
      <c r="J18" s="27">
        <v>-11280.5</v>
      </c>
      <c r="K18" s="5">
        <f t="shared" si="4"/>
        <v>-73308.5</v>
      </c>
      <c r="L18" s="2">
        <f t="shared" si="0"/>
        <v>0</v>
      </c>
      <c r="M18" s="2">
        <f t="shared" si="1"/>
        <v>0</v>
      </c>
      <c r="N18" s="2">
        <f t="shared" si="5"/>
        <v>0</v>
      </c>
      <c r="O18" s="1">
        <f t="shared" si="6"/>
        <v>-84589</v>
      </c>
      <c r="P18" s="26"/>
      <c r="Q18" s="26"/>
      <c r="R18" s="26">
        <f t="shared" si="2"/>
        <v>-1683534</v>
      </c>
      <c r="S18" s="25"/>
      <c r="T18" s="25"/>
      <c r="U18" s="25"/>
    </row>
    <row r="19" spans="1:21" x14ac:dyDescent="0.2">
      <c r="A19" s="4" t="s">
        <v>28</v>
      </c>
      <c r="B19" s="46"/>
      <c r="C19" s="32" t="s">
        <v>16</v>
      </c>
      <c r="D19" s="68">
        <v>-243571538</v>
      </c>
      <c r="E19" s="2"/>
      <c r="F19" s="27">
        <v>27009336</v>
      </c>
      <c r="G19" s="2">
        <f>D35</f>
        <v>0</v>
      </c>
      <c r="H19" s="2">
        <f t="shared" si="3"/>
        <v>-27009336</v>
      </c>
      <c r="J19" s="27">
        <v>-7176334</v>
      </c>
      <c r="K19" s="5">
        <f t="shared" si="4"/>
        <v>-19833002</v>
      </c>
      <c r="L19" s="2">
        <f t="shared" si="0"/>
        <v>0</v>
      </c>
      <c r="M19" s="2">
        <f t="shared" si="1"/>
        <v>0</v>
      </c>
      <c r="N19" s="2">
        <f t="shared" si="5"/>
        <v>0</v>
      </c>
      <c r="O19" s="1">
        <f t="shared" si="6"/>
        <v>-27009336</v>
      </c>
      <c r="P19" s="26">
        <f>(P8+P9)*-1</f>
        <v>12434489.02</v>
      </c>
      <c r="Q19" s="6">
        <v>11075201.25999999</v>
      </c>
      <c r="R19" s="26">
        <f t="shared" si="2"/>
        <v>-247071183.72</v>
      </c>
      <c r="S19" s="25"/>
      <c r="T19" s="25"/>
      <c r="U19" s="25"/>
    </row>
    <row r="20" spans="1:21" x14ac:dyDescent="0.2">
      <c r="A20" s="47" t="s">
        <v>26</v>
      </c>
      <c r="B20" s="28"/>
      <c r="C20" s="36" t="s">
        <v>19</v>
      </c>
      <c r="D20" s="68">
        <v>-45399798</v>
      </c>
      <c r="E20" s="40"/>
      <c r="F20" s="27">
        <v>7179052</v>
      </c>
      <c r="G20" s="2">
        <f>D36</f>
        <v>0</v>
      </c>
      <c r="H20" s="2">
        <f t="shared" si="3"/>
        <v>-7179052</v>
      </c>
      <c r="J20" s="27">
        <v>-3370070.9166666665</v>
      </c>
      <c r="K20" s="5">
        <f t="shared" si="4"/>
        <v>-3808981.0833333335</v>
      </c>
      <c r="L20" s="2">
        <f t="shared" si="0"/>
        <v>0</v>
      </c>
      <c r="M20" s="2">
        <f t="shared" si="1"/>
        <v>0</v>
      </c>
      <c r="N20" s="2">
        <f t="shared" si="5"/>
        <v>0</v>
      </c>
      <c r="O20" s="1">
        <f t="shared" si="6"/>
        <v>-7179052</v>
      </c>
      <c r="P20" s="26">
        <f>(P11+P12)*-1</f>
        <v>1347080.32</v>
      </c>
      <c r="Q20" s="6">
        <v>2951950.549999997</v>
      </c>
      <c r="R20" s="26">
        <f t="shared" si="2"/>
        <v>-48279819.130000003</v>
      </c>
      <c r="S20" s="25"/>
      <c r="T20" s="25"/>
      <c r="U20" s="25"/>
    </row>
    <row r="21" spans="1:21" x14ac:dyDescent="0.2">
      <c r="A21" s="26" t="s">
        <v>47</v>
      </c>
      <c r="B21" s="26"/>
      <c r="C21" s="26" t="s">
        <v>24</v>
      </c>
      <c r="D21" s="68">
        <v>-20969939</v>
      </c>
      <c r="E21" s="1"/>
      <c r="F21" s="27">
        <v>4500985</v>
      </c>
      <c r="G21" s="2">
        <f>D37</f>
        <v>0</v>
      </c>
      <c r="H21" s="2">
        <f t="shared" si="3"/>
        <v>-4500985</v>
      </c>
      <c r="J21" s="27">
        <v>-1806407.1666666667</v>
      </c>
      <c r="K21" s="5">
        <f t="shared" si="4"/>
        <v>-2694577.833333333</v>
      </c>
      <c r="L21" s="2">
        <f t="shared" si="0"/>
        <v>0</v>
      </c>
      <c r="M21" s="2">
        <f t="shared" si="1"/>
        <v>0</v>
      </c>
      <c r="N21" s="2">
        <f t="shared" si="5"/>
        <v>0</v>
      </c>
      <c r="O21" s="1">
        <f t="shared" si="6"/>
        <v>-4500985</v>
      </c>
      <c r="P21" s="26">
        <f>(P13)*-1</f>
        <v>255114.53</v>
      </c>
      <c r="Q21" s="6">
        <v>1363621.129999999</v>
      </c>
      <c r="R21" s="26">
        <f t="shared" si="2"/>
        <v>-23852188.34</v>
      </c>
      <c r="S21" s="25"/>
      <c r="T21" s="25"/>
      <c r="U21" s="25"/>
    </row>
    <row r="22" spans="1:21" x14ac:dyDescent="0.2">
      <c r="A22" s="25"/>
      <c r="B22" s="25"/>
      <c r="C22" s="35"/>
      <c r="D22" s="35"/>
      <c r="E22" s="72"/>
      <c r="F22" s="2"/>
      <c r="G22" s="2"/>
      <c r="H22" s="2"/>
      <c r="J22" s="2"/>
      <c r="L22" s="2"/>
      <c r="M22" s="2"/>
      <c r="N22" s="26"/>
      <c r="O22" s="26"/>
      <c r="P22" s="26"/>
      <c r="Q22" s="26"/>
      <c r="R22" s="26">
        <f>D22+H22+P22</f>
        <v>0</v>
      </c>
      <c r="S22" s="25"/>
      <c r="U22" s="25"/>
    </row>
    <row r="23" spans="1:21" x14ac:dyDescent="0.2">
      <c r="A23" s="25" t="s">
        <v>6</v>
      </c>
      <c r="B23" s="26"/>
      <c r="C23" s="26"/>
      <c r="D23" s="45">
        <f>SUM(D8:D22)</f>
        <v>-308727557</v>
      </c>
      <c r="E23" s="2"/>
      <c r="F23" s="45">
        <f>SUM(F7:F22)-F7-F10</f>
        <v>42702241</v>
      </c>
      <c r="G23" s="45">
        <f>SUM(G8:G22)</f>
        <v>0</v>
      </c>
      <c r="H23" s="45">
        <f>SUM(H8:H22)</f>
        <v>-42702241</v>
      </c>
      <c r="J23" s="45">
        <f>SUM(J8:J22)</f>
        <v>-13906441.999999998</v>
      </c>
      <c r="K23" s="45">
        <f>SUM(K8:K22)</f>
        <v>-28795798.999999996</v>
      </c>
      <c r="L23" s="45">
        <f>SUM(L8:L22)</f>
        <v>0</v>
      </c>
      <c r="M23" s="45">
        <f>SUM(M8:M22)</f>
        <v>0</v>
      </c>
      <c r="N23" s="26">
        <f>SUM(N14:N22)</f>
        <v>0</v>
      </c>
      <c r="O23" s="26">
        <f>SUM(O14:O22)</f>
        <v>-42702241</v>
      </c>
      <c r="P23" s="45">
        <f>SUM(P8:P22)</f>
        <v>4.3655745685100555E-10</v>
      </c>
      <c r="Q23" s="45"/>
      <c r="R23" s="45">
        <f>SUM(R8:R22)</f>
        <v>-336039025.06</v>
      </c>
      <c r="S23" s="25"/>
      <c r="U23" s="25"/>
    </row>
    <row r="24" spans="1:21" x14ac:dyDescent="0.2">
      <c r="A24" s="24" t="s">
        <v>43</v>
      </c>
      <c r="D24" s="26"/>
      <c r="E24" s="1"/>
      <c r="F24" s="56"/>
      <c r="H24" s="5">
        <f>ROUND(F24+H23,0)</f>
        <v>-42702241</v>
      </c>
      <c r="L24" s="7">
        <f>J23+K23+L23-H23</f>
        <v>0</v>
      </c>
      <c r="M24" s="6">
        <f>(M23*(13-MONTH($M$3))-L23)</f>
        <v>0</v>
      </c>
      <c r="N24" s="6"/>
      <c r="O24" s="8"/>
      <c r="P24" s="8"/>
      <c r="Q24" s="8"/>
      <c r="R24" s="8"/>
      <c r="S24" s="9"/>
      <c r="U24" s="4"/>
    </row>
    <row r="25" spans="1:21" ht="13.5" thickBot="1" x14ac:dyDescent="0.25">
      <c r="A25" s="24"/>
      <c r="D25" s="26"/>
      <c r="K25" s="7"/>
      <c r="L25" s="6"/>
      <c r="M25" s="6"/>
      <c r="N25" s="6"/>
      <c r="O25" s="8"/>
      <c r="P25" s="8"/>
      <c r="Q25" s="8"/>
      <c r="R25" s="8"/>
      <c r="S25" s="9"/>
      <c r="T25" s="25">
        <v>-11075201.25999999</v>
      </c>
      <c r="U25" s="4"/>
    </row>
    <row r="26" spans="1:21" ht="13.5" thickBot="1" x14ac:dyDescent="0.25">
      <c r="A26" s="24"/>
      <c r="H26" s="200" t="s">
        <v>66</v>
      </c>
      <c r="I26" s="201"/>
      <c r="J26" s="201"/>
      <c r="K26" s="201"/>
      <c r="L26" s="202"/>
      <c r="M26" s="6"/>
      <c r="O26" s="6"/>
      <c r="S26" s="8"/>
      <c r="T26" s="25">
        <v>-2951950.549999997</v>
      </c>
      <c r="U26" s="9"/>
    </row>
    <row r="27" spans="1:21" ht="13.5" thickBot="1" x14ac:dyDescent="0.25">
      <c r="A27" s="24"/>
      <c r="H27" s="200" t="s">
        <v>59</v>
      </c>
      <c r="I27" s="201"/>
      <c r="J27" s="201"/>
      <c r="K27" s="201"/>
      <c r="L27" s="202"/>
      <c r="M27" s="7"/>
      <c r="N27" s="6"/>
      <c r="O27" s="6"/>
      <c r="S27" s="8"/>
      <c r="T27" s="25">
        <v>-1363621.129999999</v>
      </c>
      <c r="U27" s="9"/>
    </row>
    <row r="28" spans="1:21" x14ac:dyDescent="0.2">
      <c r="A28" s="24"/>
      <c r="H28" s="75"/>
      <c r="I28" s="18"/>
      <c r="J28" s="18"/>
      <c r="K28" s="18"/>
      <c r="L28" s="76"/>
      <c r="N28" s="6"/>
      <c r="O28" s="7"/>
      <c r="T28" s="8"/>
      <c r="U28" s="8"/>
    </row>
    <row r="29" spans="1:21" x14ac:dyDescent="0.2">
      <c r="A29" s="57" t="s">
        <v>31</v>
      </c>
      <c r="B29" s="57"/>
      <c r="C29" s="57"/>
      <c r="D29" s="57"/>
      <c r="E29" s="57"/>
      <c r="F29" s="58"/>
      <c r="H29" s="77" t="s">
        <v>35</v>
      </c>
      <c r="I29" s="38"/>
      <c r="J29" s="38"/>
      <c r="K29" s="20" t="s">
        <v>44</v>
      </c>
      <c r="L29" s="78"/>
    </row>
    <row r="30" spans="1:21" ht="13.5" thickBot="1" x14ac:dyDescent="0.25">
      <c r="A30" s="59" t="s">
        <v>0</v>
      </c>
      <c r="B30" s="57"/>
      <c r="C30" s="57"/>
      <c r="D30" s="57"/>
      <c r="E30" s="57"/>
      <c r="F30" s="56">
        <v>0</v>
      </c>
      <c r="H30" s="79" t="s">
        <v>42</v>
      </c>
      <c r="I30" s="44"/>
      <c r="J30" s="38"/>
      <c r="K30" s="50" t="s">
        <v>45</v>
      </c>
      <c r="L30" s="78"/>
      <c r="N30" s="34"/>
      <c r="O30" s="34"/>
      <c r="P30" s="5"/>
      <c r="Q30" s="5"/>
      <c r="R30" s="5"/>
      <c r="T30" s="7"/>
    </row>
    <row r="31" spans="1:21" x14ac:dyDescent="0.2">
      <c r="A31" s="59" t="s">
        <v>3</v>
      </c>
      <c r="B31" s="57"/>
      <c r="C31" s="57"/>
      <c r="D31" s="57"/>
      <c r="E31" s="57"/>
      <c r="F31" s="56">
        <v>0</v>
      </c>
      <c r="H31" s="80" t="s">
        <v>38</v>
      </c>
      <c r="I31" s="38"/>
      <c r="J31" s="90">
        <f>-M8</f>
        <v>0</v>
      </c>
      <c r="K31" s="26" t="s">
        <v>10</v>
      </c>
      <c r="L31" s="91">
        <f>M8</f>
        <v>0</v>
      </c>
      <c r="P31" s="5"/>
      <c r="Q31" s="5"/>
      <c r="R31" s="5"/>
      <c r="T31" s="7"/>
    </row>
    <row r="32" spans="1:21" x14ac:dyDescent="0.2">
      <c r="A32" s="59" t="s">
        <v>1</v>
      </c>
      <c r="B32" s="57"/>
      <c r="C32" s="57"/>
      <c r="D32" s="57"/>
      <c r="E32" s="57"/>
      <c r="F32" s="56">
        <v>0</v>
      </c>
      <c r="H32" s="80" t="s">
        <v>38</v>
      </c>
      <c r="I32" s="43"/>
      <c r="J32" s="42">
        <f>-M9</f>
        <v>0</v>
      </c>
      <c r="K32" s="26" t="s">
        <v>11</v>
      </c>
      <c r="L32" s="78">
        <f>M9</f>
        <v>0</v>
      </c>
      <c r="P32" s="5"/>
      <c r="Q32" s="5"/>
      <c r="R32" s="5"/>
      <c r="T32" s="7"/>
    </row>
    <row r="33" spans="1:20" x14ac:dyDescent="0.2">
      <c r="A33" s="60"/>
      <c r="B33" s="60"/>
      <c r="C33" s="60"/>
      <c r="D33" s="60"/>
      <c r="E33" s="60"/>
      <c r="F33" s="61">
        <f>ROUND(G23-SUM(F31:F32),0)</f>
        <v>0</v>
      </c>
      <c r="H33" s="81" t="s">
        <v>15</v>
      </c>
      <c r="I33" s="43"/>
      <c r="J33" s="42">
        <f t="shared" ref="J33:J43" si="7">-M11</f>
        <v>0</v>
      </c>
      <c r="K33" s="26" t="s">
        <v>13</v>
      </c>
      <c r="L33" s="78">
        <f t="shared" ref="L33:L43" si="8">M11</f>
        <v>0</v>
      </c>
      <c r="P33" s="5"/>
      <c r="Q33" s="5"/>
      <c r="R33" s="5"/>
      <c r="T33" s="7"/>
    </row>
    <row r="34" spans="1:20" x14ac:dyDescent="0.2">
      <c r="A34" s="100" t="s">
        <v>57</v>
      </c>
      <c r="B34" s="60"/>
      <c r="C34" s="62"/>
      <c r="D34" s="62"/>
      <c r="E34" s="62"/>
      <c r="F34" s="62"/>
      <c r="H34" s="81" t="s">
        <v>15</v>
      </c>
      <c r="I34" s="38"/>
      <c r="J34" s="42">
        <f t="shared" si="7"/>
        <v>0</v>
      </c>
      <c r="K34" s="26" t="s">
        <v>12</v>
      </c>
      <c r="L34" s="78">
        <f t="shared" si="8"/>
        <v>0</v>
      </c>
      <c r="P34" s="5"/>
      <c r="Q34" s="5"/>
      <c r="R34" s="5"/>
      <c r="T34" s="7"/>
    </row>
    <row r="35" spans="1:20" x14ac:dyDescent="0.2">
      <c r="A35" s="60" t="s">
        <v>54</v>
      </c>
      <c r="B35" s="60"/>
      <c r="C35" s="97">
        <v>0.81311999999999995</v>
      </c>
      <c r="D35" s="66">
        <f>ROUND((SUM($F$30:$F$32))*C35,2)</f>
        <v>0</v>
      </c>
      <c r="E35" s="63"/>
      <c r="F35" s="58"/>
      <c r="H35" s="81" t="s">
        <v>25</v>
      </c>
      <c r="I35" s="38"/>
      <c r="J35" s="42">
        <f t="shared" si="7"/>
        <v>0</v>
      </c>
      <c r="K35" s="26" t="s">
        <v>14</v>
      </c>
      <c r="L35" s="78">
        <f t="shared" si="8"/>
        <v>0</v>
      </c>
      <c r="P35" s="5"/>
      <c r="Q35" s="5"/>
      <c r="R35" s="5"/>
      <c r="T35" s="7"/>
    </row>
    <row r="36" spans="1:20" x14ac:dyDescent="0.2">
      <c r="A36" s="60" t="s">
        <v>26</v>
      </c>
      <c r="B36" s="60"/>
      <c r="C36" s="97">
        <v>0.12905</v>
      </c>
      <c r="D36" s="66">
        <f>ROUND((SUM($F$30:$F$32))*C36,2)</f>
        <v>0</v>
      </c>
      <c r="E36" s="63"/>
      <c r="F36" s="58"/>
      <c r="H36" s="81" t="s">
        <v>41</v>
      </c>
      <c r="I36" s="38"/>
      <c r="J36" s="42">
        <f t="shared" si="7"/>
        <v>0</v>
      </c>
      <c r="K36" s="26" t="s">
        <v>20</v>
      </c>
      <c r="L36" s="78">
        <f t="shared" si="8"/>
        <v>0</v>
      </c>
      <c r="P36" s="5"/>
      <c r="Q36" s="5"/>
      <c r="R36" s="5"/>
      <c r="T36" s="7"/>
    </row>
    <row r="37" spans="1:20" x14ac:dyDescent="0.2">
      <c r="A37" s="60" t="s">
        <v>55</v>
      </c>
      <c r="B37" s="60"/>
      <c r="C37" s="97">
        <v>5.7829999999999999E-2</v>
      </c>
      <c r="D37" s="66">
        <f>ROUND((SUM($F$30:$F$32))*C37,2)</f>
        <v>0</v>
      </c>
      <c r="E37" s="63"/>
      <c r="F37" s="58"/>
      <c r="H37" s="81" t="s">
        <v>41</v>
      </c>
      <c r="I37" s="43"/>
      <c r="J37" s="42">
        <f t="shared" si="7"/>
        <v>0</v>
      </c>
      <c r="K37" s="26" t="s">
        <v>22</v>
      </c>
      <c r="L37" s="78">
        <f t="shared" si="8"/>
        <v>0</v>
      </c>
      <c r="P37" s="5"/>
      <c r="Q37" s="5"/>
      <c r="R37" s="5"/>
      <c r="T37" s="7"/>
    </row>
    <row r="38" spans="1:20" x14ac:dyDescent="0.2">
      <c r="A38" s="60"/>
      <c r="B38" s="60"/>
      <c r="C38" s="95">
        <f>SUM(C35:C37)</f>
        <v>1</v>
      </c>
      <c r="D38" s="64">
        <f>SUM(D35:D37)</f>
        <v>0</v>
      </c>
      <c r="E38" s="67"/>
      <c r="F38" s="58"/>
      <c r="H38" s="81" t="s">
        <v>41</v>
      </c>
      <c r="I38" s="38"/>
      <c r="J38" s="42">
        <f t="shared" si="7"/>
        <v>0</v>
      </c>
      <c r="K38" s="26" t="s">
        <v>21</v>
      </c>
      <c r="L38" s="78">
        <f t="shared" si="8"/>
        <v>0</v>
      </c>
      <c r="P38" s="5"/>
      <c r="Q38" s="5"/>
      <c r="R38" s="5"/>
      <c r="T38" s="7"/>
    </row>
    <row r="39" spans="1:20" x14ac:dyDescent="0.2">
      <c r="A39" s="60"/>
      <c r="B39" s="60"/>
      <c r="C39" s="65"/>
      <c r="D39" s="66"/>
      <c r="E39" s="66"/>
      <c r="F39" s="58"/>
      <c r="H39" s="80" t="s">
        <v>36</v>
      </c>
      <c r="I39" s="38"/>
      <c r="J39" s="42">
        <f t="shared" si="7"/>
        <v>0</v>
      </c>
      <c r="K39" s="26" t="s">
        <v>17</v>
      </c>
      <c r="L39" s="78">
        <f t="shared" si="8"/>
        <v>0</v>
      </c>
      <c r="P39" s="5"/>
      <c r="Q39" s="5"/>
      <c r="R39" s="5"/>
      <c r="T39" s="7"/>
    </row>
    <row r="40" spans="1:20" x14ac:dyDescent="0.2">
      <c r="A40" s="49"/>
      <c r="B40" s="49"/>
      <c r="C40" s="93"/>
      <c r="D40" s="94"/>
      <c r="E40" s="94"/>
      <c r="H40" s="80" t="s">
        <v>37</v>
      </c>
      <c r="I40" s="38"/>
      <c r="J40" s="42">
        <f t="shared" si="7"/>
        <v>0</v>
      </c>
      <c r="K40" s="26" t="s">
        <v>18</v>
      </c>
      <c r="L40" s="78">
        <f t="shared" si="8"/>
        <v>0</v>
      </c>
      <c r="P40" s="5"/>
      <c r="Q40" s="5"/>
      <c r="R40" s="5"/>
      <c r="T40" s="7"/>
    </row>
    <row r="41" spans="1:20" x14ac:dyDescent="0.2">
      <c r="A41" s="49"/>
      <c r="B41" s="49"/>
      <c r="C41" s="93"/>
      <c r="D41" s="94"/>
      <c r="E41" s="94"/>
      <c r="H41" s="82" t="s">
        <v>38</v>
      </c>
      <c r="I41" s="38"/>
      <c r="J41" s="42">
        <f t="shared" si="7"/>
        <v>0</v>
      </c>
      <c r="K41" s="32" t="s">
        <v>16</v>
      </c>
      <c r="L41" s="78">
        <f t="shared" si="8"/>
        <v>0</v>
      </c>
      <c r="P41" s="5"/>
      <c r="Q41" s="5"/>
      <c r="R41" s="5"/>
      <c r="T41" s="7"/>
    </row>
    <row r="42" spans="1:20" x14ac:dyDescent="0.2">
      <c r="A42" s="49"/>
      <c r="B42" s="49"/>
      <c r="C42" s="93"/>
      <c r="D42" s="94"/>
      <c r="E42" s="94"/>
      <c r="H42" s="83" t="s">
        <v>39</v>
      </c>
      <c r="I42" s="33"/>
      <c r="J42" s="42">
        <f t="shared" si="7"/>
        <v>0</v>
      </c>
      <c r="K42" s="84" t="s">
        <v>19</v>
      </c>
      <c r="L42" s="78">
        <f t="shared" si="8"/>
        <v>0</v>
      </c>
      <c r="P42" s="5"/>
      <c r="Q42" s="5"/>
      <c r="R42" s="5"/>
      <c r="T42" s="7"/>
    </row>
    <row r="43" spans="1:20" ht="13.5" thickBot="1" x14ac:dyDescent="0.25">
      <c r="A43" s="49"/>
      <c r="B43" s="49"/>
      <c r="C43" s="93"/>
      <c r="D43" s="94"/>
      <c r="E43" s="94"/>
      <c r="H43" s="85" t="s">
        <v>40</v>
      </c>
      <c r="I43" s="86"/>
      <c r="J43" s="87">
        <f t="shared" si="7"/>
        <v>0</v>
      </c>
      <c r="K43" s="88" t="s">
        <v>24</v>
      </c>
      <c r="L43" s="89">
        <f t="shared" si="8"/>
        <v>0</v>
      </c>
      <c r="P43" s="5"/>
      <c r="Q43" s="5"/>
      <c r="R43" s="5"/>
      <c r="T43" s="7"/>
    </row>
    <row r="44" spans="1:20" x14ac:dyDescent="0.2">
      <c r="A44" s="49"/>
      <c r="B44" s="49"/>
      <c r="C44" s="93"/>
      <c r="D44" s="94"/>
      <c r="E44" s="94"/>
      <c r="H44" s="73" t="s">
        <v>51</v>
      </c>
      <c r="I44" s="37"/>
      <c r="J44" s="74">
        <f>SUM(J31:J43)+SUM(L31:L43)</f>
        <v>0</v>
      </c>
      <c r="L44" s="5">
        <f>SUM(L31:L43)</f>
        <v>0</v>
      </c>
      <c r="P44" s="5"/>
      <c r="Q44" s="5"/>
      <c r="R44" s="5"/>
      <c r="T44" s="7"/>
    </row>
    <row r="45" spans="1:20" x14ac:dyDescent="0.2">
      <c r="A45" s="49"/>
      <c r="B45" s="49"/>
      <c r="C45" s="93"/>
      <c r="D45" s="94"/>
      <c r="E45" s="94"/>
      <c r="H45" s="38"/>
      <c r="I45" s="38"/>
      <c r="P45" s="5"/>
      <c r="Q45" s="5"/>
      <c r="R45" s="5"/>
      <c r="T45" s="7"/>
    </row>
    <row r="46" spans="1:20" ht="13.5" thickBot="1" x14ac:dyDescent="0.25">
      <c r="A46" s="49"/>
      <c r="B46" s="49"/>
      <c r="C46" s="93"/>
      <c r="D46" s="94"/>
      <c r="E46" s="94"/>
      <c r="H46" s="38"/>
      <c r="I46" s="38"/>
      <c r="P46" s="5"/>
      <c r="Q46" s="5"/>
      <c r="R46" s="5"/>
      <c r="S46" s="7"/>
    </row>
    <row r="47" spans="1:20" ht="13.5" thickBot="1" x14ac:dyDescent="0.25">
      <c r="A47" s="49"/>
      <c r="B47" s="49"/>
      <c r="C47" s="93"/>
      <c r="D47" s="94"/>
      <c r="E47" s="94"/>
      <c r="H47" s="200" t="s">
        <v>69</v>
      </c>
      <c r="I47" s="201"/>
      <c r="J47" s="201"/>
      <c r="K47" s="201"/>
      <c r="L47" s="202"/>
      <c r="P47" s="5"/>
      <c r="Q47" s="5"/>
      <c r="R47" s="5"/>
      <c r="S47" s="7"/>
    </row>
    <row r="48" spans="1:20" ht="13.5" thickBot="1" x14ac:dyDescent="0.25">
      <c r="A48" s="49"/>
      <c r="B48" s="49"/>
      <c r="C48" s="93"/>
      <c r="D48" s="94"/>
      <c r="E48" s="94"/>
      <c r="H48" s="200" t="s">
        <v>59</v>
      </c>
      <c r="I48" s="201"/>
      <c r="J48" s="201"/>
      <c r="K48" s="201"/>
      <c r="L48" s="202"/>
      <c r="P48" s="5"/>
      <c r="Q48" s="5"/>
      <c r="R48" s="5"/>
      <c r="S48" s="7"/>
    </row>
    <row r="49" spans="1:12" x14ac:dyDescent="0.2">
      <c r="A49" s="29"/>
      <c r="B49" s="29"/>
      <c r="C49" s="29"/>
      <c r="D49" s="29"/>
      <c r="E49" s="29"/>
      <c r="H49" s="75"/>
      <c r="I49" s="18"/>
      <c r="J49" s="18"/>
      <c r="K49" s="18"/>
      <c r="L49" s="76"/>
    </row>
    <row r="50" spans="1:12" x14ac:dyDescent="0.2">
      <c r="A50" s="29"/>
      <c r="B50" s="29"/>
      <c r="C50" s="29"/>
      <c r="D50" s="29"/>
      <c r="E50" s="29"/>
      <c r="H50" s="77" t="s">
        <v>35</v>
      </c>
      <c r="I50" s="38"/>
      <c r="J50" s="38"/>
      <c r="K50" s="20" t="s">
        <v>44</v>
      </c>
      <c r="L50" s="78"/>
    </row>
    <row r="51" spans="1:12" ht="13.5" thickBot="1" x14ac:dyDescent="0.25">
      <c r="H51" s="79" t="s">
        <v>42</v>
      </c>
      <c r="I51" s="44"/>
      <c r="J51" s="38"/>
      <c r="K51" s="50" t="s">
        <v>45</v>
      </c>
      <c r="L51" s="78"/>
    </row>
    <row r="52" spans="1:12" x14ac:dyDescent="0.2">
      <c r="A52" s="29"/>
      <c r="B52" s="29"/>
      <c r="H52" s="80" t="s">
        <v>38</v>
      </c>
      <c r="I52" s="38"/>
      <c r="J52" s="90">
        <f>-K8</f>
        <v>0</v>
      </c>
      <c r="K52" s="26" t="s">
        <v>10</v>
      </c>
      <c r="L52" s="91">
        <f>K8</f>
        <v>0</v>
      </c>
    </row>
    <row r="53" spans="1:12" x14ac:dyDescent="0.2">
      <c r="H53" s="80" t="s">
        <v>38</v>
      </c>
      <c r="I53" s="43"/>
      <c r="J53" s="42">
        <f>-K9</f>
        <v>0</v>
      </c>
      <c r="K53" s="26" t="s">
        <v>11</v>
      </c>
      <c r="L53" s="78">
        <f>K9</f>
        <v>0</v>
      </c>
    </row>
    <row r="54" spans="1:12" x14ac:dyDescent="0.2">
      <c r="A54" s="29"/>
      <c r="B54" s="29"/>
      <c r="H54" s="81" t="s">
        <v>15</v>
      </c>
      <c r="I54" s="43"/>
      <c r="J54" s="42">
        <f>-K11</f>
        <v>0</v>
      </c>
      <c r="K54" s="26" t="s">
        <v>13</v>
      </c>
      <c r="L54" s="78">
        <f>K11</f>
        <v>0</v>
      </c>
    </row>
    <row r="55" spans="1:12" x14ac:dyDescent="0.2">
      <c r="H55" s="81" t="s">
        <v>15</v>
      </c>
      <c r="I55" s="38"/>
      <c r="J55" s="42">
        <f t="shared" ref="J55:J64" si="9">-K12</f>
        <v>0</v>
      </c>
      <c r="K55" s="26" t="s">
        <v>12</v>
      </c>
      <c r="L55" s="78">
        <f t="shared" ref="L55:L64" si="10">K12</f>
        <v>0</v>
      </c>
    </row>
    <row r="56" spans="1:12" x14ac:dyDescent="0.2">
      <c r="H56" s="81" t="s">
        <v>25</v>
      </c>
      <c r="I56" s="38"/>
      <c r="J56" s="42">
        <f t="shared" si="9"/>
        <v>0</v>
      </c>
      <c r="K56" s="26" t="s">
        <v>14</v>
      </c>
      <c r="L56" s="78">
        <f t="shared" si="10"/>
        <v>0</v>
      </c>
    </row>
    <row r="57" spans="1:12" x14ac:dyDescent="0.2">
      <c r="H57" s="81" t="s">
        <v>41</v>
      </c>
      <c r="I57" s="38"/>
      <c r="J57" s="42">
        <f t="shared" si="9"/>
        <v>-6767.083333333333</v>
      </c>
      <c r="K57" s="26" t="s">
        <v>20</v>
      </c>
      <c r="L57" s="78">
        <f t="shared" si="10"/>
        <v>6767.083333333333</v>
      </c>
    </row>
    <row r="58" spans="1:12" x14ac:dyDescent="0.2">
      <c r="H58" s="81" t="s">
        <v>41</v>
      </c>
      <c r="I58" s="43"/>
      <c r="J58" s="42">
        <f t="shared" si="9"/>
        <v>8706.083333333343</v>
      </c>
      <c r="K58" s="26" t="s">
        <v>22</v>
      </c>
      <c r="L58" s="78">
        <f t="shared" si="10"/>
        <v>-8706.083333333343</v>
      </c>
    </row>
    <row r="59" spans="1:12" x14ac:dyDescent="0.2">
      <c r="H59" s="81" t="s">
        <v>41</v>
      </c>
      <c r="I59" s="38"/>
      <c r="J59" s="42">
        <f t="shared" si="9"/>
        <v>-9746.25</v>
      </c>
      <c r="K59" s="26" t="s">
        <v>21</v>
      </c>
      <c r="L59" s="78">
        <f t="shared" si="10"/>
        <v>9746.25</v>
      </c>
    </row>
    <row r="60" spans="1:12" x14ac:dyDescent="0.2">
      <c r="H60" s="80" t="s">
        <v>36</v>
      </c>
      <c r="I60" s="38"/>
      <c r="J60" s="42">
        <f t="shared" si="9"/>
        <v>2393736.833333333</v>
      </c>
      <c r="K60" s="26" t="s">
        <v>17</v>
      </c>
      <c r="L60" s="78">
        <f t="shared" si="10"/>
        <v>-2393736.833333333</v>
      </c>
    </row>
    <row r="61" spans="1:12" x14ac:dyDescent="0.2">
      <c r="H61" s="80" t="s">
        <v>37</v>
      </c>
      <c r="I61" s="38"/>
      <c r="J61" s="42">
        <f t="shared" si="9"/>
        <v>73308.5</v>
      </c>
      <c r="K61" s="26" t="s">
        <v>18</v>
      </c>
      <c r="L61" s="78">
        <f t="shared" si="10"/>
        <v>-73308.5</v>
      </c>
    </row>
    <row r="62" spans="1:12" x14ac:dyDescent="0.2">
      <c r="H62" s="82" t="s">
        <v>38</v>
      </c>
      <c r="I62" s="38"/>
      <c r="J62" s="42">
        <f t="shared" si="9"/>
        <v>19833002</v>
      </c>
      <c r="K62" s="32" t="s">
        <v>16</v>
      </c>
      <c r="L62" s="78">
        <f t="shared" si="10"/>
        <v>-19833002</v>
      </c>
    </row>
    <row r="63" spans="1:12" x14ac:dyDescent="0.2">
      <c r="H63" s="83" t="s">
        <v>39</v>
      </c>
      <c r="I63" s="33"/>
      <c r="J63" s="42">
        <f t="shared" si="9"/>
        <v>3808981.0833333335</v>
      </c>
      <c r="K63" s="84" t="s">
        <v>19</v>
      </c>
      <c r="L63" s="78">
        <f t="shared" si="10"/>
        <v>-3808981.0833333335</v>
      </c>
    </row>
    <row r="64" spans="1:12" ht="13.5" thickBot="1" x14ac:dyDescent="0.25">
      <c r="H64" s="85" t="s">
        <v>40</v>
      </c>
      <c r="I64" s="86"/>
      <c r="J64" s="87">
        <f t="shared" si="9"/>
        <v>2694577.833333333</v>
      </c>
      <c r="K64" s="88" t="s">
        <v>24</v>
      </c>
      <c r="L64" s="89">
        <f t="shared" si="10"/>
        <v>-2694577.833333333</v>
      </c>
    </row>
    <row r="65" spans="8:12" x14ac:dyDescent="0.2">
      <c r="H65" s="73" t="s">
        <v>51</v>
      </c>
      <c r="I65" s="37"/>
      <c r="J65" s="74">
        <f>SUM(J52:J64)+SUM(L52:L64)</f>
        <v>0</v>
      </c>
      <c r="L65" s="5">
        <f>SUM(L52:L64)</f>
        <v>-28795798.999999996</v>
      </c>
    </row>
  </sheetData>
  <mergeCells count="4">
    <mergeCell ref="H26:L26"/>
    <mergeCell ref="H27:L27"/>
    <mergeCell ref="H47:L47"/>
    <mergeCell ref="H48:L48"/>
  </mergeCells>
  <conditionalFormatting sqref="M24 H24">
    <cfRule type="cellIs" dxfId="3" priority="1" stopIfTrue="1" operator="notBetween">
      <formula>-1</formula>
      <formula>1</formula>
    </cfRule>
  </conditionalFormatting>
  <pageMargins left="0.45" right="0.45" top="0.5" bottom="0.5" header="0.3" footer="0.3"/>
  <pageSetup scale="6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65"/>
  <sheetViews>
    <sheetView workbookViewId="0">
      <pane xSplit="3" ySplit="5" topLeftCell="D6" activePane="bottomRight" state="frozenSplit"/>
      <selection pane="topRight" activeCell="D1" sqref="D1"/>
      <selection pane="bottomLeft" activeCell="A5" sqref="A5"/>
      <selection pane="bottomRight" activeCell="L36" sqref="L36"/>
    </sheetView>
  </sheetViews>
  <sheetFormatPr defaultRowHeight="12.75" x14ac:dyDescent="0.2"/>
  <cols>
    <col min="1" max="1" width="24.7109375" style="4" customWidth="1"/>
    <col min="2" max="2" width="1.140625" style="4" customWidth="1"/>
    <col min="3" max="3" width="15" style="4" bestFit="1" customWidth="1"/>
    <col min="4" max="4" width="16.42578125" style="4" bestFit="1" customWidth="1"/>
    <col min="5" max="5" width="0.85546875" style="4" customWidth="1"/>
    <col min="6" max="6" width="15.42578125" style="5" bestFit="1" customWidth="1"/>
    <col min="7" max="7" width="10.28515625" style="5" customWidth="1"/>
    <col min="8" max="8" width="15.28515625" style="5" customWidth="1"/>
    <col min="9" max="9" width="0.85546875" style="2" customWidth="1"/>
    <col min="10" max="10" width="13.7109375" style="5" customWidth="1"/>
    <col min="11" max="11" width="15" style="5" bestFit="1" customWidth="1"/>
    <col min="12" max="12" width="13.7109375" style="5" customWidth="1"/>
    <col min="13" max="13" width="15.140625" style="5" bestFit="1" customWidth="1"/>
    <col min="14" max="16384" width="9.140625" style="4"/>
  </cols>
  <sheetData>
    <row r="1" spans="1:13" ht="13.5" x14ac:dyDescent="0.25">
      <c r="A1" s="3" t="s">
        <v>72</v>
      </c>
      <c r="E1" s="49"/>
      <c r="M1" s="7"/>
    </row>
    <row r="2" spans="1:13" x14ac:dyDescent="0.2">
      <c r="A2" s="41" t="s">
        <v>73</v>
      </c>
      <c r="B2" s="10"/>
      <c r="C2" s="11"/>
      <c r="D2" s="11"/>
      <c r="E2" s="54"/>
      <c r="F2" s="23"/>
      <c r="G2" s="23"/>
      <c r="H2" s="23"/>
      <c r="I2" s="23"/>
      <c r="J2" s="4"/>
      <c r="L2" s="4"/>
      <c r="M2" s="4"/>
    </row>
    <row r="3" spans="1:13" s="29" customFormat="1" ht="14.25" thickBot="1" x14ac:dyDescent="0.3">
      <c r="A3" s="92"/>
      <c r="B3" s="53"/>
      <c r="C3" s="54"/>
      <c r="D3" s="54"/>
      <c r="E3" s="54"/>
      <c r="F3" s="23"/>
      <c r="G3" s="23"/>
      <c r="H3" s="23" t="s">
        <v>48</v>
      </c>
      <c r="I3" s="23"/>
      <c r="J3" s="96">
        <v>40209</v>
      </c>
      <c r="K3" s="18" t="s">
        <v>74</v>
      </c>
      <c r="L3" s="18" t="s">
        <v>75</v>
      </c>
      <c r="M3" s="96">
        <v>40209</v>
      </c>
    </row>
    <row r="4" spans="1:13" ht="13.5" thickBot="1" x14ac:dyDescent="0.25">
      <c r="A4" s="98" t="s">
        <v>46</v>
      </c>
      <c r="B4" s="17"/>
      <c r="C4" s="20" t="s">
        <v>44</v>
      </c>
      <c r="D4" s="71">
        <v>40178</v>
      </c>
      <c r="E4" s="71"/>
      <c r="F4" s="18" t="s">
        <v>65</v>
      </c>
      <c r="G4" s="18" t="s">
        <v>32</v>
      </c>
      <c r="H4" s="18" t="s">
        <v>34</v>
      </c>
      <c r="I4" s="18"/>
      <c r="J4" s="18" t="s">
        <v>23</v>
      </c>
      <c r="K4" s="18" t="s">
        <v>62</v>
      </c>
      <c r="L4" s="18" t="s">
        <v>8</v>
      </c>
      <c r="M4" s="48" t="s">
        <v>27</v>
      </c>
    </row>
    <row r="5" spans="1:13" ht="13.5" thickBot="1" x14ac:dyDescent="0.25">
      <c r="A5" s="21"/>
      <c r="B5" s="21"/>
      <c r="C5" s="50" t="s">
        <v>45</v>
      </c>
      <c r="D5" s="99" t="s">
        <v>53</v>
      </c>
      <c r="E5" s="71"/>
      <c r="F5" s="51" t="s">
        <v>4</v>
      </c>
      <c r="G5" s="51" t="s">
        <v>33</v>
      </c>
      <c r="H5" s="51" t="s">
        <v>65</v>
      </c>
      <c r="I5" s="18"/>
      <c r="J5" s="51" t="s">
        <v>56</v>
      </c>
      <c r="K5" s="51" t="s">
        <v>63</v>
      </c>
      <c r="L5" s="51" t="s">
        <v>7</v>
      </c>
      <c r="M5" s="52" t="s">
        <v>7</v>
      </c>
    </row>
    <row r="6" spans="1:13" ht="5.25" customHeight="1" x14ac:dyDescent="0.2">
      <c r="E6" s="49"/>
      <c r="F6" s="23"/>
      <c r="G6" s="23"/>
      <c r="H6" s="23"/>
      <c r="I6" s="23"/>
      <c r="J6" s="23"/>
      <c r="L6" s="23"/>
      <c r="M6" s="7"/>
    </row>
    <row r="7" spans="1:13" x14ac:dyDescent="0.2">
      <c r="A7" s="25" t="s">
        <v>49</v>
      </c>
      <c r="B7" s="25"/>
      <c r="C7" s="70"/>
      <c r="D7" s="28"/>
      <c r="E7" s="1"/>
      <c r="F7" s="27">
        <v>0</v>
      </c>
      <c r="G7" s="2"/>
      <c r="H7" s="2"/>
      <c r="J7" s="2"/>
      <c r="L7" s="2"/>
      <c r="M7" s="2"/>
    </row>
    <row r="8" spans="1:13" x14ac:dyDescent="0.2">
      <c r="A8" s="25" t="s">
        <v>9</v>
      </c>
      <c r="B8" s="25"/>
      <c r="C8" s="25" t="s">
        <v>10</v>
      </c>
      <c r="D8" s="2">
        <v>0</v>
      </c>
      <c r="E8" s="1"/>
      <c r="F8"/>
      <c r="G8" s="69"/>
      <c r="H8" s="2">
        <f>-SUM(F8:G8)</f>
        <v>0</v>
      </c>
      <c r="J8"/>
      <c r="K8"/>
      <c r="L8" s="2">
        <f>H8-J8-K8</f>
        <v>0</v>
      </c>
      <c r="M8" s="2">
        <f>L8/(13-MONTH($M$3))</f>
        <v>0</v>
      </c>
    </row>
    <row r="9" spans="1:13" x14ac:dyDescent="0.2">
      <c r="A9" s="25" t="s">
        <v>9</v>
      </c>
      <c r="B9" s="25"/>
      <c r="C9" s="25" t="s">
        <v>11</v>
      </c>
      <c r="D9" s="2">
        <v>0</v>
      </c>
      <c r="E9" s="1"/>
      <c r="F9"/>
      <c r="G9" s="69"/>
      <c r="H9" s="2">
        <f>-SUM(F9:G9)</f>
        <v>0</v>
      </c>
      <c r="J9"/>
      <c r="K9"/>
      <c r="L9" s="2">
        <f t="shared" ref="L9:L21" si="0">H9-J9-K9</f>
        <v>0</v>
      </c>
      <c r="M9" s="2">
        <f t="shared" ref="M9:M21" si="1">L9/(13-MONTH($M$3))</f>
        <v>0</v>
      </c>
    </row>
    <row r="10" spans="1:13" x14ac:dyDescent="0.2">
      <c r="A10" s="25" t="s">
        <v>50</v>
      </c>
      <c r="B10" s="25"/>
      <c r="C10" s="70"/>
      <c r="D10" s="2">
        <v>0</v>
      </c>
      <c r="E10" s="1"/>
      <c r="F10"/>
      <c r="G10" s="2"/>
      <c r="H10" s="2"/>
      <c r="J10"/>
      <c r="K10"/>
      <c r="L10" s="2">
        <f t="shared" si="0"/>
        <v>0</v>
      </c>
      <c r="M10" s="2">
        <f t="shared" si="1"/>
        <v>0</v>
      </c>
    </row>
    <row r="11" spans="1:13" x14ac:dyDescent="0.2">
      <c r="A11" s="25" t="s">
        <v>9</v>
      </c>
      <c r="B11" s="25"/>
      <c r="C11" s="25" t="s">
        <v>13</v>
      </c>
      <c r="D11" s="2">
        <v>0</v>
      </c>
      <c r="E11" s="1"/>
      <c r="F11"/>
      <c r="G11" s="69"/>
      <c r="H11" s="2">
        <f t="shared" ref="H11:H21" si="2">-SUM(F11:G11)</f>
        <v>0</v>
      </c>
      <c r="J11"/>
      <c r="K11"/>
      <c r="L11" s="2">
        <f t="shared" si="0"/>
        <v>0</v>
      </c>
      <c r="M11" s="2">
        <f t="shared" si="1"/>
        <v>0</v>
      </c>
    </row>
    <row r="12" spans="1:13" x14ac:dyDescent="0.2">
      <c r="A12" s="25" t="s">
        <v>9</v>
      </c>
      <c r="B12" s="25"/>
      <c r="C12" s="25" t="s">
        <v>12</v>
      </c>
      <c r="D12" s="2">
        <v>0</v>
      </c>
      <c r="E12" s="1"/>
      <c r="F12"/>
      <c r="G12" s="69"/>
      <c r="H12" s="2">
        <f t="shared" si="2"/>
        <v>0</v>
      </c>
      <c r="J12"/>
      <c r="K12"/>
      <c r="L12" s="2">
        <f t="shared" si="0"/>
        <v>0</v>
      </c>
      <c r="M12" s="2">
        <f t="shared" si="1"/>
        <v>0</v>
      </c>
    </row>
    <row r="13" spans="1:13" x14ac:dyDescent="0.2">
      <c r="A13" s="25" t="s">
        <v>9</v>
      </c>
      <c r="B13" s="25"/>
      <c r="C13" s="25" t="s">
        <v>14</v>
      </c>
      <c r="D13" s="2">
        <v>0</v>
      </c>
      <c r="E13" s="1"/>
      <c r="F13" s="27">
        <v>0</v>
      </c>
      <c r="G13" s="2"/>
      <c r="H13" s="2">
        <f t="shared" si="2"/>
        <v>0</v>
      </c>
      <c r="J13"/>
      <c r="K13"/>
      <c r="L13" s="2">
        <f t="shared" si="0"/>
        <v>0</v>
      </c>
      <c r="M13" s="2">
        <f t="shared" si="1"/>
        <v>0</v>
      </c>
    </row>
    <row r="14" spans="1:13" x14ac:dyDescent="0.2">
      <c r="A14" s="25" t="s">
        <v>2</v>
      </c>
      <c r="B14" s="25"/>
      <c r="C14" s="25" t="s">
        <v>20</v>
      </c>
      <c r="D14" s="2">
        <v>-53597</v>
      </c>
      <c r="E14" s="1"/>
      <c r="F14" s="27">
        <v>-2059</v>
      </c>
      <c r="G14" s="2"/>
      <c r="H14" s="2">
        <f t="shared" si="2"/>
        <v>2059</v>
      </c>
      <c r="J14" s="27">
        <v>0</v>
      </c>
      <c r="K14" s="5">
        <v>0</v>
      </c>
      <c r="L14" s="2">
        <f t="shared" si="0"/>
        <v>2059</v>
      </c>
      <c r="M14" s="2">
        <f t="shared" si="1"/>
        <v>171.58333333333334</v>
      </c>
    </row>
    <row r="15" spans="1:13" x14ac:dyDescent="0.2">
      <c r="A15" s="25" t="s">
        <v>5</v>
      </c>
      <c r="B15" s="25"/>
      <c r="C15" s="25" t="s">
        <v>22</v>
      </c>
      <c r="D15" s="2">
        <v>54538</v>
      </c>
      <c r="E15" s="1"/>
      <c r="F15" s="27">
        <v>130712</v>
      </c>
      <c r="G15" s="2"/>
      <c r="H15" s="2">
        <f t="shared" si="2"/>
        <v>-130712</v>
      </c>
      <c r="J15" s="27">
        <v>0</v>
      </c>
      <c r="K15" s="5">
        <v>0</v>
      </c>
      <c r="L15" s="2">
        <f t="shared" si="0"/>
        <v>-130712</v>
      </c>
      <c r="M15" s="2">
        <f t="shared" si="1"/>
        <v>-10892.666666666666</v>
      </c>
    </row>
    <row r="16" spans="1:13" x14ac:dyDescent="0.2">
      <c r="A16" s="25" t="s">
        <v>52</v>
      </c>
      <c r="B16" s="25"/>
      <c r="C16" s="25" t="s">
        <v>21</v>
      </c>
      <c r="D16" s="2">
        <v>-1053465</v>
      </c>
      <c r="E16" s="1"/>
      <c r="F16" s="27">
        <v>-117015</v>
      </c>
      <c r="G16" s="2"/>
      <c r="H16" s="2">
        <f t="shared" si="2"/>
        <v>117015</v>
      </c>
      <c r="J16" s="27">
        <v>0</v>
      </c>
      <c r="K16" s="5">
        <v>0</v>
      </c>
      <c r="L16" s="2">
        <f t="shared" si="0"/>
        <v>117015</v>
      </c>
      <c r="M16" s="2">
        <f t="shared" si="1"/>
        <v>9751.25</v>
      </c>
    </row>
    <row r="17" spans="1:13" x14ac:dyDescent="0.2">
      <c r="A17" s="28" t="s">
        <v>29</v>
      </c>
      <c r="B17" s="28"/>
      <c r="C17" s="25" t="s">
        <v>17</v>
      </c>
      <c r="D17" s="2">
        <v>-14099780</v>
      </c>
      <c r="E17" s="1"/>
      <c r="F17" s="27">
        <v>2130983</v>
      </c>
      <c r="G17" s="2"/>
      <c r="H17" s="2">
        <f t="shared" si="2"/>
        <v>-2130983</v>
      </c>
      <c r="J17" s="27">
        <v>0</v>
      </c>
      <c r="K17" s="5">
        <v>0</v>
      </c>
      <c r="L17" s="2">
        <f t="shared" si="0"/>
        <v>-2130983</v>
      </c>
      <c r="M17" s="2">
        <f t="shared" si="1"/>
        <v>-177581.91666666666</v>
      </c>
    </row>
    <row r="18" spans="1:13" x14ac:dyDescent="0.2">
      <c r="A18" s="28" t="s">
        <v>30</v>
      </c>
      <c r="B18" s="28"/>
      <c r="C18" s="25" t="s">
        <v>18</v>
      </c>
      <c r="D18" s="2">
        <v>-1683538</v>
      </c>
      <c r="E18" s="1"/>
      <c r="F18" s="27">
        <v>78239</v>
      </c>
      <c r="G18" s="2"/>
      <c r="H18" s="2">
        <f t="shared" si="2"/>
        <v>-78239</v>
      </c>
      <c r="J18" s="27">
        <v>0</v>
      </c>
      <c r="K18" s="5">
        <v>0</v>
      </c>
      <c r="L18" s="2">
        <f t="shared" si="0"/>
        <v>-78239</v>
      </c>
      <c r="M18" s="2">
        <f t="shared" si="1"/>
        <v>-6519.916666666667</v>
      </c>
    </row>
    <row r="19" spans="1:13" x14ac:dyDescent="0.2">
      <c r="A19" s="4" t="s">
        <v>28</v>
      </c>
      <c r="B19" s="46"/>
      <c r="C19" s="32" t="s">
        <v>16</v>
      </c>
      <c r="D19" s="2">
        <v>-247071184</v>
      </c>
      <c r="E19" s="2"/>
      <c r="F19" s="27">
        <v>7537228</v>
      </c>
      <c r="G19" s="2">
        <f>D35</f>
        <v>0</v>
      </c>
      <c r="H19" s="2">
        <f t="shared" si="2"/>
        <v>-7537228</v>
      </c>
      <c r="J19" s="27">
        <v>0</v>
      </c>
      <c r="K19" s="5">
        <v>0</v>
      </c>
      <c r="L19" s="2">
        <f t="shared" si="0"/>
        <v>-7537228</v>
      </c>
      <c r="M19" s="2">
        <f t="shared" si="1"/>
        <v>-628102.33333333337</v>
      </c>
    </row>
    <row r="20" spans="1:13" x14ac:dyDescent="0.2">
      <c r="A20" s="47" t="s">
        <v>26</v>
      </c>
      <c r="B20" s="28"/>
      <c r="C20" s="36" t="s">
        <v>19</v>
      </c>
      <c r="D20" s="2">
        <v>-48279819</v>
      </c>
      <c r="E20" s="40"/>
      <c r="F20" s="27">
        <v>4167236</v>
      </c>
      <c r="G20" s="2">
        <f>D36</f>
        <v>0</v>
      </c>
      <c r="H20" s="2">
        <f t="shared" si="2"/>
        <v>-4167236</v>
      </c>
      <c r="J20" s="27">
        <v>0</v>
      </c>
      <c r="K20" s="5">
        <v>0</v>
      </c>
      <c r="L20" s="2">
        <f t="shared" si="0"/>
        <v>-4167236</v>
      </c>
      <c r="M20" s="2">
        <f t="shared" si="1"/>
        <v>-347269.66666666669</v>
      </c>
    </row>
    <row r="21" spans="1:13" x14ac:dyDescent="0.2">
      <c r="A21" s="26" t="s">
        <v>47</v>
      </c>
      <c r="B21" s="26"/>
      <c r="C21" s="26" t="s">
        <v>24</v>
      </c>
      <c r="D21" s="2">
        <v>-23852188</v>
      </c>
      <c r="E21" s="1"/>
      <c r="F21" s="27">
        <v>2265099</v>
      </c>
      <c r="G21" s="2">
        <f>D37</f>
        <v>0</v>
      </c>
      <c r="H21" s="2">
        <f t="shared" si="2"/>
        <v>-2265099</v>
      </c>
      <c r="J21" s="27">
        <v>0</v>
      </c>
      <c r="K21" s="5">
        <v>0</v>
      </c>
      <c r="L21" s="2">
        <f t="shared" si="0"/>
        <v>-2265099</v>
      </c>
      <c r="M21" s="2">
        <f t="shared" si="1"/>
        <v>-188758.25</v>
      </c>
    </row>
    <row r="22" spans="1:13" x14ac:dyDescent="0.2">
      <c r="A22" s="25"/>
      <c r="B22" s="25"/>
      <c r="C22" s="35"/>
      <c r="D22" s="2"/>
      <c r="E22" s="72"/>
      <c r="F22" s="2"/>
      <c r="G22" s="2"/>
      <c r="H22" s="2"/>
      <c r="J22" s="2"/>
      <c r="K22" s="5">
        <v>0</v>
      </c>
      <c r="L22" s="2"/>
      <c r="M22" s="2"/>
    </row>
    <row r="23" spans="1:13" x14ac:dyDescent="0.2">
      <c r="A23" s="25" t="s">
        <v>6</v>
      </c>
      <c r="B23" s="26"/>
      <c r="C23" s="26"/>
      <c r="D23" s="45">
        <f>SUM(D8:D22)</f>
        <v>-336039033</v>
      </c>
      <c r="E23" s="2"/>
      <c r="F23" s="45">
        <f>SUM(F7:F22)-F7-F10</f>
        <v>16190423</v>
      </c>
      <c r="G23" s="45">
        <f>SUM(G8:G22)</f>
        <v>0</v>
      </c>
      <c r="H23" s="45">
        <f>SUM(H8:H22)</f>
        <v>-16190423</v>
      </c>
      <c r="J23" s="45">
        <f>SUM(J8:J22)</f>
        <v>0</v>
      </c>
      <c r="K23" s="45">
        <f>SUM(K8:K22)</f>
        <v>0</v>
      </c>
      <c r="L23" s="45">
        <f>SUM(L8:L22)</f>
        <v>-16190423</v>
      </c>
      <c r="M23" s="45">
        <f>SUM(M8:M22)</f>
        <v>-1349201.9166666667</v>
      </c>
    </row>
    <row r="24" spans="1:13" x14ac:dyDescent="0.2">
      <c r="A24" s="24" t="s">
        <v>43</v>
      </c>
      <c r="D24" s="26"/>
      <c r="E24" s="1"/>
      <c r="F24" s="56"/>
      <c r="H24" s="5">
        <f>ROUND(F24+H23,0)</f>
        <v>-16190423</v>
      </c>
      <c r="L24" s="7">
        <f>J23+K23+L23-H23</f>
        <v>0</v>
      </c>
      <c r="M24" s="6">
        <f>(M23*(13-MONTH($M$3))-L23)</f>
        <v>0</v>
      </c>
    </row>
    <row r="25" spans="1:13" ht="13.5" thickBot="1" x14ac:dyDescent="0.25">
      <c r="A25" s="24"/>
      <c r="D25" s="26"/>
      <c r="K25" s="7"/>
      <c r="L25" s="6"/>
      <c r="M25" s="6"/>
    </row>
    <row r="26" spans="1:13" ht="13.5" thickBot="1" x14ac:dyDescent="0.25">
      <c r="A26" s="24"/>
      <c r="H26" s="200" t="s">
        <v>76</v>
      </c>
      <c r="I26" s="201"/>
      <c r="J26" s="201"/>
      <c r="K26" s="201"/>
      <c r="L26" s="202"/>
      <c r="M26" s="6"/>
    </row>
    <row r="27" spans="1:13" ht="13.5" thickBot="1" x14ac:dyDescent="0.25">
      <c r="A27" s="24"/>
      <c r="H27" s="200" t="s">
        <v>78</v>
      </c>
      <c r="I27" s="201"/>
      <c r="J27" s="201"/>
      <c r="K27" s="201"/>
      <c r="L27" s="202"/>
      <c r="M27" s="7"/>
    </row>
    <row r="28" spans="1:13" x14ac:dyDescent="0.2">
      <c r="A28" s="24"/>
      <c r="H28" s="75"/>
      <c r="I28" s="18"/>
      <c r="J28" s="18"/>
      <c r="K28" s="18"/>
      <c r="L28" s="76"/>
    </row>
    <row r="29" spans="1:13" x14ac:dyDescent="0.2">
      <c r="A29" s="57" t="s">
        <v>31</v>
      </c>
      <c r="B29" s="57"/>
      <c r="C29" s="57"/>
      <c r="D29" s="57"/>
      <c r="E29" s="57"/>
      <c r="F29" s="58"/>
      <c r="H29" s="77" t="s">
        <v>35</v>
      </c>
      <c r="I29" s="38"/>
      <c r="J29" s="38"/>
      <c r="K29" s="20" t="s">
        <v>44</v>
      </c>
      <c r="L29" s="78"/>
    </row>
    <row r="30" spans="1:13" ht="13.5" thickBot="1" x14ac:dyDescent="0.25">
      <c r="A30" s="59" t="s">
        <v>0</v>
      </c>
      <c r="B30" s="57"/>
      <c r="C30" s="57"/>
      <c r="D30" s="57"/>
      <c r="E30" s="57"/>
      <c r="F30" s="56">
        <v>0</v>
      </c>
      <c r="H30" s="79" t="s">
        <v>42</v>
      </c>
      <c r="I30" s="44"/>
      <c r="J30" s="38"/>
      <c r="K30" s="50" t="s">
        <v>45</v>
      </c>
      <c r="L30" s="78"/>
    </row>
    <row r="31" spans="1:13" x14ac:dyDescent="0.2">
      <c r="A31" s="59" t="s">
        <v>3</v>
      </c>
      <c r="B31" s="57"/>
      <c r="C31" s="57"/>
      <c r="D31" s="57"/>
      <c r="E31" s="57"/>
      <c r="F31" s="56">
        <v>0</v>
      </c>
      <c r="H31" s="80" t="s">
        <v>38</v>
      </c>
      <c r="I31" s="38"/>
      <c r="J31" s="90">
        <f>-M8</f>
        <v>0</v>
      </c>
      <c r="K31" s="26" t="s">
        <v>10</v>
      </c>
      <c r="L31" s="91">
        <f>M8</f>
        <v>0</v>
      </c>
    </row>
    <row r="32" spans="1:13" x14ac:dyDescent="0.2">
      <c r="A32" s="59" t="s">
        <v>1</v>
      </c>
      <c r="B32" s="57"/>
      <c r="C32" s="57"/>
      <c r="D32" s="57"/>
      <c r="E32" s="57"/>
      <c r="F32" s="56">
        <v>0</v>
      </c>
      <c r="H32" s="80" t="s">
        <v>38</v>
      </c>
      <c r="I32" s="43"/>
      <c r="J32" s="42">
        <f>-M9</f>
        <v>0</v>
      </c>
      <c r="K32" s="26" t="s">
        <v>11</v>
      </c>
      <c r="L32" s="78">
        <f>M9</f>
        <v>0</v>
      </c>
    </row>
    <row r="33" spans="1:12" x14ac:dyDescent="0.2">
      <c r="A33" s="60"/>
      <c r="B33" s="60"/>
      <c r="C33" s="60"/>
      <c r="D33" s="60"/>
      <c r="E33" s="60"/>
      <c r="F33" s="61">
        <f>ROUND(G23-SUM(F31:F32),0)</f>
        <v>0</v>
      </c>
      <c r="H33" s="81" t="s">
        <v>15</v>
      </c>
      <c r="I33" s="43"/>
      <c r="J33" s="42">
        <f t="shared" ref="J33:J43" si="3">-M11</f>
        <v>0</v>
      </c>
      <c r="K33" s="26" t="s">
        <v>13</v>
      </c>
      <c r="L33" s="78">
        <f t="shared" ref="L33:L43" si="4">M11</f>
        <v>0</v>
      </c>
    </row>
    <row r="34" spans="1:12" x14ac:dyDescent="0.2">
      <c r="A34" s="100" t="s">
        <v>57</v>
      </c>
      <c r="B34" s="60"/>
      <c r="C34" s="62"/>
      <c r="D34" s="62"/>
      <c r="E34" s="62"/>
      <c r="F34" s="62"/>
      <c r="H34" s="81" t="s">
        <v>15</v>
      </c>
      <c r="I34" s="38"/>
      <c r="J34" s="42">
        <f t="shared" si="3"/>
        <v>0</v>
      </c>
      <c r="K34" s="26" t="s">
        <v>12</v>
      </c>
      <c r="L34" s="78">
        <f t="shared" si="4"/>
        <v>0</v>
      </c>
    </row>
    <row r="35" spans="1:12" x14ac:dyDescent="0.2">
      <c r="A35" s="60" t="s">
        <v>54</v>
      </c>
      <c r="B35" s="60"/>
      <c r="C35"/>
      <c r="D35" s="66">
        <f>ROUND((SUM($F$30:$F$32))*C35,2)</f>
        <v>0</v>
      </c>
      <c r="E35" s="63"/>
      <c r="F35" s="58"/>
      <c r="H35" s="81" t="s">
        <v>25</v>
      </c>
      <c r="I35" s="38"/>
      <c r="J35" s="42">
        <f t="shared" si="3"/>
        <v>0</v>
      </c>
      <c r="K35" s="26" t="s">
        <v>14</v>
      </c>
      <c r="L35" s="78">
        <f t="shared" si="4"/>
        <v>0</v>
      </c>
    </row>
    <row r="36" spans="1:12" x14ac:dyDescent="0.2">
      <c r="A36" s="60" t="s">
        <v>26</v>
      </c>
      <c r="B36" s="60"/>
      <c r="C36"/>
      <c r="D36" s="66">
        <f>ROUND((SUM($F$30:$F$32))*C36,2)</f>
        <v>0</v>
      </c>
      <c r="E36" s="63"/>
      <c r="F36" s="58"/>
      <c r="H36" s="81" t="s">
        <v>41</v>
      </c>
      <c r="I36" s="38"/>
      <c r="J36" s="42">
        <f t="shared" si="3"/>
        <v>-171.58333333333334</v>
      </c>
      <c r="K36" s="26" t="s">
        <v>20</v>
      </c>
      <c r="L36" s="78">
        <f t="shared" si="4"/>
        <v>171.58333333333334</v>
      </c>
    </row>
    <row r="37" spans="1:12" x14ac:dyDescent="0.2">
      <c r="A37" s="60" t="s">
        <v>55</v>
      </c>
      <c r="B37" s="60"/>
      <c r="C37"/>
      <c r="D37" s="66">
        <f>ROUND((SUM($F$30:$F$32))*C37,2)</f>
        <v>0</v>
      </c>
      <c r="E37" s="63"/>
      <c r="F37" s="58"/>
      <c r="H37" s="81" t="s">
        <v>41</v>
      </c>
      <c r="I37" s="43"/>
      <c r="J37" s="42">
        <v>0</v>
      </c>
      <c r="K37" s="26" t="s">
        <v>22</v>
      </c>
      <c r="L37" s="78">
        <v>0</v>
      </c>
    </row>
    <row r="38" spans="1:12" x14ac:dyDescent="0.2">
      <c r="A38" s="60"/>
      <c r="B38" s="60"/>
      <c r="C38" s="95">
        <f>SUM(C35:C37)</f>
        <v>0</v>
      </c>
      <c r="D38" s="64">
        <f>SUM(D35:D37)</f>
        <v>0</v>
      </c>
      <c r="E38" s="67"/>
      <c r="F38" s="58"/>
      <c r="H38" s="81" t="s">
        <v>41</v>
      </c>
      <c r="I38" s="38"/>
      <c r="J38" s="42">
        <f t="shared" si="3"/>
        <v>-9751.25</v>
      </c>
      <c r="K38" s="26" t="s">
        <v>21</v>
      </c>
      <c r="L38" s="78">
        <f t="shared" si="4"/>
        <v>9751.25</v>
      </c>
    </row>
    <row r="39" spans="1:12" x14ac:dyDescent="0.2">
      <c r="A39" s="60"/>
      <c r="B39" s="60"/>
      <c r="C39" s="65"/>
      <c r="D39" s="66"/>
      <c r="E39" s="66"/>
      <c r="F39" s="58"/>
      <c r="H39" s="80" t="s">
        <v>36</v>
      </c>
      <c r="I39" s="38"/>
      <c r="J39" s="42">
        <f t="shared" si="3"/>
        <v>177581.91666666666</v>
      </c>
      <c r="K39" s="26" t="s">
        <v>17</v>
      </c>
      <c r="L39" s="78">
        <f t="shared" si="4"/>
        <v>-177581.91666666666</v>
      </c>
    </row>
    <row r="40" spans="1:12" x14ac:dyDescent="0.2">
      <c r="A40" s="49"/>
      <c r="B40" s="49"/>
      <c r="C40" s="93"/>
      <c r="D40" s="94"/>
      <c r="E40" s="94"/>
      <c r="H40" s="80" t="s">
        <v>37</v>
      </c>
      <c r="I40" s="38"/>
      <c r="J40" s="42">
        <f t="shared" si="3"/>
        <v>6519.916666666667</v>
      </c>
      <c r="K40" s="26" t="s">
        <v>18</v>
      </c>
      <c r="L40" s="78">
        <f t="shared" si="4"/>
        <v>-6519.916666666667</v>
      </c>
    </row>
    <row r="41" spans="1:12" x14ac:dyDescent="0.2">
      <c r="A41" s="49"/>
      <c r="B41" s="49"/>
      <c r="C41" s="93"/>
      <c r="D41" s="94"/>
      <c r="E41" s="94"/>
      <c r="H41" s="82" t="s">
        <v>38</v>
      </c>
      <c r="I41" s="38"/>
      <c r="J41" s="42">
        <f t="shared" si="3"/>
        <v>628102.33333333337</v>
      </c>
      <c r="K41" s="32" t="s">
        <v>16</v>
      </c>
      <c r="L41" s="78">
        <f t="shared" si="4"/>
        <v>-628102.33333333337</v>
      </c>
    </row>
    <row r="42" spans="1:12" x14ac:dyDescent="0.2">
      <c r="A42" s="49"/>
      <c r="B42" s="49"/>
      <c r="C42" s="93"/>
      <c r="D42" s="94"/>
      <c r="E42" s="94"/>
      <c r="H42" s="83" t="s">
        <v>39</v>
      </c>
      <c r="I42" s="33"/>
      <c r="J42" s="42">
        <f t="shared" si="3"/>
        <v>347269.66666666669</v>
      </c>
      <c r="K42" s="84" t="s">
        <v>19</v>
      </c>
      <c r="L42" s="78">
        <f t="shared" si="4"/>
        <v>-347269.66666666669</v>
      </c>
    </row>
    <row r="43" spans="1:12" ht="13.5" thickBot="1" x14ac:dyDescent="0.25">
      <c r="A43" s="49"/>
      <c r="B43" s="49"/>
      <c r="C43" s="93"/>
      <c r="D43" s="94"/>
      <c r="E43" s="94"/>
      <c r="H43" s="85" t="s">
        <v>40</v>
      </c>
      <c r="I43" s="86"/>
      <c r="J43" s="87">
        <f t="shared" si="3"/>
        <v>188758.25</v>
      </c>
      <c r="K43" s="88" t="s">
        <v>24</v>
      </c>
      <c r="L43" s="89">
        <f t="shared" si="4"/>
        <v>-188758.25</v>
      </c>
    </row>
    <row r="44" spans="1:12" x14ac:dyDescent="0.2">
      <c r="A44" s="49"/>
      <c r="B44" s="49"/>
      <c r="C44" s="93"/>
      <c r="D44" s="94"/>
      <c r="E44" s="94"/>
      <c r="H44" s="73" t="s">
        <v>51</v>
      </c>
      <c r="I44" s="37"/>
      <c r="J44" s="74">
        <f>SUM(J31:J43)+SUM(L31:L43)</f>
        <v>0</v>
      </c>
      <c r="L44" s="5">
        <f>SUM(L31:L43)</f>
        <v>-1338309.25</v>
      </c>
    </row>
    <row r="45" spans="1:12" x14ac:dyDescent="0.2">
      <c r="A45" s="49"/>
      <c r="B45" s="49"/>
      <c r="C45" s="93"/>
      <c r="D45" s="94"/>
      <c r="E45" s="94"/>
      <c r="H45" s="38"/>
      <c r="I45" s="38"/>
    </row>
    <row r="46" spans="1:12" ht="13.5" thickBot="1" x14ac:dyDescent="0.25">
      <c r="A46" s="49"/>
      <c r="B46" s="49"/>
      <c r="C46" s="93"/>
      <c r="D46" s="94"/>
      <c r="E46" s="94"/>
      <c r="H46" s="38"/>
      <c r="I46" s="38"/>
    </row>
    <row r="47" spans="1:12" ht="13.5" thickBot="1" x14ac:dyDescent="0.25">
      <c r="A47" s="49"/>
      <c r="B47" s="49"/>
      <c r="C47" s="93"/>
      <c r="D47" s="94"/>
      <c r="E47" s="94"/>
      <c r="H47" s="200" t="s">
        <v>86</v>
      </c>
      <c r="I47" s="201"/>
      <c r="J47" s="201"/>
      <c r="K47" s="201"/>
      <c r="L47" s="202"/>
    </row>
    <row r="48" spans="1:12" ht="13.5" thickBot="1" x14ac:dyDescent="0.25">
      <c r="A48" s="49"/>
      <c r="B48" s="49"/>
      <c r="C48" s="93"/>
      <c r="D48" s="94"/>
      <c r="E48" s="94"/>
      <c r="H48" s="200" t="s">
        <v>78</v>
      </c>
      <c r="I48" s="201"/>
      <c r="J48" s="201"/>
      <c r="K48" s="201"/>
      <c r="L48" s="202"/>
    </row>
    <row r="49" spans="1:12" x14ac:dyDescent="0.2">
      <c r="A49" s="29"/>
      <c r="B49" s="29"/>
      <c r="C49" s="29"/>
      <c r="D49" s="29"/>
      <c r="E49" s="29"/>
      <c r="H49" s="75"/>
      <c r="I49" s="18"/>
      <c r="J49" s="18"/>
      <c r="K49" s="18"/>
      <c r="L49" s="76"/>
    </row>
    <row r="50" spans="1:12" x14ac:dyDescent="0.2">
      <c r="A50" s="29"/>
      <c r="B50" s="29"/>
      <c r="C50" s="29"/>
      <c r="D50" s="29"/>
      <c r="E50" s="29"/>
      <c r="H50" s="77" t="s">
        <v>35</v>
      </c>
      <c r="I50" s="38"/>
      <c r="J50" s="38"/>
      <c r="K50" s="20" t="s">
        <v>44</v>
      </c>
      <c r="L50" s="78"/>
    </row>
    <row r="51" spans="1:12" ht="13.5" thickBot="1" x14ac:dyDescent="0.25">
      <c r="H51" s="79" t="s">
        <v>42</v>
      </c>
      <c r="I51" s="44"/>
      <c r="J51" s="38"/>
      <c r="K51" s="50" t="s">
        <v>45</v>
      </c>
      <c r="L51" s="78"/>
    </row>
    <row r="52" spans="1:12" x14ac:dyDescent="0.2">
      <c r="A52" s="29"/>
      <c r="B52" s="29"/>
      <c r="H52" s="80" t="s">
        <v>38</v>
      </c>
      <c r="I52" s="38"/>
      <c r="J52" s="90">
        <f>-K8</f>
        <v>0</v>
      </c>
      <c r="K52" s="26" t="s">
        <v>10</v>
      </c>
      <c r="L52" s="91">
        <f>K8</f>
        <v>0</v>
      </c>
    </row>
    <row r="53" spans="1:12" x14ac:dyDescent="0.2">
      <c r="H53" s="80" t="s">
        <v>38</v>
      </c>
      <c r="I53" s="43"/>
      <c r="J53" s="42">
        <f>-K9</f>
        <v>0</v>
      </c>
      <c r="K53" s="26" t="s">
        <v>11</v>
      </c>
      <c r="L53" s="78">
        <f>K9</f>
        <v>0</v>
      </c>
    </row>
    <row r="54" spans="1:12" x14ac:dyDescent="0.2">
      <c r="A54" s="29"/>
      <c r="B54" s="29"/>
      <c r="H54" s="81" t="s">
        <v>15</v>
      </c>
      <c r="I54" s="43"/>
      <c r="J54" s="42">
        <f>-K11</f>
        <v>0</v>
      </c>
      <c r="K54" s="26" t="s">
        <v>13</v>
      </c>
      <c r="L54" s="78">
        <f>K11</f>
        <v>0</v>
      </c>
    </row>
    <row r="55" spans="1:12" x14ac:dyDescent="0.2">
      <c r="H55" s="81" t="s">
        <v>15</v>
      </c>
      <c r="I55" s="38"/>
      <c r="J55" s="42">
        <f t="shared" ref="J55:J64" si="5">-K12</f>
        <v>0</v>
      </c>
      <c r="K55" s="26" t="s">
        <v>12</v>
      </c>
      <c r="L55" s="78">
        <f t="shared" ref="L55:L64" si="6">K12</f>
        <v>0</v>
      </c>
    </row>
    <row r="56" spans="1:12" x14ac:dyDescent="0.2">
      <c r="H56" s="81" t="s">
        <v>25</v>
      </c>
      <c r="I56" s="38"/>
      <c r="J56" s="42">
        <f t="shared" si="5"/>
        <v>0</v>
      </c>
      <c r="K56" s="26" t="s">
        <v>14</v>
      </c>
      <c r="L56" s="78">
        <f t="shared" si="6"/>
        <v>0</v>
      </c>
    </row>
    <row r="57" spans="1:12" x14ac:dyDescent="0.2">
      <c r="H57" s="81" t="s">
        <v>41</v>
      </c>
      <c r="I57" s="38"/>
      <c r="J57" s="42">
        <f t="shared" si="5"/>
        <v>0</v>
      </c>
      <c r="K57" s="26" t="s">
        <v>20</v>
      </c>
      <c r="L57" s="78">
        <f t="shared" si="6"/>
        <v>0</v>
      </c>
    </row>
    <row r="58" spans="1:12" x14ac:dyDescent="0.2">
      <c r="H58" s="81" t="s">
        <v>41</v>
      </c>
      <c r="I58" s="43"/>
      <c r="J58" s="42">
        <f t="shared" si="5"/>
        <v>0</v>
      </c>
      <c r="K58" s="26" t="s">
        <v>22</v>
      </c>
      <c r="L58" s="78">
        <f t="shared" si="6"/>
        <v>0</v>
      </c>
    </row>
    <row r="59" spans="1:12" x14ac:dyDescent="0.2">
      <c r="H59" s="81" t="s">
        <v>41</v>
      </c>
      <c r="I59" s="38"/>
      <c r="J59" s="42">
        <f t="shared" si="5"/>
        <v>0</v>
      </c>
      <c r="K59" s="26" t="s">
        <v>21</v>
      </c>
      <c r="L59" s="78">
        <f t="shared" si="6"/>
        <v>0</v>
      </c>
    </row>
    <row r="60" spans="1:12" x14ac:dyDescent="0.2">
      <c r="H60" s="80" t="s">
        <v>36</v>
      </c>
      <c r="I60" s="38"/>
      <c r="J60" s="42">
        <f t="shared" si="5"/>
        <v>0</v>
      </c>
      <c r="K60" s="26" t="s">
        <v>17</v>
      </c>
      <c r="L60" s="78">
        <f t="shared" si="6"/>
        <v>0</v>
      </c>
    </row>
    <row r="61" spans="1:12" x14ac:dyDescent="0.2">
      <c r="H61" s="80" t="s">
        <v>37</v>
      </c>
      <c r="I61" s="38"/>
      <c r="J61" s="42">
        <f t="shared" si="5"/>
        <v>0</v>
      </c>
      <c r="K61" s="26" t="s">
        <v>18</v>
      </c>
      <c r="L61" s="78">
        <f t="shared" si="6"/>
        <v>0</v>
      </c>
    </row>
    <row r="62" spans="1:12" x14ac:dyDescent="0.2">
      <c r="H62" s="82" t="s">
        <v>38</v>
      </c>
      <c r="I62" s="38"/>
      <c r="J62" s="42">
        <f t="shared" si="5"/>
        <v>0</v>
      </c>
      <c r="K62" s="32" t="s">
        <v>16</v>
      </c>
      <c r="L62" s="78">
        <f t="shared" si="6"/>
        <v>0</v>
      </c>
    </row>
    <row r="63" spans="1:12" x14ac:dyDescent="0.2">
      <c r="H63" s="83" t="s">
        <v>39</v>
      </c>
      <c r="I63" s="33"/>
      <c r="J63" s="42">
        <f t="shared" si="5"/>
        <v>0</v>
      </c>
      <c r="K63" s="84" t="s">
        <v>19</v>
      </c>
      <c r="L63" s="78">
        <f t="shared" si="6"/>
        <v>0</v>
      </c>
    </row>
    <row r="64" spans="1:12" ht="13.5" thickBot="1" x14ac:dyDescent="0.25">
      <c r="H64" s="85" t="s">
        <v>40</v>
      </c>
      <c r="I64" s="86"/>
      <c r="J64" s="87">
        <f t="shared" si="5"/>
        <v>0</v>
      </c>
      <c r="K64" s="88" t="s">
        <v>24</v>
      </c>
      <c r="L64" s="89">
        <f t="shared" si="6"/>
        <v>0</v>
      </c>
    </row>
    <row r="65" spans="8:12" x14ac:dyDescent="0.2">
      <c r="H65" s="73" t="s">
        <v>51</v>
      </c>
      <c r="I65" s="37"/>
      <c r="J65" s="74">
        <f>SUM(J52:J64)+SUM(L52:L64)</f>
        <v>0</v>
      </c>
      <c r="L65" s="5">
        <f>SUM(L52:L64)</f>
        <v>0</v>
      </c>
    </row>
  </sheetData>
  <mergeCells count="4">
    <mergeCell ref="H26:L26"/>
    <mergeCell ref="H27:L27"/>
    <mergeCell ref="H47:L47"/>
    <mergeCell ref="H48:L48"/>
  </mergeCells>
  <conditionalFormatting sqref="M24 H24">
    <cfRule type="cellIs" dxfId="2" priority="1" stopIfTrue="1" operator="notBetween">
      <formula>-1</formula>
      <formula>1</formula>
    </cfRule>
  </conditionalFormatting>
  <pageMargins left="0.45" right="0.45" top="0.5" bottom="0.5" header="0.3" footer="0.3"/>
  <pageSetup scale="6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U65"/>
  <sheetViews>
    <sheetView workbookViewId="0">
      <selection activeCell="N14" sqref="N14:N21"/>
    </sheetView>
  </sheetViews>
  <sheetFormatPr defaultRowHeight="12.75" x14ac:dyDescent="0.2"/>
  <cols>
    <col min="1" max="1" width="24.7109375" style="4" customWidth="1"/>
    <col min="2" max="2" width="1.140625" style="4" customWidth="1"/>
    <col min="3" max="3" width="15" style="4" bestFit="1" customWidth="1"/>
    <col min="4" max="4" width="16.42578125" style="4" bestFit="1" customWidth="1"/>
    <col min="5" max="5" width="0.85546875" style="4" customWidth="1"/>
    <col min="6" max="6" width="15.42578125" style="5" bestFit="1" customWidth="1"/>
    <col min="7" max="7" width="10.28515625" style="5" customWidth="1"/>
    <col min="8" max="8" width="15.28515625" style="5" customWidth="1"/>
    <col min="9" max="9" width="0.85546875" style="2" customWidth="1"/>
    <col min="10" max="10" width="13.7109375" style="5" customWidth="1"/>
    <col min="11" max="11" width="15" style="5" bestFit="1" customWidth="1"/>
    <col min="12" max="12" width="13.7109375" style="5" customWidth="1"/>
    <col min="13" max="14" width="15.140625" style="5" bestFit="1" customWidth="1"/>
    <col min="15" max="15" width="18.42578125" style="5" customWidth="1"/>
    <col min="16" max="18" width="14.7109375" style="6" customWidth="1"/>
    <col min="19" max="19" width="11.7109375" style="6" bestFit="1" customWidth="1"/>
    <col min="20" max="20" width="10.28515625" style="6" bestFit="1" customWidth="1"/>
    <col min="21" max="21" width="11.28515625" style="6" customWidth="1"/>
    <col min="22" max="16384" width="9.140625" style="4"/>
  </cols>
  <sheetData>
    <row r="1" spans="1:21" ht="13.5" x14ac:dyDescent="0.25">
      <c r="A1" s="3" t="s">
        <v>87</v>
      </c>
      <c r="E1" s="49"/>
      <c r="M1" s="7"/>
      <c r="N1" s="6"/>
      <c r="O1" s="6"/>
      <c r="P1" s="8"/>
      <c r="Q1" s="8"/>
      <c r="R1" s="8"/>
      <c r="S1" s="8"/>
      <c r="T1" s="9"/>
      <c r="U1" s="4"/>
    </row>
    <row r="2" spans="1:21" x14ac:dyDescent="0.2">
      <c r="A2" s="41" t="s">
        <v>88</v>
      </c>
      <c r="B2" s="10"/>
      <c r="C2" s="11"/>
      <c r="D2" s="11"/>
      <c r="E2" s="54"/>
      <c r="F2" s="23"/>
      <c r="G2" s="23"/>
      <c r="H2" s="23"/>
      <c r="I2" s="23"/>
      <c r="J2" s="4"/>
      <c r="L2" s="4"/>
      <c r="M2" s="4"/>
      <c r="N2" s="12"/>
      <c r="O2" s="12"/>
      <c r="P2" s="13" t="s">
        <v>82</v>
      </c>
      <c r="Q2" s="13" t="s">
        <v>82</v>
      </c>
      <c r="R2" s="13" t="s">
        <v>82</v>
      </c>
      <c r="S2" s="14"/>
      <c r="T2" s="15"/>
      <c r="U2" s="16"/>
    </row>
    <row r="3" spans="1:21" s="29" customFormat="1" ht="14.25" thickBot="1" x14ac:dyDescent="0.3">
      <c r="A3" s="92"/>
      <c r="B3" s="53"/>
      <c r="C3" s="54"/>
      <c r="D3" s="54"/>
      <c r="E3" s="54"/>
      <c r="F3" s="23"/>
      <c r="G3" s="23"/>
      <c r="H3" s="23" t="s">
        <v>48</v>
      </c>
      <c r="I3" s="23"/>
      <c r="J3" s="96">
        <v>40482</v>
      </c>
      <c r="K3" s="18" t="s">
        <v>89</v>
      </c>
      <c r="L3" s="18" t="s">
        <v>68</v>
      </c>
      <c r="M3" s="96">
        <v>40178</v>
      </c>
      <c r="N3" s="39"/>
      <c r="O3" s="39"/>
      <c r="P3" s="101" t="s">
        <v>79</v>
      </c>
      <c r="Q3" s="101" t="s">
        <v>84</v>
      </c>
      <c r="R3" s="18" t="s">
        <v>83</v>
      </c>
      <c r="S3" s="55"/>
      <c r="T3" s="54"/>
      <c r="U3" s="53"/>
    </row>
    <row r="4" spans="1:21" ht="13.5" thickBot="1" x14ac:dyDescent="0.25">
      <c r="A4" s="98" t="s">
        <v>46</v>
      </c>
      <c r="B4" s="17"/>
      <c r="C4" s="20" t="s">
        <v>44</v>
      </c>
      <c r="D4" s="71">
        <v>40178</v>
      </c>
      <c r="E4" s="71"/>
      <c r="F4" s="18" t="s">
        <v>65</v>
      </c>
      <c r="G4" s="18" t="s">
        <v>32</v>
      </c>
      <c r="H4" s="18" t="s">
        <v>34</v>
      </c>
      <c r="I4" s="18"/>
      <c r="J4" s="18" t="s">
        <v>23</v>
      </c>
      <c r="K4" s="18" t="s">
        <v>90</v>
      </c>
      <c r="L4" s="18" t="s">
        <v>8</v>
      </c>
      <c r="M4" s="48" t="s">
        <v>27</v>
      </c>
      <c r="N4" s="19"/>
      <c r="O4" s="20"/>
      <c r="P4" s="18" t="s">
        <v>80</v>
      </c>
      <c r="Q4" s="18" t="s">
        <v>85</v>
      </c>
      <c r="R4" s="71">
        <v>40178</v>
      </c>
      <c r="S4" s="17"/>
      <c r="T4" s="17"/>
      <c r="U4" s="17"/>
    </row>
    <row r="5" spans="1:21" ht="13.5" thickBot="1" x14ac:dyDescent="0.25">
      <c r="A5" s="21"/>
      <c r="B5" s="21"/>
      <c r="C5" s="50" t="s">
        <v>45</v>
      </c>
      <c r="D5" s="99" t="s">
        <v>53</v>
      </c>
      <c r="E5" s="71"/>
      <c r="F5" s="51" t="s">
        <v>4</v>
      </c>
      <c r="G5" s="51" t="s">
        <v>33</v>
      </c>
      <c r="H5" s="51" t="s">
        <v>65</v>
      </c>
      <c r="I5" s="18"/>
      <c r="J5" s="51" t="s">
        <v>56</v>
      </c>
      <c r="K5" s="51" t="s">
        <v>63</v>
      </c>
      <c r="L5" s="51" t="s">
        <v>7</v>
      </c>
      <c r="M5" s="52" t="s">
        <v>7</v>
      </c>
      <c r="N5" s="22"/>
      <c r="O5" s="22"/>
      <c r="P5" s="51" t="s">
        <v>81</v>
      </c>
      <c r="Q5" s="51" t="s">
        <v>62</v>
      </c>
      <c r="R5" s="99" t="s">
        <v>53</v>
      </c>
      <c r="S5" s="21"/>
      <c r="T5" s="21"/>
      <c r="U5" s="21"/>
    </row>
    <row r="6" spans="1:21" ht="5.25" customHeight="1" x14ac:dyDescent="0.2">
      <c r="E6" s="49"/>
      <c r="F6" s="23"/>
      <c r="G6" s="23"/>
      <c r="H6" s="23"/>
      <c r="I6" s="23"/>
      <c r="J6" s="23"/>
      <c r="L6" s="23"/>
      <c r="M6" s="7"/>
      <c r="N6" s="8"/>
      <c r="O6" s="9"/>
      <c r="P6" s="9"/>
      <c r="Q6" s="9"/>
      <c r="R6" s="9"/>
      <c r="S6" s="4"/>
      <c r="T6" s="4"/>
      <c r="U6" s="4"/>
    </row>
    <row r="7" spans="1:21" x14ac:dyDescent="0.2">
      <c r="A7" s="25" t="s">
        <v>49</v>
      </c>
      <c r="B7" s="25"/>
      <c r="C7" s="70"/>
      <c r="D7" s="28"/>
      <c r="E7" s="1"/>
      <c r="F7" s="27">
        <v>0</v>
      </c>
      <c r="G7" s="2"/>
      <c r="H7" s="2"/>
      <c r="J7" s="2"/>
      <c r="L7" s="2"/>
      <c r="M7" s="2"/>
      <c r="N7" s="32"/>
      <c r="O7" s="32"/>
      <c r="S7" s="31"/>
      <c r="T7" s="31"/>
      <c r="U7" s="31"/>
    </row>
    <row r="8" spans="1:21" x14ac:dyDescent="0.2">
      <c r="A8" s="25" t="s">
        <v>9</v>
      </c>
      <c r="B8" s="25"/>
      <c r="C8" s="25" t="s">
        <v>10</v>
      </c>
      <c r="D8" s="2">
        <v>0</v>
      </c>
      <c r="E8" s="1"/>
      <c r="F8"/>
      <c r="G8" s="69"/>
      <c r="H8" s="2">
        <f>-SUM(F8:G8)</f>
        <v>0</v>
      </c>
      <c r="J8"/>
      <c r="K8"/>
      <c r="L8" s="2">
        <f>H8-J8-K8</f>
        <v>0</v>
      </c>
      <c r="M8" s="2">
        <f>L8/(13-MONTH($M$3))</f>
        <v>0</v>
      </c>
      <c r="N8" s="32"/>
      <c r="O8" s="32"/>
      <c r="P8" s="26">
        <v>-4553280.72</v>
      </c>
      <c r="Q8" s="26"/>
      <c r="R8" s="26">
        <f>D8+H8+P8+Q8</f>
        <v>-4553280.72</v>
      </c>
      <c r="S8" s="31"/>
      <c r="T8" s="31"/>
      <c r="U8" s="31"/>
    </row>
    <row r="9" spans="1:21" x14ac:dyDescent="0.2">
      <c r="A9" s="25" t="s">
        <v>9</v>
      </c>
      <c r="B9" s="25"/>
      <c r="C9" s="25" t="s">
        <v>11</v>
      </c>
      <c r="D9" s="2">
        <v>0</v>
      </c>
      <c r="E9" s="1"/>
      <c r="F9"/>
      <c r="G9" s="69"/>
      <c r="H9" s="2">
        <f>-SUM(F9:G9)</f>
        <v>0</v>
      </c>
      <c r="J9"/>
      <c r="K9"/>
      <c r="L9" s="2">
        <f t="shared" ref="L9:L13" si="0">H9-J9-K9</f>
        <v>0</v>
      </c>
      <c r="M9" s="2">
        <f t="shared" ref="M9:M13" si="1">L9/(13-MONTH($M$3))</f>
        <v>0</v>
      </c>
      <c r="N9" s="2"/>
      <c r="O9" s="1"/>
      <c r="P9" s="26">
        <v>-7881208.2999999998</v>
      </c>
      <c r="Q9" s="26"/>
      <c r="R9" s="26">
        <f t="shared" ref="R9:R21" si="2">D9+H9+P9+Q9</f>
        <v>-7881208.2999999998</v>
      </c>
      <c r="S9" s="25"/>
      <c r="T9" s="25"/>
      <c r="U9" s="25"/>
    </row>
    <row r="10" spans="1:21" x14ac:dyDescent="0.2">
      <c r="A10" s="25" t="s">
        <v>50</v>
      </c>
      <c r="B10" s="25"/>
      <c r="C10" s="70"/>
      <c r="D10" s="2">
        <v>0</v>
      </c>
      <c r="E10" s="1"/>
      <c r="F10"/>
      <c r="G10" s="2"/>
      <c r="H10" s="2"/>
      <c r="J10"/>
      <c r="K10"/>
      <c r="L10" s="2">
        <f t="shared" si="0"/>
        <v>0</v>
      </c>
      <c r="M10" s="2">
        <f t="shared" si="1"/>
        <v>0</v>
      </c>
      <c r="N10" s="32"/>
      <c r="O10" s="32"/>
      <c r="P10" s="26"/>
      <c r="Q10" s="26"/>
      <c r="R10" s="26">
        <f t="shared" si="2"/>
        <v>0</v>
      </c>
      <c r="S10" s="31"/>
      <c r="T10" s="31"/>
      <c r="U10" s="31"/>
    </row>
    <row r="11" spans="1:21" x14ac:dyDescent="0.2">
      <c r="A11" s="25" t="s">
        <v>9</v>
      </c>
      <c r="B11" s="25"/>
      <c r="C11" s="25" t="s">
        <v>13</v>
      </c>
      <c r="D11" s="2">
        <v>0</v>
      </c>
      <c r="E11" s="1"/>
      <c r="F11"/>
      <c r="G11" s="69"/>
      <c r="H11" s="2">
        <f t="shared" ref="H11:H13" si="3">-SUM(F11:G11)</f>
        <v>0</v>
      </c>
      <c r="J11"/>
      <c r="K11"/>
      <c r="L11" s="2">
        <f t="shared" si="0"/>
        <v>0</v>
      </c>
      <c r="M11" s="2">
        <f t="shared" si="1"/>
        <v>0</v>
      </c>
      <c r="N11" s="26"/>
      <c r="O11" s="26"/>
      <c r="P11" s="26">
        <v>-398720.83</v>
      </c>
      <c r="Q11" s="26"/>
      <c r="R11" s="26">
        <f t="shared" si="2"/>
        <v>-398720.83</v>
      </c>
      <c r="S11" s="25"/>
      <c r="T11" s="25"/>
      <c r="U11" s="25"/>
    </row>
    <row r="12" spans="1:21" x14ac:dyDescent="0.2">
      <c r="A12" s="25" t="s">
        <v>9</v>
      </c>
      <c r="B12" s="25"/>
      <c r="C12" s="25" t="s">
        <v>12</v>
      </c>
      <c r="D12" s="2">
        <v>0</v>
      </c>
      <c r="E12" s="1"/>
      <c r="F12"/>
      <c r="G12" s="69"/>
      <c r="H12" s="2">
        <f t="shared" si="3"/>
        <v>0</v>
      </c>
      <c r="J12"/>
      <c r="K12"/>
      <c r="L12" s="2">
        <f t="shared" si="0"/>
        <v>0</v>
      </c>
      <c r="M12" s="2">
        <f t="shared" si="1"/>
        <v>0</v>
      </c>
      <c r="N12" s="26"/>
      <c r="O12" s="26"/>
      <c r="P12" s="26">
        <v>-948359.49</v>
      </c>
      <c r="Q12" s="26"/>
      <c r="R12" s="26">
        <f t="shared" si="2"/>
        <v>-948359.49</v>
      </c>
      <c r="S12" s="25"/>
      <c r="T12" s="25"/>
      <c r="U12" s="25"/>
    </row>
    <row r="13" spans="1:21" x14ac:dyDescent="0.2">
      <c r="A13" s="25" t="s">
        <v>9</v>
      </c>
      <c r="B13" s="25"/>
      <c r="C13" s="25" t="s">
        <v>14</v>
      </c>
      <c r="D13" s="2">
        <v>0</v>
      </c>
      <c r="E13" s="1"/>
      <c r="F13" s="27">
        <v>0</v>
      </c>
      <c r="G13" s="2"/>
      <c r="H13" s="2">
        <f t="shared" si="3"/>
        <v>0</v>
      </c>
      <c r="J13"/>
      <c r="K13"/>
      <c r="L13" s="2">
        <f t="shared" si="0"/>
        <v>0</v>
      </c>
      <c r="M13" s="2">
        <f t="shared" si="1"/>
        <v>0</v>
      </c>
      <c r="N13" s="26"/>
      <c r="O13" s="26"/>
      <c r="P13" s="26">
        <v>-255114.53</v>
      </c>
      <c r="Q13" s="26"/>
      <c r="R13" s="26">
        <f t="shared" si="2"/>
        <v>-255114.53</v>
      </c>
      <c r="S13" s="25"/>
      <c r="T13" s="25"/>
      <c r="U13" s="25"/>
    </row>
    <row r="14" spans="1:21" x14ac:dyDescent="0.2">
      <c r="A14" s="25" t="s">
        <v>2</v>
      </c>
      <c r="B14" s="25"/>
      <c r="C14" s="25" t="s">
        <v>20</v>
      </c>
      <c r="D14" s="2">
        <v>-53597</v>
      </c>
      <c r="E14" s="1"/>
      <c r="F14" s="27">
        <v>-3014</v>
      </c>
      <c r="G14" s="2"/>
      <c r="H14" s="2">
        <f t="shared" ref="H14:H21" si="4">-SUM(F14:G14)</f>
        <v>3014</v>
      </c>
      <c r="J14" s="27">
        <f>172*10</f>
        <v>1720</v>
      </c>
      <c r="K14" s="5">
        <f>ROUND(H14/12*11,0)-J14</f>
        <v>1043</v>
      </c>
      <c r="L14" s="2">
        <f t="shared" ref="L14:L21" si="5">H14-J14-K14</f>
        <v>251</v>
      </c>
      <c r="M14" s="2">
        <f t="shared" ref="M14:M21" si="6">L14/(13-MONTH($M$3))</f>
        <v>251</v>
      </c>
      <c r="N14" s="2">
        <f>M14*2</f>
        <v>502</v>
      </c>
      <c r="O14" s="1">
        <f>N14+K14+J14</f>
        <v>3265</v>
      </c>
      <c r="P14" s="26"/>
      <c r="Q14" s="26"/>
      <c r="R14" s="26">
        <f t="shared" si="2"/>
        <v>-50583</v>
      </c>
      <c r="S14" s="25"/>
      <c r="T14" s="25"/>
      <c r="U14" s="25"/>
    </row>
    <row r="15" spans="1:21" x14ac:dyDescent="0.2">
      <c r="A15" s="25" t="s">
        <v>5</v>
      </c>
      <c r="B15" s="25"/>
      <c r="C15" s="25" t="s">
        <v>22</v>
      </c>
      <c r="D15" s="2">
        <v>54538</v>
      </c>
      <c r="E15" s="1"/>
      <c r="F15" s="27">
        <v>-66192</v>
      </c>
      <c r="G15" s="2"/>
      <c r="H15" s="2">
        <f t="shared" si="4"/>
        <v>66192</v>
      </c>
      <c r="J15" s="27">
        <f>-10893*10</f>
        <v>-108930</v>
      </c>
      <c r="K15" s="5">
        <f t="shared" ref="K15:K21" si="7">ROUND(H15/12*11,0)-J15</f>
        <v>169606</v>
      </c>
      <c r="L15" s="2">
        <f t="shared" si="5"/>
        <v>5516</v>
      </c>
      <c r="M15" s="2">
        <f t="shared" si="6"/>
        <v>5516</v>
      </c>
      <c r="N15" s="2">
        <f t="shared" ref="N15:N21" si="8">M15*2</f>
        <v>11032</v>
      </c>
      <c r="O15" s="1">
        <f t="shared" ref="O15:O21" si="9">N15+K15+J15</f>
        <v>71708</v>
      </c>
      <c r="P15" s="26"/>
      <c r="Q15" s="26"/>
      <c r="R15" s="26">
        <f t="shared" si="2"/>
        <v>120730</v>
      </c>
      <c r="S15" s="25"/>
      <c r="T15" s="25"/>
      <c r="U15" s="25"/>
    </row>
    <row r="16" spans="1:21" x14ac:dyDescent="0.2">
      <c r="A16" s="25" t="s">
        <v>52</v>
      </c>
      <c r="B16" s="25"/>
      <c r="C16" s="25" t="s">
        <v>21</v>
      </c>
      <c r="D16" s="2">
        <v>-1053465</v>
      </c>
      <c r="E16" s="1"/>
      <c r="F16" s="27">
        <v>-117015</v>
      </c>
      <c r="G16" s="2"/>
      <c r="H16" s="2">
        <f t="shared" si="4"/>
        <v>117015</v>
      </c>
      <c r="J16" s="27">
        <f>9751*10</f>
        <v>97510</v>
      </c>
      <c r="K16" s="5">
        <f t="shared" si="7"/>
        <v>9754</v>
      </c>
      <c r="L16" s="2">
        <f t="shared" si="5"/>
        <v>9751</v>
      </c>
      <c r="M16" s="2">
        <f t="shared" si="6"/>
        <v>9751</v>
      </c>
      <c r="N16" s="2">
        <f t="shared" si="8"/>
        <v>19502</v>
      </c>
      <c r="O16" s="1">
        <f t="shared" si="9"/>
        <v>126766</v>
      </c>
      <c r="P16" s="26"/>
      <c r="Q16" s="26"/>
      <c r="R16" s="26">
        <f t="shared" si="2"/>
        <v>-936450</v>
      </c>
      <c r="S16" s="25"/>
      <c r="T16" s="25"/>
      <c r="U16" s="25"/>
    </row>
    <row r="17" spans="1:21" x14ac:dyDescent="0.2">
      <c r="A17" s="28" t="s">
        <v>29</v>
      </c>
      <c r="B17" s="28"/>
      <c r="C17" s="25" t="s">
        <v>17</v>
      </c>
      <c r="D17" s="2">
        <v>-14099780</v>
      </c>
      <c r="E17" s="1"/>
      <c r="F17" s="27">
        <v>4553208</v>
      </c>
      <c r="G17" s="2"/>
      <c r="H17" s="2">
        <f t="shared" si="4"/>
        <v>-4553208</v>
      </c>
      <c r="J17" s="27">
        <f>-177582*10</f>
        <v>-1775820</v>
      </c>
      <c r="K17" s="5">
        <f t="shared" si="7"/>
        <v>-2397954</v>
      </c>
      <c r="L17" s="2">
        <f t="shared" si="5"/>
        <v>-379434</v>
      </c>
      <c r="M17" s="2">
        <f t="shared" si="6"/>
        <v>-379434</v>
      </c>
      <c r="N17" s="2">
        <f t="shared" si="8"/>
        <v>-758868</v>
      </c>
      <c r="O17" s="1">
        <f t="shared" si="9"/>
        <v>-4932642</v>
      </c>
      <c r="P17" s="26"/>
      <c r="Q17" s="26"/>
      <c r="R17" s="26">
        <f t="shared" si="2"/>
        <v>-18652988</v>
      </c>
      <c r="S17" s="25"/>
      <c r="T17" s="25"/>
      <c r="U17" s="25"/>
    </row>
    <row r="18" spans="1:21" x14ac:dyDescent="0.2">
      <c r="A18" s="28" t="s">
        <v>30</v>
      </c>
      <c r="B18" s="28"/>
      <c r="C18" s="25" t="s">
        <v>18</v>
      </c>
      <c r="D18" s="2">
        <v>-1683538</v>
      </c>
      <c r="E18" s="1"/>
      <c r="F18" s="27">
        <v>78239</v>
      </c>
      <c r="G18" s="2"/>
      <c r="H18" s="2">
        <f t="shared" si="4"/>
        <v>-78239</v>
      </c>
      <c r="J18" s="27">
        <f>-6520*10</f>
        <v>-65200</v>
      </c>
      <c r="K18" s="5">
        <f t="shared" si="7"/>
        <v>-6519</v>
      </c>
      <c r="L18" s="2">
        <f t="shared" si="5"/>
        <v>-6520</v>
      </c>
      <c r="M18" s="2">
        <f t="shared" si="6"/>
        <v>-6520</v>
      </c>
      <c r="N18" s="2">
        <f t="shared" si="8"/>
        <v>-13040</v>
      </c>
      <c r="O18" s="1">
        <f t="shared" si="9"/>
        <v>-84759</v>
      </c>
      <c r="P18" s="26"/>
      <c r="Q18" s="26"/>
      <c r="R18" s="26">
        <f t="shared" si="2"/>
        <v>-1761777</v>
      </c>
      <c r="S18" s="25"/>
      <c r="T18" s="25"/>
      <c r="U18" s="25"/>
    </row>
    <row r="19" spans="1:21" x14ac:dyDescent="0.2">
      <c r="A19" s="4" t="s">
        <v>28</v>
      </c>
      <c r="B19" s="46"/>
      <c r="C19" s="32" t="s">
        <v>16</v>
      </c>
      <c r="D19" s="2">
        <v>-247071184</v>
      </c>
      <c r="E19" s="2"/>
      <c r="F19" s="27">
        <v>12126358</v>
      </c>
      <c r="G19" s="2">
        <f>D35</f>
        <v>0</v>
      </c>
      <c r="H19" s="2">
        <f t="shared" si="4"/>
        <v>-12126358</v>
      </c>
      <c r="J19" s="27">
        <f>-628102*10</f>
        <v>-6281020</v>
      </c>
      <c r="K19" s="5">
        <f t="shared" si="7"/>
        <v>-4834808</v>
      </c>
      <c r="L19" s="2">
        <f t="shared" si="5"/>
        <v>-1010530</v>
      </c>
      <c r="M19" s="2">
        <f t="shared" si="6"/>
        <v>-1010530</v>
      </c>
      <c r="N19" s="2">
        <f t="shared" si="8"/>
        <v>-2021060</v>
      </c>
      <c r="O19" s="1">
        <f t="shared" si="9"/>
        <v>-13136888</v>
      </c>
      <c r="P19" s="26">
        <f>(P8+P9)*-1</f>
        <v>12434489.02</v>
      </c>
      <c r="Q19" s="6">
        <v>11075201.25999999</v>
      </c>
      <c r="R19" s="26">
        <f t="shared" si="2"/>
        <v>-235687851.72</v>
      </c>
      <c r="S19" s="25"/>
      <c r="T19" s="25"/>
      <c r="U19" s="25"/>
    </row>
    <row r="20" spans="1:21" x14ac:dyDescent="0.2">
      <c r="A20" s="47" t="s">
        <v>26</v>
      </c>
      <c r="B20" s="28"/>
      <c r="C20" s="36" t="s">
        <v>19</v>
      </c>
      <c r="D20" s="2">
        <v>-48279819</v>
      </c>
      <c r="E20" s="40"/>
      <c r="F20" s="27">
        <v>6930976</v>
      </c>
      <c r="G20" s="2">
        <f>D36</f>
        <v>0</v>
      </c>
      <c r="H20" s="2">
        <f t="shared" si="4"/>
        <v>-6930976</v>
      </c>
      <c r="J20" s="27">
        <f>-347270*10</f>
        <v>-3472700</v>
      </c>
      <c r="K20" s="5">
        <f t="shared" si="7"/>
        <v>-2880695</v>
      </c>
      <c r="L20" s="2">
        <f t="shared" si="5"/>
        <v>-577581</v>
      </c>
      <c r="M20" s="2">
        <f t="shared" si="6"/>
        <v>-577581</v>
      </c>
      <c r="N20" s="2">
        <f t="shared" si="8"/>
        <v>-1155162</v>
      </c>
      <c r="O20" s="1">
        <f t="shared" si="9"/>
        <v>-7508557</v>
      </c>
      <c r="P20" s="26">
        <f>(P11+P12)*-1</f>
        <v>1347080.32</v>
      </c>
      <c r="Q20" s="6">
        <v>2951950.549999997</v>
      </c>
      <c r="R20" s="26">
        <f t="shared" si="2"/>
        <v>-50911764.130000003</v>
      </c>
      <c r="S20" s="25"/>
      <c r="T20" s="25"/>
      <c r="U20" s="25"/>
    </row>
    <row r="21" spans="1:21" x14ac:dyDescent="0.2">
      <c r="A21" s="26" t="s">
        <v>47</v>
      </c>
      <c r="B21" s="26"/>
      <c r="C21" s="26" t="s">
        <v>24</v>
      </c>
      <c r="D21" s="2">
        <v>-23852188</v>
      </c>
      <c r="E21" s="1"/>
      <c r="F21" s="27">
        <v>4801878</v>
      </c>
      <c r="G21" s="2">
        <f>D37</f>
        <v>0</v>
      </c>
      <c r="H21" s="2">
        <f t="shared" si="4"/>
        <v>-4801878</v>
      </c>
      <c r="J21" s="27">
        <f>-188758*10</f>
        <v>-1887580</v>
      </c>
      <c r="K21" s="5">
        <f t="shared" si="7"/>
        <v>-2514142</v>
      </c>
      <c r="L21" s="2">
        <f t="shared" si="5"/>
        <v>-400156</v>
      </c>
      <c r="M21" s="2">
        <f t="shared" si="6"/>
        <v>-400156</v>
      </c>
      <c r="N21" s="2">
        <f t="shared" si="8"/>
        <v>-800312</v>
      </c>
      <c r="O21" s="1">
        <f t="shared" si="9"/>
        <v>-5202034</v>
      </c>
      <c r="P21" s="26">
        <f>(P13)*-1</f>
        <v>255114.53</v>
      </c>
      <c r="Q21" s="6">
        <v>1363621.129999999</v>
      </c>
      <c r="R21" s="26">
        <f t="shared" si="2"/>
        <v>-27035330.34</v>
      </c>
      <c r="S21" s="25"/>
      <c r="T21" s="25"/>
      <c r="U21" s="25"/>
    </row>
    <row r="22" spans="1:21" x14ac:dyDescent="0.2">
      <c r="A22" s="25"/>
      <c r="B22" s="25"/>
      <c r="C22" s="35"/>
      <c r="D22" s="2"/>
      <c r="E22" s="72"/>
      <c r="F22" s="2"/>
      <c r="G22" s="2"/>
      <c r="H22" s="2"/>
      <c r="J22" s="2"/>
      <c r="L22" s="2"/>
      <c r="M22" s="2"/>
      <c r="N22" s="26"/>
      <c r="O22" s="26"/>
      <c r="P22" s="26"/>
      <c r="Q22" s="26"/>
      <c r="R22" s="26">
        <f>D22+H22+P22</f>
        <v>0</v>
      </c>
      <c r="S22" s="25"/>
      <c r="U22" s="25"/>
    </row>
    <row r="23" spans="1:21" x14ac:dyDescent="0.2">
      <c r="A23" s="25" t="s">
        <v>6</v>
      </c>
      <c r="B23" s="26"/>
      <c r="C23" s="26"/>
      <c r="D23" s="45">
        <f>SUM(D8:D22)</f>
        <v>-336039033</v>
      </c>
      <c r="E23" s="2"/>
      <c r="F23" s="45">
        <f>SUM(F7:F22)-F7-F10</f>
        <v>28304438</v>
      </c>
      <c r="G23" s="45">
        <f>SUM(G8:G22)</f>
        <v>0</v>
      </c>
      <c r="H23" s="45">
        <f>SUM(H8:H22)</f>
        <v>-28304438</v>
      </c>
      <c r="J23" s="45">
        <f>SUM(J8:J22)</f>
        <v>-13492020</v>
      </c>
      <c r="K23" s="45">
        <f>SUM(K8:K22)</f>
        <v>-12453715</v>
      </c>
      <c r="L23" s="45">
        <f>SUM(L8:L22)</f>
        <v>-2358703</v>
      </c>
      <c r="M23" s="45">
        <f>SUM(M8:M22)</f>
        <v>-2358703</v>
      </c>
      <c r="N23" s="45">
        <f>SUM(N8:N22)</f>
        <v>-4717406</v>
      </c>
      <c r="O23" s="26">
        <f>SUM(O14:O22)</f>
        <v>-30663141</v>
      </c>
      <c r="P23" s="45">
        <f>SUM(P8:P22)</f>
        <v>4.3655745685100555E-10</v>
      </c>
      <c r="Q23" s="45"/>
      <c r="R23" s="45">
        <f>SUM(R8:R22)</f>
        <v>-348952698.05999994</v>
      </c>
      <c r="S23" s="25"/>
      <c r="U23" s="25"/>
    </row>
    <row r="24" spans="1:21" x14ac:dyDescent="0.2">
      <c r="A24" s="24" t="s">
        <v>43</v>
      </c>
      <c r="D24" s="26"/>
      <c r="E24" s="1"/>
      <c r="F24" s="56"/>
      <c r="H24" s="5">
        <f>ROUND(F24+H23,0)</f>
        <v>-28304438</v>
      </c>
      <c r="L24" s="7">
        <f>J23+K23+L23-H23</f>
        <v>0</v>
      </c>
      <c r="M24" s="6">
        <f>(M23*(13-MONTH($M$3))-L23)</f>
        <v>0</v>
      </c>
      <c r="N24" s="6"/>
      <c r="O24" s="8"/>
      <c r="P24" s="8"/>
      <c r="Q24" s="8"/>
      <c r="R24" s="8"/>
      <c r="S24" s="9"/>
      <c r="U24" s="4"/>
    </row>
    <row r="25" spans="1:21" ht="13.5" thickBot="1" x14ac:dyDescent="0.25">
      <c r="A25" s="24"/>
      <c r="D25" s="26"/>
      <c r="K25" s="7"/>
      <c r="L25" s="6"/>
      <c r="M25" s="6"/>
      <c r="N25" s="6"/>
      <c r="O25" s="8"/>
      <c r="P25" s="8"/>
      <c r="Q25" s="8"/>
      <c r="R25" s="8"/>
      <c r="S25" s="9"/>
      <c r="T25" s="25">
        <v>-11075201.25999999</v>
      </c>
      <c r="U25" s="4"/>
    </row>
    <row r="26" spans="1:21" ht="13.5" thickBot="1" x14ac:dyDescent="0.25">
      <c r="A26" s="24"/>
      <c r="H26" s="200" t="s">
        <v>92</v>
      </c>
      <c r="I26" s="201"/>
      <c r="J26" s="201"/>
      <c r="K26" s="201"/>
      <c r="L26" s="202"/>
      <c r="M26" s="6"/>
      <c r="O26" s="6"/>
      <c r="S26" s="8"/>
      <c r="T26" s="25">
        <v>-2951950.549999997</v>
      </c>
      <c r="U26" s="9"/>
    </row>
    <row r="27" spans="1:21" ht="13.5" thickBot="1" x14ac:dyDescent="0.25">
      <c r="A27" s="24"/>
      <c r="H27" s="200" t="s">
        <v>59</v>
      </c>
      <c r="I27" s="201"/>
      <c r="J27" s="201"/>
      <c r="K27" s="201"/>
      <c r="L27" s="202"/>
      <c r="M27" s="7"/>
      <c r="N27" s="6"/>
      <c r="O27" s="6"/>
      <c r="S27" s="8"/>
      <c r="T27" s="25">
        <v>-1363621.129999999</v>
      </c>
      <c r="U27" s="9"/>
    </row>
    <row r="28" spans="1:21" x14ac:dyDescent="0.2">
      <c r="A28" s="24"/>
      <c r="H28" s="75"/>
      <c r="I28" s="18"/>
      <c r="J28" s="18"/>
      <c r="K28" s="18"/>
      <c r="L28" s="76"/>
      <c r="N28" s="6"/>
      <c r="O28" s="7"/>
      <c r="T28" s="8"/>
      <c r="U28" s="8"/>
    </row>
    <row r="29" spans="1:21" x14ac:dyDescent="0.2">
      <c r="A29" s="57" t="s">
        <v>31</v>
      </c>
      <c r="B29" s="57"/>
      <c r="C29" s="57"/>
      <c r="D29" s="57"/>
      <c r="E29" s="57"/>
      <c r="F29" s="58"/>
      <c r="H29" s="77" t="s">
        <v>35</v>
      </c>
      <c r="I29" s="38"/>
      <c r="J29" s="38"/>
      <c r="K29" s="20" t="s">
        <v>44</v>
      </c>
      <c r="L29" s="78"/>
    </row>
    <row r="30" spans="1:21" ht="13.5" thickBot="1" x14ac:dyDescent="0.25">
      <c r="A30" s="59" t="s">
        <v>0</v>
      </c>
      <c r="B30" s="57"/>
      <c r="C30" s="57"/>
      <c r="D30" s="57"/>
      <c r="E30" s="57"/>
      <c r="F30" s="56">
        <v>0</v>
      </c>
      <c r="H30" s="79" t="s">
        <v>42</v>
      </c>
      <c r="I30" s="44"/>
      <c r="J30" s="38"/>
      <c r="K30" s="50" t="s">
        <v>45</v>
      </c>
      <c r="L30" s="78"/>
      <c r="N30" s="34"/>
      <c r="O30" s="34"/>
      <c r="P30" s="5"/>
      <c r="Q30" s="5"/>
      <c r="R30" s="5"/>
      <c r="T30" s="7"/>
    </row>
    <row r="31" spans="1:21" x14ac:dyDescent="0.2">
      <c r="A31" s="59" t="s">
        <v>3</v>
      </c>
      <c r="B31" s="57"/>
      <c r="C31" s="57"/>
      <c r="D31" s="57"/>
      <c r="E31" s="57"/>
      <c r="F31" s="56">
        <v>0</v>
      </c>
      <c r="H31" s="80" t="s">
        <v>38</v>
      </c>
      <c r="I31" s="38"/>
      <c r="J31" s="90">
        <f>-M8</f>
        <v>0</v>
      </c>
      <c r="K31" s="26" t="s">
        <v>10</v>
      </c>
      <c r="L31" s="91">
        <f>M8</f>
        <v>0</v>
      </c>
      <c r="P31" s="5"/>
      <c r="Q31" s="5"/>
      <c r="R31" s="5"/>
      <c r="T31" s="7"/>
    </row>
    <row r="32" spans="1:21" x14ac:dyDescent="0.2">
      <c r="A32" s="59" t="s">
        <v>1</v>
      </c>
      <c r="B32" s="57"/>
      <c r="C32" s="57"/>
      <c r="D32" s="57"/>
      <c r="E32" s="57"/>
      <c r="F32" s="56">
        <v>0</v>
      </c>
      <c r="H32" s="80" t="s">
        <v>38</v>
      </c>
      <c r="I32" s="43"/>
      <c r="J32" s="42">
        <f>-M9</f>
        <v>0</v>
      </c>
      <c r="K32" s="26" t="s">
        <v>11</v>
      </c>
      <c r="L32" s="78">
        <f>M9</f>
        <v>0</v>
      </c>
      <c r="P32" s="5"/>
      <c r="Q32" s="5"/>
      <c r="R32" s="5"/>
      <c r="T32" s="7"/>
    </row>
    <row r="33" spans="1:20" x14ac:dyDescent="0.2">
      <c r="A33" s="60"/>
      <c r="B33" s="60"/>
      <c r="C33" s="60"/>
      <c r="D33" s="60"/>
      <c r="E33" s="60"/>
      <c r="F33" s="61">
        <f>ROUND(G23-SUM(F31:F32),0)</f>
        <v>0</v>
      </c>
      <c r="H33" s="81" t="s">
        <v>15</v>
      </c>
      <c r="I33" s="43"/>
      <c r="J33" s="42">
        <f t="shared" ref="J33:J43" si="10">-M11</f>
        <v>0</v>
      </c>
      <c r="K33" s="26" t="s">
        <v>13</v>
      </c>
      <c r="L33" s="78">
        <f t="shared" ref="L33:L43" si="11">M11</f>
        <v>0</v>
      </c>
      <c r="P33" s="5"/>
      <c r="Q33" s="5"/>
      <c r="R33" s="5"/>
      <c r="T33" s="7"/>
    </row>
    <row r="34" spans="1:20" x14ac:dyDescent="0.2">
      <c r="A34" s="100" t="s">
        <v>57</v>
      </c>
      <c r="B34" s="60"/>
      <c r="C34" s="62"/>
      <c r="D34" s="62"/>
      <c r="E34" s="62"/>
      <c r="F34" s="62"/>
      <c r="H34" s="81" t="s">
        <v>15</v>
      </c>
      <c r="I34" s="38"/>
      <c r="J34" s="42">
        <f t="shared" si="10"/>
        <v>0</v>
      </c>
      <c r="K34" s="26" t="s">
        <v>12</v>
      </c>
      <c r="L34" s="78">
        <f t="shared" si="11"/>
        <v>0</v>
      </c>
      <c r="P34" s="5"/>
      <c r="Q34" s="5"/>
      <c r="R34" s="5"/>
      <c r="T34" s="7"/>
    </row>
    <row r="35" spans="1:20" x14ac:dyDescent="0.2">
      <c r="A35" s="60" t="s">
        <v>54</v>
      </c>
      <c r="B35" s="60"/>
      <c r="C35" s="97">
        <v>0.81311999999999995</v>
      </c>
      <c r="D35" s="66">
        <f>ROUND((SUM($F$30:$F$32))*C35,2)</f>
        <v>0</v>
      </c>
      <c r="E35" s="63"/>
      <c r="F35" s="58"/>
      <c r="H35" s="81" t="s">
        <v>25</v>
      </c>
      <c r="I35" s="38"/>
      <c r="J35" s="42">
        <f t="shared" si="10"/>
        <v>0</v>
      </c>
      <c r="K35" s="26" t="s">
        <v>14</v>
      </c>
      <c r="L35" s="78">
        <f t="shared" si="11"/>
        <v>0</v>
      </c>
      <c r="P35" s="5"/>
      <c r="Q35" s="5"/>
      <c r="R35" s="5"/>
      <c r="T35" s="7"/>
    </row>
    <row r="36" spans="1:20" x14ac:dyDescent="0.2">
      <c r="A36" s="60" t="s">
        <v>26</v>
      </c>
      <c r="B36" s="60"/>
      <c r="C36" s="97">
        <v>0.12905</v>
      </c>
      <c r="D36" s="66">
        <f>ROUND((SUM($F$30:$F$32))*C36,2)</f>
        <v>0</v>
      </c>
      <c r="E36" s="63"/>
      <c r="F36" s="58"/>
      <c r="H36" s="81" t="s">
        <v>41</v>
      </c>
      <c r="I36" s="38"/>
      <c r="J36" s="42">
        <f t="shared" si="10"/>
        <v>-251</v>
      </c>
      <c r="K36" s="26" t="s">
        <v>20</v>
      </c>
      <c r="L36" s="78">
        <f t="shared" si="11"/>
        <v>251</v>
      </c>
      <c r="P36" s="5"/>
      <c r="Q36" s="5"/>
      <c r="R36" s="5"/>
      <c r="T36" s="7"/>
    </row>
    <row r="37" spans="1:20" x14ac:dyDescent="0.2">
      <c r="A37" s="60" t="s">
        <v>55</v>
      </c>
      <c r="B37" s="60"/>
      <c r="C37" s="97">
        <v>5.7829999999999999E-2</v>
      </c>
      <c r="D37" s="66">
        <f>ROUND((SUM($F$30:$F$32))*C37,2)</f>
        <v>0</v>
      </c>
      <c r="E37" s="63"/>
      <c r="F37" s="58"/>
      <c r="H37" s="81" t="s">
        <v>41</v>
      </c>
      <c r="I37" s="43"/>
      <c r="J37" s="42">
        <f t="shared" si="10"/>
        <v>-5516</v>
      </c>
      <c r="K37" s="26" t="s">
        <v>22</v>
      </c>
      <c r="L37" s="78">
        <f t="shared" si="11"/>
        <v>5516</v>
      </c>
      <c r="P37" s="5"/>
      <c r="Q37" s="5"/>
      <c r="R37" s="5"/>
      <c r="T37" s="7"/>
    </row>
    <row r="38" spans="1:20" x14ac:dyDescent="0.2">
      <c r="A38" s="60"/>
      <c r="B38" s="60"/>
      <c r="C38" s="95">
        <f>SUM(C35:C37)</f>
        <v>1</v>
      </c>
      <c r="D38" s="64">
        <f>SUM(D35:D37)</f>
        <v>0</v>
      </c>
      <c r="E38" s="67"/>
      <c r="F38" s="58"/>
      <c r="H38" s="81" t="s">
        <v>41</v>
      </c>
      <c r="I38" s="38"/>
      <c r="J38" s="42">
        <f t="shared" si="10"/>
        <v>-9751</v>
      </c>
      <c r="K38" s="26" t="s">
        <v>21</v>
      </c>
      <c r="L38" s="78">
        <f t="shared" si="11"/>
        <v>9751</v>
      </c>
      <c r="P38" s="5"/>
      <c r="Q38" s="5"/>
      <c r="R38" s="5"/>
      <c r="T38" s="7"/>
    </row>
    <row r="39" spans="1:20" x14ac:dyDescent="0.2">
      <c r="A39" s="60"/>
      <c r="B39" s="60"/>
      <c r="C39" s="65"/>
      <c r="D39" s="66"/>
      <c r="E39" s="66"/>
      <c r="F39" s="58"/>
      <c r="H39" s="80" t="s">
        <v>36</v>
      </c>
      <c r="I39" s="38"/>
      <c r="J39" s="42">
        <f t="shared" si="10"/>
        <v>379434</v>
      </c>
      <c r="K39" s="26" t="s">
        <v>17</v>
      </c>
      <c r="L39" s="78">
        <f t="shared" si="11"/>
        <v>-379434</v>
      </c>
      <c r="P39" s="5"/>
      <c r="Q39" s="5"/>
      <c r="R39" s="5"/>
      <c r="T39" s="7"/>
    </row>
    <row r="40" spans="1:20" x14ac:dyDescent="0.2">
      <c r="A40" s="49"/>
      <c r="B40" s="49"/>
      <c r="C40" s="93"/>
      <c r="D40" s="94"/>
      <c r="E40" s="94"/>
      <c r="H40" s="80" t="s">
        <v>37</v>
      </c>
      <c r="I40" s="38"/>
      <c r="J40" s="42">
        <f t="shared" si="10"/>
        <v>6520</v>
      </c>
      <c r="K40" s="26" t="s">
        <v>18</v>
      </c>
      <c r="L40" s="78">
        <f t="shared" si="11"/>
        <v>-6520</v>
      </c>
      <c r="P40" s="5"/>
      <c r="Q40" s="5"/>
      <c r="R40" s="5"/>
      <c r="T40" s="7"/>
    </row>
    <row r="41" spans="1:20" x14ac:dyDescent="0.2">
      <c r="A41" s="49"/>
      <c r="B41" s="49"/>
      <c r="C41" s="93"/>
      <c r="D41" s="94"/>
      <c r="E41" s="94"/>
      <c r="H41" s="82" t="s">
        <v>38</v>
      </c>
      <c r="I41" s="38"/>
      <c r="J41" s="42">
        <f t="shared" si="10"/>
        <v>1010530</v>
      </c>
      <c r="K41" s="32" t="s">
        <v>16</v>
      </c>
      <c r="L41" s="78">
        <f t="shared" si="11"/>
        <v>-1010530</v>
      </c>
      <c r="P41" s="5"/>
      <c r="Q41" s="5"/>
      <c r="R41" s="5"/>
      <c r="T41" s="7"/>
    </row>
    <row r="42" spans="1:20" x14ac:dyDescent="0.2">
      <c r="A42" s="49"/>
      <c r="B42" s="49"/>
      <c r="C42" s="93"/>
      <c r="D42" s="94"/>
      <c r="E42" s="94"/>
      <c r="H42" s="83" t="s">
        <v>39</v>
      </c>
      <c r="I42" s="33"/>
      <c r="J42" s="42">
        <f t="shared" si="10"/>
        <v>577581</v>
      </c>
      <c r="K42" s="84" t="s">
        <v>19</v>
      </c>
      <c r="L42" s="78">
        <f t="shared" si="11"/>
        <v>-577581</v>
      </c>
      <c r="P42" s="5"/>
      <c r="Q42" s="5"/>
      <c r="R42" s="5"/>
      <c r="T42" s="7"/>
    </row>
    <row r="43" spans="1:20" ht="13.5" thickBot="1" x14ac:dyDescent="0.25">
      <c r="A43" s="49"/>
      <c r="B43" s="49"/>
      <c r="C43" s="93"/>
      <c r="D43" s="94"/>
      <c r="E43" s="94"/>
      <c r="H43" s="85" t="s">
        <v>40</v>
      </c>
      <c r="I43" s="86"/>
      <c r="J43" s="87">
        <f t="shared" si="10"/>
        <v>400156</v>
      </c>
      <c r="K43" s="88" t="s">
        <v>24</v>
      </c>
      <c r="L43" s="89">
        <f t="shared" si="11"/>
        <v>-400156</v>
      </c>
      <c r="P43" s="5"/>
      <c r="Q43" s="5"/>
      <c r="R43" s="5"/>
      <c r="T43" s="7"/>
    </row>
    <row r="44" spans="1:20" x14ac:dyDescent="0.2">
      <c r="A44" s="49"/>
      <c r="B44" s="49"/>
      <c r="C44" s="93"/>
      <c r="D44" s="94"/>
      <c r="E44" s="94"/>
      <c r="H44" s="73" t="s">
        <v>51</v>
      </c>
      <c r="I44" s="37"/>
      <c r="J44" s="74">
        <f>SUM(J31:J43)+SUM(L31:L43)</f>
        <v>0</v>
      </c>
      <c r="L44" s="5">
        <f>SUM(L31:L43)</f>
        <v>-2358703</v>
      </c>
      <c r="P44" s="5"/>
      <c r="Q44" s="5"/>
      <c r="R44" s="5"/>
      <c r="T44" s="7"/>
    </row>
    <row r="45" spans="1:20" x14ac:dyDescent="0.2">
      <c r="A45" s="49"/>
      <c r="B45" s="49"/>
      <c r="C45" s="93"/>
      <c r="D45" s="94"/>
      <c r="E45" s="94"/>
      <c r="H45" s="38"/>
      <c r="I45" s="38"/>
      <c r="P45" s="5"/>
      <c r="Q45" s="5"/>
      <c r="R45" s="5"/>
      <c r="T45" s="7"/>
    </row>
    <row r="46" spans="1:20" ht="13.5" thickBot="1" x14ac:dyDescent="0.25">
      <c r="A46" s="49"/>
      <c r="B46" s="49"/>
      <c r="C46" s="93"/>
      <c r="D46" s="94"/>
      <c r="E46" s="94"/>
      <c r="H46" s="38"/>
      <c r="I46" s="38"/>
      <c r="P46" s="5"/>
      <c r="Q46" s="5"/>
      <c r="R46" s="5"/>
      <c r="S46" s="7"/>
    </row>
    <row r="47" spans="1:20" ht="13.5" thickBot="1" x14ac:dyDescent="0.25">
      <c r="A47" s="49"/>
      <c r="B47" s="49"/>
      <c r="C47" s="93"/>
      <c r="D47" s="94"/>
      <c r="E47" s="94"/>
      <c r="H47" s="200" t="s">
        <v>91</v>
      </c>
      <c r="I47" s="201"/>
      <c r="J47" s="201"/>
      <c r="K47" s="201"/>
      <c r="L47" s="202"/>
      <c r="P47" s="5"/>
      <c r="Q47" s="5"/>
      <c r="R47" s="5"/>
      <c r="S47" s="7"/>
    </row>
    <row r="48" spans="1:20" ht="13.5" thickBot="1" x14ac:dyDescent="0.25">
      <c r="A48" s="49"/>
      <c r="B48" s="49"/>
      <c r="C48" s="93"/>
      <c r="D48" s="94"/>
      <c r="E48" s="94"/>
      <c r="H48" s="200" t="s">
        <v>78</v>
      </c>
      <c r="I48" s="201"/>
      <c r="J48" s="201"/>
      <c r="K48" s="201"/>
      <c r="L48" s="202"/>
      <c r="P48" s="5"/>
      <c r="Q48" s="5"/>
      <c r="R48" s="5"/>
      <c r="S48" s="7"/>
    </row>
    <row r="49" spans="1:12" x14ac:dyDescent="0.2">
      <c r="A49" s="29"/>
      <c r="B49" s="29"/>
      <c r="C49" s="29"/>
      <c r="D49" s="29"/>
      <c r="E49" s="29"/>
      <c r="H49" s="75"/>
      <c r="I49" s="18"/>
      <c r="J49" s="18"/>
      <c r="K49" s="18"/>
      <c r="L49" s="76"/>
    </row>
    <row r="50" spans="1:12" x14ac:dyDescent="0.2">
      <c r="A50" s="29"/>
      <c r="B50" s="29"/>
      <c r="C50" s="29"/>
      <c r="D50" s="29"/>
      <c r="E50" s="29"/>
      <c r="H50" s="77" t="s">
        <v>35</v>
      </c>
      <c r="I50" s="38"/>
      <c r="J50" s="38"/>
      <c r="K50" s="20" t="s">
        <v>44</v>
      </c>
      <c r="L50" s="78"/>
    </row>
    <row r="51" spans="1:12" ht="13.5" thickBot="1" x14ac:dyDescent="0.25">
      <c r="H51" s="79" t="s">
        <v>42</v>
      </c>
      <c r="I51" s="44"/>
      <c r="J51" s="38"/>
      <c r="K51" s="50" t="s">
        <v>45</v>
      </c>
      <c r="L51" s="78"/>
    </row>
    <row r="52" spans="1:12" x14ac:dyDescent="0.2">
      <c r="A52" s="29"/>
      <c r="B52" s="29"/>
      <c r="H52" s="80" t="s">
        <v>38</v>
      </c>
      <c r="I52" s="38"/>
      <c r="J52" s="90">
        <f>-K8</f>
        <v>0</v>
      </c>
      <c r="K52" s="26" t="s">
        <v>10</v>
      </c>
      <c r="L52" s="91">
        <f>K8</f>
        <v>0</v>
      </c>
    </row>
    <row r="53" spans="1:12" x14ac:dyDescent="0.2">
      <c r="H53" s="80" t="s">
        <v>38</v>
      </c>
      <c r="I53" s="43"/>
      <c r="J53" s="42">
        <f>-K9</f>
        <v>0</v>
      </c>
      <c r="K53" s="26" t="s">
        <v>11</v>
      </c>
      <c r="L53" s="78">
        <f>K9</f>
        <v>0</v>
      </c>
    </row>
    <row r="54" spans="1:12" x14ac:dyDescent="0.2">
      <c r="A54" s="29"/>
      <c r="B54" s="29"/>
      <c r="H54" s="81" t="s">
        <v>15</v>
      </c>
      <c r="I54" s="43"/>
      <c r="J54" s="42">
        <f>-K11</f>
        <v>0</v>
      </c>
      <c r="K54" s="26" t="s">
        <v>13</v>
      </c>
      <c r="L54" s="78">
        <f>K11</f>
        <v>0</v>
      </c>
    </row>
    <row r="55" spans="1:12" x14ac:dyDescent="0.2">
      <c r="H55" s="81" t="s">
        <v>15</v>
      </c>
      <c r="I55" s="38"/>
      <c r="J55" s="42">
        <f t="shared" ref="J55:J64" si="12">-K12</f>
        <v>0</v>
      </c>
      <c r="K55" s="26" t="s">
        <v>12</v>
      </c>
      <c r="L55" s="78">
        <f t="shared" ref="L55:L64" si="13">K12</f>
        <v>0</v>
      </c>
    </row>
    <row r="56" spans="1:12" x14ac:dyDescent="0.2">
      <c r="H56" s="81" t="s">
        <v>25</v>
      </c>
      <c r="I56" s="38"/>
      <c r="J56" s="42">
        <f t="shared" si="12"/>
        <v>0</v>
      </c>
      <c r="K56" s="26" t="s">
        <v>14</v>
      </c>
      <c r="L56" s="78">
        <f t="shared" si="13"/>
        <v>0</v>
      </c>
    </row>
    <row r="57" spans="1:12" x14ac:dyDescent="0.2">
      <c r="H57" s="81" t="s">
        <v>41</v>
      </c>
      <c r="I57" s="38"/>
      <c r="J57" s="42">
        <f t="shared" si="12"/>
        <v>-1043</v>
      </c>
      <c r="K57" s="26" t="s">
        <v>20</v>
      </c>
      <c r="L57" s="78">
        <f t="shared" si="13"/>
        <v>1043</v>
      </c>
    </row>
    <row r="58" spans="1:12" x14ac:dyDescent="0.2">
      <c r="H58" s="81" t="s">
        <v>41</v>
      </c>
      <c r="I58" s="43"/>
      <c r="J58" s="42">
        <f t="shared" si="12"/>
        <v>-169606</v>
      </c>
      <c r="K58" s="26" t="s">
        <v>22</v>
      </c>
      <c r="L58" s="78">
        <f t="shared" si="13"/>
        <v>169606</v>
      </c>
    </row>
    <row r="59" spans="1:12" x14ac:dyDescent="0.2">
      <c r="H59" s="81" t="s">
        <v>41</v>
      </c>
      <c r="I59" s="38"/>
      <c r="J59" s="42">
        <f t="shared" si="12"/>
        <v>-9754</v>
      </c>
      <c r="K59" s="26" t="s">
        <v>21</v>
      </c>
      <c r="L59" s="78">
        <f t="shared" si="13"/>
        <v>9754</v>
      </c>
    </row>
    <row r="60" spans="1:12" x14ac:dyDescent="0.2">
      <c r="H60" s="80" t="s">
        <v>36</v>
      </c>
      <c r="I60" s="38"/>
      <c r="J60" s="42">
        <f t="shared" si="12"/>
        <v>2397954</v>
      </c>
      <c r="K60" s="26" t="s">
        <v>17</v>
      </c>
      <c r="L60" s="78">
        <f t="shared" si="13"/>
        <v>-2397954</v>
      </c>
    </row>
    <row r="61" spans="1:12" x14ac:dyDescent="0.2">
      <c r="H61" s="80" t="s">
        <v>37</v>
      </c>
      <c r="I61" s="38"/>
      <c r="J61" s="42">
        <f t="shared" si="12"/>
        <v>6519</v>
      </c>
      <c r="K61" s="26" t="s">
        <v>18</v>
      </c>
      <c r="L61" s="78">
        <f t="shared" si="13"/>
        <v>-6519</v>
      </c>
    </row>
    <row r="62" spans="1:12" x14ac:dyDescent="0.2">
      <c r="H62" s="82" t="s">
        <v>38</v>
      </c>
      <c r="I62" s="38"/>
      <c r="J62" s="42">
        <f t="shared" si="12"/>
        <v>4834808</v>
      </c>
      <c r="K62" s="32" t="s">
        <v>16</v>
      </c>
      <c r="L62" s="78">
        <f t="shared" si="13"/>
        <v>-4834808</v>
      </c>
    </row>
    <row r="63" spans="1:12" x14ac:dyDescent="0.2">
      <c r="H63" s="83" t="s">
        <v>39</v>
      </c>
      <c r="I63" s="33"/>
      <c r="J63" s="42">
        <f t="shared" si="12"/>
        <v>2880695</v>
      </c>
      <c r="K63" s="84" t="s">
        <v>19</v>
      </c>
      <c r="L63" s="78">
        <f t="shared" si="13"/>
        <v>-2880695</v>
      </c>
    </row>
    <row r="64" spans="1:12" ht="13.5" thickBot="1" x14ac:dyDescent="0.25">
      <c r="H64" s="85" t="s">
        <v>40</v>
      </c>
      <c r="I64" s="86"/>
      <c r="J64" s="87">
        <f t="shared" si="12"/>
        <v>2514142</v>
      </c>
      <c r="K64" s="88" t="s">
        <v>24</v>
      </c>
      <c r="L64" s="89">
        <f t="shared" si="13"/>
        <v>-2514142</v>
      </c>
    </row>
    <row r="65" spans="8:12" x14ac:dyDescent="0.2">
      <c r="H65" s="73" t="s">
        <v>51</v>
      </c>
      <c r="I65" s="37"/>
      <c r="J65" s="74">
        <f>SUM(J52:J64)+SUM(L52:L64)</f>
        <v>0</v>
      </c>
      <c r="L65" s="5">
        <f>SUM(L52:L64)</f>
        <v>-12453715</v>
      </c>
    </row>
  </sheetData>
  <mergeCells count="4">
    <mergeCell ref="H26:L26"/>
    <mergeCell ref="H27:L27"/>
    <mergeCell ref="H47:L47"/>
    <mergeCell ref="H48:L48"/>
  </mergeCells>
  <conditionalFormatting sqref="M24 H24">
    <cfRule type="cellIs" dxfId="1" priority="1" stopIfTrue="1" operator="notBetween">
      <formula>-1</formula>
      <formula>1</formula>
    </cfRule>
  </conditionalFormatting>
  <pageMargins left="0.7" right="0.7" top="0.75" bottom="0.75" header="0.3" footer="0.3"/>
  <pageSetup scale="62" orientation="landscape" r:id="rId1"/>
  <headerFooter>
    <oddFooter>&amp;L&amp;Z&amp;F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65"/>
  <sheetViews>
    <sheetView workbookViewId="0">
      <selection sqref="A1:XFD1048576"/>
    </sheetView>
  </sheetViews>
  <sheetFormatPr defaultRowHeight="12.75" x14ac:dyDescent="0.2"/>
  <cols>
    <col min="1" max="1" width="24.7109375" style="4" customWidth="1"/>
    <col min="2" max="2" width="1.140625" style="4" customWidth="1"/>
    <col min="3" max="3" width="15" style="4" bestFit="1" customWidth="1"/>
    <col min="4" max="4" width="16.42578125" style="4" bestFit="1" customWidth="1"/>
    <col min="5" max="5" width="0.85546875" style="4" customWidth="1"/>
    <col min="6" max="6" width="15.42578125" style="5" bestFit="1" customWidth="1"/>
    <col min="7" max="7" width="10.28515625" style="5" customWidth="1"/>
    <col min="8" max="8" width="15.28515625" style="5" customWidth="1"/>
    <col min="9" max="9" width="0.85546875" style="2" customWidth="1"/>
    <col min="10" max="10" width="13.7109375" style="5" customWidth="1"/>
    <col min="11" max="11" width="15" style="5" bestFit="1" customWidth="1"/>
    <col min="12" max="12" width="13.7109375" style="5" customWidth="1"/>
    <col min="13" max="14" width="15.140625" style="5" bestFit="1" customWidth="1"/>
    <col min="15" max="15" width="18.42578125" style="5" customWidth="1"/>
    <col min="16" max="18" width="14.7109375" style="6" customWidth="1"/>
    <col min="19" max="19" width="11.7109375" style="6" bestFit="1" customWidth="1"/>
    <col min="20" max="20" width="10.28515625" style="6" bestFit="1" customWidth="1"/>
    <col min="21" max="21" width="11.28515625" style="6" customWidth="1"/>
    <col min="22" max="16384" width="9.140625" style="4"/>
  </cols>
  <sheetData>
    <row r="1" spans="1:21" ht="13.5" x14ac:dyDescent="0.25">
      <c r="A1" s="3" t="s">
        <v>98</v>
      </c>
      <c r="E1" s="49"/>
      <c r="M1" s="7"/>
      <c r="N1" s="6"/>
      <c r="O1" s="6"/>
      <c r="P1" s="8"/>
      <c r="Q1" s="8"/>
      <c r="R1" s="8"/>
      <c r="S1" s="8"/>
      <c r="T1" s="9"/>
      <c r="U1" s="4"/>
    </row>
    <row r="2" spans="1:21" x14ac:dyDescent="0.2">
      <c r="A2" s="41" t="s">
        <v>99</v>
      </c>
      <c r="B2" s="10"/>
      <c r="C2" s="11"/>
      <c r="D2" s="11"/>
      <c r="E2" s="54"/>
      <c r="F2" s="23"/>
      <c r="G2" s="23"/>
      <c r="H2" s="23"/>
      <c r="I2" s="23"/>
      <c r="J2" s="4"/>
      <c r="L2" s="4"/>
      <c r="M2" s="4"/>
      <c r="N2" s="12"/>
      <c r="O2" s="12"/>
      <c r="P2" s="13" t="s">
        <v>82</v>
      </c>
      <c r="Q2" s="13" t="s">
        <v>82</v>
      </c>
      <c r="R2" s="13" t="s">
        <v>82</v>
      </c>
      <c r="S2" s="14"/>
      <c r="T2" s="15"/>
      <c r="U2" s="16"/>
    </row>
    <row r="3" spans="1:21" s="29" customFormat="1" ht="14.25" thickBot="1" x14ac:dyDescent="0.3">
      <c r="A3" s="92"/>
      <c r="B3" s="53"/>
      <c r="C3" s="54"/>
      <c r="D3" s="54"/>
      <c r="E3" s="54"/>
      <c r="F3" s="23"/>
      <c r="G3" s="23"/>
      <c r="H3" s="23" t="s">
        <v>48</v>
      </c>
      <c r="I3" s="23"/>
      <c r="J3" s="96">
        <v>40602</v>
      </c>
      <c r="K3" s="101" t="s">
        <v>93</v>
      </c>
      <c r="L3" s="18" t="s">
        <v>94</v>
      </c>
      <c r="M3" s="96">
        <v>40663</v>
      </c>
      <c r="N3" s="39"/>
      <c r="O3" s="96">
        <v>40847</v>
      </c>
      <c r="P3" s="101" t="s">
        <v>79</v>
      </c>
      <c r="Q3" s="101" t="s">
        <v>84</v>
      </c>
      <c r="R3" s="18" t="s">
        <v>83</v>
      </c>
      <c r="S3" s="55"/>
      <c r="T3" s="54"/>
      <c r="U3" s="53"/>
    </row>
    <row r="4" spans="1:21" ht="13.5" thickBot="1" x14ac:dyDescent="0.25">
      <c r="A4" s="98" t="s">
        <v>46</v>
      </c>
      <c r="B4" s="17"/>
      <c r="C4" s="20" t="s">
        <v>44</v>
      </c>
      <c r="D4" s="71">
        <v>40543</v>
      </c>
      <c r="E4" s="71"/>
      <c r="F4" s="18" t="s">
        <v>65</v>
      </c>
      <c r="G4" s="18" t="s">
        <v>32</v>
      </c>
      <c r="H4" s="18" t="s">
        <v>34</v>
      </c>
      <c r="I4" s="18"/>
      <c r="J4" s="18" t="s">
        <v>23</v>
      </c>
      <c r="K4" s="18" t="s">
        <v>90</v>
      </c>
      <c r="L4" s="18" t="s">
        <v>8</v>
      </c>
      <c r="M4" s="48" t="s">
        <v>27</v>
      </c>
      <c r="N4" s="19"/>
      <c r="O4" s="18" t="s">
        <v>23</v>
      </c>
      <c r="P4" s="18" t="s">
        <v>80</v>
      </c>
      <c r="Q4" s="18" t="s">
        <v>85</v>
      </c>
      <c r="R4" s="71">
        <v>40178</v>
      </c>
      <c r="S4" s="17"/>
      <c r="T4" s="17"/>
      <c r="U4" s="17"/>
    </row>
    <row r="5" spans="1:21" ht="13.5" thickBot="1" x14ac:dyDescent="0.25">
      <c r="A5" s="21"/>
      <c r="B5" s="21"/>
      <c r="C5" s="50" t="s">
        <v>45</v>
      </c>
      <c r="D5" s="99" t="s">
        <v>53</v>
      </c>
      <c r="E5" s="71"/>
      <c r="F5" s="51" t="s">
        <v>4</v>
      </c>
      <c r="G5" s="51" t="s">
        <v>33</v>
      </c>
      <c r="H5" s="51" t="s">
        <v>65</v>
      </c>
      <c r="I5" s="18"/>
      <c r="J5" s="51" t="s">
        <v>56</v>
      </c>
      <c r="K5" s="51" t="s">
        <v>63</v>
      </c>
      <c r="L5" s="51" t="s">
        <v>7</v>
      </c>
      <c r="M5" s="52" t="s">
        <v>7</v>
      </c>
      <c r="N5" s="22"/>
      <c r="O5" s="51" t="s">
        <v>56</v>
      </c>
      <c r="P5" s="51" t="s">
        <v>81</v>
      </c>
      <c r="Q5" s="51" t="s">
        <v>62</v>
      </c>
      <c r="R5" s="99" t="s">
        <v>53</v>
      </c>
      <c r="S5" s="21"/>
      <c r="T5" s="21"/>
      <c r="U5" s="21"/>
    </row>
    <row r="6" spans="1:21" ht="5.25" customHeight="1" x14ac:dyDescent="0.2">
      <c r="E6" s="49"/>
      <c r="F6" s="23"/>
      <c r="G6" s="23"/>
      <c r="H6" s="23"/>
      <c r="I6" s="23"/>
      <c r="J6" s="23"/>
      <c r="L6" s="23"/>
      <c r="M6" s="7"/>
      <c r="N6" s="8"/>
      <c r="O6" s="9"/>
      <c r="P6" s="9"/>
      <c r="Q6" s="9"/>
      <c r="R6" s="9"/>
      <c r="S6" s="4"/>
      <c r="T6" s="4"/>
      <c r="U6" s="4"/>
    </row>
    <row r="7" spans="1:21" x14ac:dyDescent="0.2">
      <c r="A7" s="25" t="s">
        <v>49</v>
      </c>
      <c r="B7" s="25"/>
      <c r="C7" s="70"/>
      <c r="D7" s="28"/>
      <c r="E7" s="1"/>
      <c r="F7" s="27">
        <v>0</v>
      </c>
      <c r="G7" s="2"/>
      <c r="H7" s="2"/>
      <c r="J7" s="2"/>
      <c r="L7" s="2"/>
      <c r="M7" s="2"/>
      <c r="N7" s="32"/>
      <c r="O7" s="32"/>
      <c r="S7" s="31"/>
      <c r="T7" s="31"/>
      <c r="U7" s="31"/>
    </row>
    <row r="8" spans="1:21" x14ac:dyDescent="0.2">
      <c r="A8" s="25" t="s">
        <v>9</v>
      </c>
      <c r="B8" s="25"/>
      <c r="C8" s="25" t="s">
        <v>10</v>
      </c>
      <c r="D8" s="2">
        <v>0</v>
      </c>
      <c r="E8" s="1"/>
      <c r="F8"/>
      <c r="G8" s="69"/>
      <c r="H8" s="2">
        <f>-SUM(F8:G8)</f>
        <v>0</v>
      </c>
      <c r="J8"/>
      <c r="K8"/>
      <c r="L8" s="2">
        <f>H8-J8-K8</f>
        <v>0</v>
      </c>
      <c r="M8" s="2">
        <f>L8/(13-MONTH($M$3))</f>
        <v>0</v>
      </c>
      <c r="N8" s="32"/>
      <c r="O8" s="32"/>
      <c r="P8" s="26">
        <v>-4553280.72</v>
      </c>
      <c r="Q8" s="26"/>
      <c r="R8" s="26">
        <f>D8+H8+P8+Q8</f>
        <v>-4553280.72</v>
      </c>
      <c r="S8" s="31"/>
      <c r="T8" s="31"/>
      <c r="U8" s="31"/>
    </row>
    <row r="9" spans="1:21" x14ac:dyDescent="0.2">
      <c r="A9" s="25" t="s">
        <v>9</v>
      </c>
      <c r="B9" s="25"/>
      <c r="C9" s="25" t="s">
        <v>11</v>
      </c>
      <c r="D9" s="2">
        <v>0</v>
      </c>
      <c r="E9" s="1"/>
      <c r="F9"/>
      <c r="G9" s="69"/>
      <c r="H9" s="2">
        <f>-SUM(F9:G9)</f>
        <v>0</v>
      </c>
      <c r="J9"/>
      <c r="K9"/>
      <c r="L9" s="2">
        <f t="shared" ref="L9:L21" si="0">H9-J9-K9</f>
        <v>0</v>
      </c>
      <c r="M9" s="2">
        <f t="shared" ref="M9:M21" si="1">L9/(13-MONTH($M$3))</f>
        <v>0</v>
      </c>
      <c r="N9" s="2"/>
      <c r="O9" s="1"/>
      <c r="P9" s="26">
        <v>-7881208.2999999998</v>
      </c>
      <c r="Q9" s="26"/>
      <c r="R9" s="26">
        <f t="shared" ref="R9:R21" si="2">D9+H9+P9+Q9</f>
        <v>-7881208.2999999998</v>
      </c>
      <c r="S9" s="25"/>
      <c r="T9" s="25"/>
      <c r="U9" s="25"/>
    </row>
    <row r="10" spans="1:21" x14ac:dyDescent="0.2">
      <c r="A10" s="25" t="s">
        <v>50</v>
      </c>
      <c r="B10" s="25"/>
      <c r="C10" s="70"/>
      <c r="D10" s="2">
        <v>0</v>
      </c>
      <c r="E10" s="1"/>
      <c r="F10"/>
      <c r="G10" s="2"/>
      <c r="H10" s="2"/>
      <c r="J10"/>
      <c r="K10"/>
      <c r="L10" s="2">
        <f t="shared" si="0"/>
        <v>0</v>
      </c>
      <c r="M10" s="2">
        <f t="shared" si="1"/>
        <v>0</v>
      </c>
      <c r="N10" s="32"/>
      <c r="O10" s="32"/>
      <c r="P10" s="26"/>
      <c r="Q10" s="26"/>
      <c r="R10" s="26">
        <f t="shared" si="2"/>
        <v>0</v>
      </c>
      <c r="S10" s="31"/>
      <c r="T10" s="31"/>
      <c r="U10" s="31"/>
    </row>
    <row r="11" spans="1:21" x14ac:dyDescent="0.2">
      <c r="A11" s="25" t="s">
        <v>9</v>
      </c>
      <c r="B11" s="25"/>
      <c r="C11" s="25" t="s">
        <v>13</v>
      </c>
      <c r="D11" s="2">
        <v>0</v>
      </c>
      <c r="E11" s="1"/>
      <c r="F11"/>
      <c r="G11" s="69"/>
      <c r="H11" s="2">
        <f t="shared" ref="H11:H13" si="3">-SUM(F11:G11)</f>
        <v>0</v>
      </c>
      <c r="J11"/>
      <c r="K11"/>
      <c r="L11" s="2">
        <f t="shared" si="0"/>
        <v>0</v>
      </c>
      <c r="M11" s="2">
        <f t="shared" si="1"/>
        <v>0</v>
      </c>
      <c r="N11" s="26"/>
      <c r="O11" s="26"/>
      <c r="P11" s="26">
        <v>-398720.83</v>
      </c>
      <c r="Q11" s="26"/>
      <c r="R11" s="26">
        <f t="shared" si="2"/>
        <v>-398720.83</v>
      </c>
      <c r="S11" s="25"/>
      <c r="T11" s="25"/>
      <c r="U11" s="25"/>
    </row>
    <row r="12" spans="1:21" x14ac:dyDescent="0.2">
      <c r="A12" s="25" t="s">
        <v>9</v>
      </c>
      <c r="B12" s="25"/>
      <c r="C12" s="25" t="s">
        <v>12</v>
      </c>
      <c r="D12" s="2">
        <v>0</v>
      </c>
      <c r="E12" s="1"/>
      <c r="F12"/>
      <c r="G12" s="69"/>
      <c r="H12" s="2">
        <f t="shared" si="3"/>
        <v>0</v>
      </c>
      <c r="J12"/>
      <c r="K12"/>
      <c r="L12" s="2">
        <f t="shared" si="0"/>
        <v>0</v>
      </c>
      <c r="M12" s="2">
        <f t="shared" si="1"/>
        <v>0</v>
      </c>
      <c r="N12" s="26"/>
      <c r="O12" s="26"/>
      <c r="P12" s="26">
        <v>-948359.49</v>
      </c>
      <c r="Q12" s="26"/>
      <c r="R12" s="26">
        <f t="shared" si="2"/>
        <v>-948359.49</v>
      </c>
      <c r="S12" s="25"/>
      <c r="T12" s="25"/>
      <c r="U12" s="25"/>
    </row>
    <row r="13" spans="1:21" x14ac:dyDescent="0.2">
      <c r="A13" s="25" t="s">
        <v>9</v>
      </c>
      <c r="B13" s="25"/>
      <c r="C13" s="25" t="s">
        <v>14</v>
      </c>
      <c r="D13" s="2">
        <v>0</v>
      </c>
      <c r="E13" s="1"/>
      <c r="F13" s="27">
        <v>0</v>
      </c>
      <c r="G13" s="2"/>
      <c r="H13" s="2">
        <f t="shared" si="3"/>
        <v>0</v>
      </c>
      <c r="J13"/>
      <c r="K13"/>
      <c r="L13" s="2">
        <f t="shared" si="0"/>
        <v>0</v>
      </c>
      <c r="M13" s="2">
        <f t="shared" si="1"/>
        <v>0</v>
      </c>
      <c r="N13" s="26"/>
      <c r="O13" s="26"/>
      <c r="P13" s="26">
        <v>-255114.53</v>
      </c>
      <c r="Q13" s="26"/>
      <c r="R13" s="26">
        <f t="shared" si="2"/>
        <v>-255114.53</v>
      </c>
      <c r="S13" s="25"/>
      <c r="T13" s="25"/>
      <c r="U13" s="25"/>
    </row>
    <row r="14" spans="1:21" x14ac:dyDescent="0.2">
      <c r="A14" s="25" t="s">
        <v>2</v>
      </c>
      <c r="B14" s="25"/>
      <c r="C14" s="25" t="s">
        <v>20</v>
      </c>
      <c r="D14" s="2">
        <v>-59637</v>
      </c>
      <c r="E14" s="1"/>
      <c r="F14" s="27">
        <v>-6009</v>
      </c>
      <c r="G14" s="2"/>
      <c r="H14" s="2">
        <f t="shared" ref="H14:H21" si="4">-SUM(F14:G14)</f>
        <v>6009</v>
      </c>
      <c r="J14" s="27">
        <v>502</v>
      </c>
      <c r="K14" s="5">
        <f>ROUND(H14/12*3,0)-J14</f>
        <v>1000</v>
      </c>
      <c r="L14" s="2">
        <f t="shared" si="0"/>
        <v>4507</v>
      </c>
      <c r="M14" s="2">
        <f t="shared" si="1"/>
        <v>500.77777777777777</v>
      </c>
      <c r="N14" s="2"/>
      <c r="O14" s="1">
        <f>J14+K14+(M14*7)</f>
        <v>5007.4444444444443</v>
      </c>
      <c r="P14" s="26"/>
      <c r="Q14" s="26"/>
      <c r="R14" s="26">
        <f t="shared" si="2"/>
        <v>-53628</v>
      </c>
      <c r="S14" s="25"/>
      <c r="T14" s="25"/>
      <c r="U14" s="25"/>
    </row>
    <row r="15" spans="1:21" x14ac:dyDescent="0.2">
      <c r="A15" s="25" t="s">
        <v>5</v>
      </c>
      <c r="B15" s="25"/>
      <c r="C15" s="25" t="s">
        <v>22</v>
      </c>
      <c r="D15" s="2">
        <v>145046</v>
      </c>
      <c r="E15" s="1"/>
      <c r="F15" s="27">
        <v>-66124</v>
      </c>
      <c r="G15" s="2"/>
      <c r="H15" s="2">
        <f t="shared" si="4"/>
        <v>66124</v>
      </c>
      <c r="J15" s="27">
        <v>11032</v>
      </c>
      <c r="K15" s="5">
        <f t="shared" ref="K15:K21" si="5">ROUND(H15/12*3,0)-J15</f>
        <v>5499</v>
      </c>
      <c r="L15" s="2">
        <f t="shared" si="0"/>
        <v>49593</v>
      </c>
      <c r="M15" s="2">
        <f t="shared" si="1"/>
        <v>5510.333333333333</v>
      </c>
      <c r="N15" s="2"/>
      <c r="O15" s="1">
        <f t="shared" ref="O15:O21" si="6">J15+K15+(M15*7)</f>
        <v>55103.333333333328</v>
      </c>
      <c r="P15" s="26"/>
      <c r="Q15" s="26"/>
      <c r="R15" s="26">
        <f t="shared" si="2"/>
        <v>211170</v>
      </c>
      <c r="S15" s="25"/>
      <c r="T15" s="25"/>
      <c r="U15" s="25"/>
    </row>
    <row r="16" spans="1:21" x14ac:dyDescent="0.2">
      <c r="A16" s="25" t="s">
        <v>52</v>
      </c>
      <c r="B16" s="25"/>
      <c r="C16" s="25" t="s">
        <v>21</v>
      </c>
      <c r="D16" s="2">
        <v>-936450</v>
      </c>
      <c r="E16" s="1"/>
      <c r="F16" s="27">
        <v>-77670</v>
      </c>
      <c r="G16" s="2"/>
      <c r="H16" s="2">
        <f t="shared" si="4"/>
        <v>77670</v>
      </c>
      <c r="J16" s="27">
        <v>19502</v>
      </c>
      <c r="K16" s="5">
        <f t="shared" si="5"/>
        <v>-84</v>
      </c>
      <c r="L16" s="2">
        <f t="shared" si="0"/>
        <v>58252</v>
      </c>
      <c r="M16" s="2">
        <f t="shared" si="1"/>
        <v>6472.4444444444443</v>
      </c>
      <c r="N16" s="2"/>
      <c r="O16" s="1">
        <f t="shared" si="6"/>
        <v>64725.111111111109</v>
      </c>
      <c r="P16" s="26"/>
      <c r="Q16" s="26"/>
      <c r="R16" s="26">
        <f t="shared" si="2"/>
        <v>-858780</v>
      </c>
      <c r="S16" s="25"/>
      <c r="T16" s="25"/>
      <c r="U16" s="25"/>
    </row>
    <row r="17" spans="1:21" x14ac:dyDescent="0.2">
      <c r="A17" s="28" t="s">
        <v>29</v>
      </c>
      <c r="B17" s="28"/>
      <c r="C17" s="25" t="s">
        <v>17</v>
      </c>
      <c r="D17" s="2">
        <v>-18269982</v>
      </c>
      <c r="E17" s="1"/>
      <c r="F17" s="27">
        <v>19424815</v>
      </c>
      <c r="G17" s="2"/>
      <c r="H17" s="2">
        <f t="shared" si="4"/>
        <v>-19424815</v>
      </c>
      <c r="J17" s="27">
        <v>-758868</v>
      </c>
      <c r="K17" s="5">
        <f t="shared" si="5"/>
        <v>-4097336</v>
      </c>
      <c r="L17" s="2">
        <f t="shared" si="0"/>
        <v>-14568611</v>
      </c>
      <c r="M17" s="2">
        <f t="shared" si="1"/>
        <v>-1618734.5555555555</v>
      </c>
      <c r="N17" s="2"/>
      <c r="O17" s="1">
        <f t="shared" si="6"/>
        <v>-16187345.888888888</v>
      </c>
      <c r="P17" s="26"/>
      <c r="Q17" s="26"/>
      <c r="R17" s="26">
        <f t="shared" si="2"/>
        <v>-37694797</v>
      </c>
      <c r="S17" s="25"/>
      <c r="T17" s="25"/>
      <c r="U17" s="25"/>
    </row>
    <row r="18" spans="1:21" x14ac:dyDescent="0.2">
      <c r="A18" s="28" t="s">
        <v>30</v>
      </c>
      <c r="B18" s="28"/>
      <c r="C18" s="25" t="s">
        <v>18</v>
      </c>
      <c r="D18" s="2">
        <v>-1761777</v>
      </c>
      <c r="E18" s="1"/>
      <c r="F18" s="27">
        <v>72378</v>
      </c>
      <c r="G18" s="2"/>
      <c r="H18" s="2">
        <f t="shared" si="4"/>
        <v>-72378</v>
      </c>
      <c r="J18" s="27">
        <v>-13040</v>
      </c>
      <c r="K18" s="5">
        <f t="shared" si="5"/>
        <v>-5055</v>
      </c>
      <c r="L18" s="2">
        <f t="shared" si="0"/>
        <v>-54283</v>
      </c>
      <c r="M18" s="2">
        <f t="shared" si="1"/>
        <v>-6031.4444444444443</v>
      </c>
      <c r="N18" s="2"/>
      <c r="O18" s="1">
        <f t="shared" si="6"/>
        <v>-60315.111111111109</v>
      </c>
      <c r="P18" s="26"/>
      <c r="Q18" s="26"/>
      <c r="R18" s="26">
        <f t="shared" si="2"/>
        <v>-1834155</v>
      </c>
      <c r="S18" s="25"/>
      <c r="T18" s="25"/>
      <c r="U18" s="25"/>
    </row>
    <row r="19" spans="1:21" x14ac:dyDescent="0.2">
      <c r="A19" s="4" t="s">
        <v>28</v>
      </c>
      <c r="B19" s="46"/>
      <c r="C19" s="32" t="s">
        <v>16</v>
      </c>
      <c r="D19" s="2">
        <v>-262312309</v>
      </c>
      <c r="E19" s="2"/>
      <c r="F19" s="27">
        <v>8100487</v>
      </c>
      <c r="G19" s="2">
        <f>D35</f>
        <v>0</v>
      </c>
      <c r="H19" s="2">
        <f t="shared" si="4"/>
        <v>-8100487</v>
      </c>
      <c r="J19" s="27">
        <v>-2021060</v>
      </c>
      <c r="K19" s="5">
        <f t="shared" si="5"/>
        <v>-4062</v>
      </c>
      <c r="L19" s="2">
        <f t="shared" si="0"/>
        <v>-6075365</v>
      </c>
      <c r="M19" s="2">
        <f t="shared" si="1"/>
        <v>-675040.5555555555</v>
      </c>
      <c r="N19" s="2"/>
      <c r="O19" s="1">
        <f t="shared" si="6"/>
        <v>-6750405.8888888881</v>
      </c>
      <c r="P19" s="26">
        <f>(P8+P9)*-1</f>
        <v>12434489.02</v>
      </c>
      <c r="Q19" s="6">
        <v>11075201.25999999</v>
      </c>
      <c r="R19" s="26">
        <f t="shared" si="2"/>
        <v>-246903105.72</v>
      </c>
      <c r="S19" s="25"/>
      <c r="T19" s="25"/>
      <c r="U19" s="25"/>
    </row>
    <row r="20" spans="1:21" x14ac:dyDescent="0.2">
      <c r="A20" s="47" t="s">
        <v>26</v>
      </c>
      <c r="B20" s="28"/>
      <c r="C20" s="36" t="s">
        <v>19</v>
      </c>
      <c r="D20" s="2">
        <v>-55945310</v>
      </c>
      <c r="E20" s="40"/>
      <c r="F20" s="27">
        <v>4004195</v>
      </c>
      <c r="G20" s="2">
        <f>D36</f>
        <v>0</v>
      </c>
      <c r="H20" s="2">
        <f t="shared" si="4"/>
        <v>-4004195</v>
      </c>
      <c r="J20" s="27">
        <v>-1155162</v>
      </c>
      <c r="K20" s="5">
        <f t="shared" si="5"/>
        <v>154113</v>
      </c>
      <c r="L20" s="2">
        <f t="shared" si="0"/>
        <v>-3003146</v>
      </c>
      <c r="M20" s="2">
        <f t="shared" si="1"/>
        <v>-333682.88888888888</v>
      </c>
      <c r="N20" s="2"/>
      <c r="O20" s="1">
        <f t="shared" si="6"/>
        <v>-3336829.222222222</v>
      </c>
      <c r="P20" s="26">
        <f>(P11+P12)*-1</f>
        <v>1347080.32</v>
      </c>
      <c r="Q20" s="6">
        <v>2951950.549999997</v>
      </c>
      <c r="R20" s="26">
        <f t="shared" si="2"/>
        <v>-55650474.130000003</v>
      </c>
      <c r="S20" s="25"/>
      <c r="T20" s="25"/>
      <c r="U20" s="25"/>
    </row>
    <row r="21" spans="1:21" x14ac:dyDescent="0.2">
      <c r="A21" s="26" t="s">
        <v>47</v>
      </c>
      <c r="B21" s="26"/>
      <c r="C21" s="26" t="s">
        <v>24</v>
      </c>
      <c r="D21" s="2">
        <v>-29570004</v>
      </c>
      <c r="E21" s="1"/>
      <c r="F21" s="27">
        <v>2176391</v>
      </c>
      <c r="G21" s="2">
        <f>D37</f>
        <v>0</v>
      </c>
      <c r="H21" s="2">
        <f t="shared" si="4"/>
        <v>-2176391</v>
      </c>
      <c r="J21" s="27">
        <v>-800312</v>
      </c>
      <c r="K21" s="5">
        <f t="shared" si="5"/>
        <v>256214</v>
      </c>
      <c r="L21" s="2">
        <f t="shared" si="0"/>
        <v>-1632293</v>
      </c>
      <c r="M21" s="2">
        <f t="shared" si="1"/>
        <v>-181365.88888888888</v>
      </c>
      <c r="N21" s="2"/>
      <c r="O21" s="1">
        <f t="shared" si="6"/>
        <v>-1813659.222222222</v>
      </c>
      <c r="P21" s="26">
        <f>(P13)*-1</f>
        <v>255114.53</v>
      </c>
      <c r="Q21" s="6">
        <v>1363621.129999999</v>
      </c>
      <c r="R21" s="26">
        <f t="shared" si="2"/>
        <v>-30127659.34</v>
      </c>
      <c r="S21" s="25"/>
      <c r="T21" s="25"/>
      <c r="U21" s="25"/>
    </row>
    <row r="22" spans="1:21" x14ac:dyDescent="0.2">
      <c r="A22" s="25"/>
      <c r="B22" s="25"/>
      <c r="C22" s="35"/>
      <c r="D22" s="2"/>
      <c r="E22" s="72"/>
      <c r="F22" s="2"/>
      <c r="G22" s="2"/>
      <c r="H22" s="2"/>
      <c r="J22" s="2"/>
      <c r="L22" s="2"/>
      <c r="M22" s="2"/>
      <c r="N22" s="26"/>
      <c r="O22" s="26"/>
      <c r="P22" s="26"/>
      <c r="Q22" s="26"/>
      <c r="R22" s="26">
        <f>D22+H22+P22</f>
        <v>0</v>
      </c>
      <c r="S22" s="25"/>
      <c r="U22" s="25"/>
    </row>
    <row r="23" spans="1:21" x14ac:dyDescent="0.2">
      <c r="A23" s="25" t="s">
        <v>6</v>
      </c>
      <c r="B23" s="26"/>
      <c r="C23" s="26"/>
      <c r="D23" s="45">
        <f>SUM(D8:D22)</f>
        <v>-368710423</v>
      </c>
      <c r="E23" s="2"/>
      <c r="F23" s="45">
        <f>SUM(F7:F22)-F7-F10</f>
        <v>33628463</v>
      </c>
      <c r="G23" s="45">
        <f>SUM(G8:G22)</f>
        <v>0</v>
      </c>
      <c r="H23" s="45">
        <f>SUM(H8:H22)</f>
        <v>-33628463</v>
      </c>
      <c r="J23" s="45">
        <f>SUM(J8:J22)</f>
        <v>-4717406</v>
      </c>
      <c r="K23" s="45">
        <f>SUM(K8:K22)</f>
        <v>-3689711</v>
      </c>
      <c r="L23" s="45">
        <f>SUM(L8:L22)</f>
        <v>-25221346</v>
      </c>
      <c r="M23" s="45">
        <f>SUM(M8:M22)</f>
        <v>-2802371.777777778</v>
      </c>
      <c r="N23" s="26"/>
      <c r="O23" s="26">
        <f>SUM(O14:O22)</f>
        <v>-28023719.444444448</v>
      </c>
      <c r="P23" s="45">
        <f>SUM(P8:P22)</f>
        <v>4.3655745685100555E-10</v>
      </c>
      <c r="Q23" s="45"/>
      <c r="R23" s="45">
        <f>SUM(R8:R22)</f>
        <v>-386948113.05999994</v>
      </c>
      <c r="S23" s="25"/>
      <c r="U23" s="25"/>
    </row>
    <row r="24" spans="1:21" x14ac:dyDescent="0.2">
      <c r="A24" s="24" t="s">
        <v>43</v>
      </c>
      <c r="D24" s="26"/>
      <c r="E24" s="1"/>
      <c r="F24" s="56"/>
      <c r="H24" s="5">
        <f>ROUND(F24+H23,0)</f>
        <v>-33628463</v>
      </c>
      <c r="L24" s="7">
        <f>J23+K23+L23-H23</f>
        <v>0</v>
      </c>
      <c r="M24" s="6">
        <f>(M23*(13-MONTH($M$3))-L23)</f>
        <v>0</v>
      </c>
      <c r="N24" s="6"/>
      <c r="O24" s="8"/>
      <c r="P24" s="8"/>
      <c r="Q24" s="8"/>
      <c r="R24" s="8"/>
      <c r="S24" s="9"/>
      <c r="U24" s="4"/>
    </row>
    <row r="25" spans="1:21" ht="13.5" thickBot="1" x14ac:dyDescent="0.25">
      <c r="A25" s="24"/>
      <c r="D25" s="26"/>
      <c r="K25" s="7"/>
      <c r="L25" s="6"/>
      <c r="M25" s="6"/>
      <c r="N25" s="6"/>
      <c r="O25" s="8"/>
      <c r="P25" s="8"/>
      <c r="Q25" s="8"/>
      <c r="R25" s="8"/>
      <c r="S25" s="9"/>
      <c r="T25" s="25">
        <v>-11075201.25999999</v>
      </c>
      <c r="U25" s="4"/>
    </row>
    <row r="26" spans="1:21" ht="13.5" thickBot="1" x14ac:dyDescent="0.25">
      <c r="A26" s="24"/>
      <c r="H26" s="200" t="s">
        <v>95</v>
      </c>
      <c r="I26" s="201"/>
      <c r="J26" s="201"/>
      <c r="K26" s="201"/>
      <c r="L26" s="202"/>
      <c r="M26" s="6"/>
      <c r="O26" s="6"/>
      <c r="S26" s="8"/>
      <c r="T26" s="25">
        <v>-2951950.549999997</v>
      </c>
      <c r="U26" s="9"/>
    </row>
    <row r="27" spans="1:21" ht="13.5" thickBot="1" x14ac:dyDescent="0.25">
      <c r="A27" s="24"/>
      <c r="H27" s="200" t="s">
        <v>96</v>
      </c>
      <c r="I27" s="201"/>
      <c r="J27" s="201"/>
      <c r="K27" s="201"/>
      <c r="L27" s="202"/>
      <c r="M27" s="7"/>
      <c r="N27" s="6"/>
      <c r="O27" s="6"/>
      <c r="S27" s="8"/>
      <c r="T27" s="25">
        <v>-1363621.129999999</v>
      </c>
      <c r="U27" s="9"/>
    </row>
    <row r="28" spans="1:21" x14ac:dyDescent="0.2">
      <c r="A28" s="24"/>
      <c r="H28" s="75"/>
      <c r="I28" s="18"/>
      <c r="J28" s="18"/>
      <c r="K28" s="18"/>
      <c r="L28" s="76"/>
      <c r="N28" s="6"/>
      <c r="O28" s="7"/>
      <c r="T28" s="8"/>
      <c r="U28" s="8"/>
    </row>
    <row r="29" spans="1:21" x14ac:dyDescent="0.2">
      <c r="A29" s="57"/>
      <c r="B29" s="57"/>
      <c r="C29" s="57"/>
      <c r="D29" s="57"/>
      <c r="E29" s="57"/>
      <c r="F29" s="58"/>
      <c r="H29" s="77" t="s">
        <v>35</v>
      </c>
      <c r="I29" s="38"/>
      <c r="J29" s="38"/>
      <c r="K29" s="20" t="s">
        <v>44</v>
      </c>
      <c r="L29" s="78"/>
    </row>
    <row r="30" spans="1:21" ht="13.5" thickBot="1" x14ac:dyDescent="0.25">
      <c r="A30" s="59"/>
      <c r="B30" s="57"/>
      <c r="C30" s="57"/>
      <c r="D30" s="57"/>
      <c r="E30" s="57"/>
      <c r="F30" s="56"/>
      <c r="H30" s="79" t="s">
        <v>42</v>
      </c>
      <c r="I30" s="44"/>
      <c r="J30" s="38"/>
      <c r="K30" s="50" t="s">
        <v>45</v>
      </c>
      <c r="L30" s="78"/>
      <c r="N30" s="34"/>
      <c r="O30" s="34"/>
      <c r="P30" s="5"/>
      <c r="Q30" s="5"/>
      <c r="R30" s="5"/>
      <c r="T30" s="7"/>
    </row>
    <row r="31" spans="1:21" x14ac:dyDescent="0.2">
      <c r="A31" s="59"/>
      <c r="B31" s="57"/>
      <c r="C31" s="57"/>
      <c r="D31" s="57"/>
      <c r="E31" s="57"/>
      <c r="F31" s="56"/>
      <c r="H31" s="80" t="s">
        <v>38</v>
      </c>
      <c r="I31" s="38"/>
      <c r="J31" s="90">
        <f>-M8</f>
        <v>0</v>
      </c>
      <c r="K31" s="26" t="s">
        <v>10</v>
      </c>
      <c r="L31" s="91">
        <f>M8</f>
        <v>0</v>
      </c>
      <c r="P31" s="5"/>
      <c r="Q31" s="5"/>
      <c r="R31" s="5"/>
      <c r="T31" s="7"/>
    </row>
    <row r="32" spans="1:21" x14ac:dyDescent="0.2">
      <c r="A32" s="59"/>
      <c r="B32" s="57"/>
      <c r="C32" s="57"/>
      <c r="D32" s="57"/>
      <c r="E32" s="57"/>
      <c r="F32" s="56"/>
      <c r="H32" s="80" t="s">
        <v>38</v>
      </c>
      <c r="I32" s="43"/>
      <c r="J32" s="42">
        <f>-M9</f>
        <v>0</v>
      </c>
      <c r="K32" s="26" t="s">
        <v>11</v>
      </c>
      <c r="L32" s="78">
        <f>M9</f>
        <v>0</v>
      </c>
      <c r="P32" s="5"/>
      <c r="Q32" s="5"/>
      <c r="R32" s="5"/>
      <c r="T32" s="7"/>
    </row>
    <row r="33" spans="1:20" x14ac:dyDescent="0.2">
      <c r="A33" s="60"/>
      <c r="B33" s="60"/>
      <c r="C33" s="60"/>
      <c r="D33" s="60"/>
      <c r="E33" s="60"/>
      <c r="F33" s="61"/>
      <c r="H33" s="81" t="s">
        <v>15</v>
      </c>
      <c r="I33" s="43"/>
      <c r="J33" s="42">
        <f t="shared" ref="J33:J43" si="7">-M11</f>
        <v>0</v>
      </c>
      <c r="K33" s="26" t="s">
        <v>13</v>
      </c>
      <c r="L33" s="78">
        <f t="shared" ref="L33:L43" si="8">M11</f>
        <v>0</v>
      </c>
      <c r="P33" s="5"/>
      <c r="Q33" s="5"/>
      <c r="R33" s="5"/>
      <c r="T33" s="7"/>
    </row>
    <row r="34" spans="1:20" x14ac:dyDescent="0.2">
      <c r="A34" s="100"/>
      <c r="B34" s="60"/>
      <c r="C34" s="62"/>
      <c r="D34" s="62"/>
      <c r="E34" s="62"/>
      <c r="F34" s="62"/>
      <c r="H34" s="81" t="s">
        <v>15</v>
      </c>
      <c r="I34" s="38"/>
      <c r="J34" s="42">
        <f t="shared" si="7"/>
        <v>0</v>
      </c>
      <c r="K34" s="26" t="s">
        <v>12</v>
      </c>
      <c r="L34" s="78">
        <f t="shared" si="8"/>
        <v>0</v>
      </c>
      <c r="P34" s="5"/>
      <c r="Q34" s="5"/>
      <c r="R34" s="5"/>
      <c r="T34" s="7"/>
    </row>
    <row r="35" spans="1:20" x14ac:dyDescent="0.2">
      <c r="A35" s="60"/>
      <c r="B35" s="60"/>
      <c r="C35" s="97"/>
      <c r="D35" s="66"/>
      <c r="E35" s="63"/>
      <c r="F35" s="58"/>
      <c r="H35" s="81" t="s">
        <v>25</v>
      </c>
      <c r="I35" s="38"/>
      <c r="J35" s="42">
        <f t="shared" si="7"/>
        <v>0</v>
      </c>
      <c r="K35" s="26" t="s">
        <v>14</v>
      </c>
      <c r="L35" s="78">
        <f t="shared" si="8"/>
        <v>0</v>
      </c>
      <c r="P35" s="5"/>
      <c r="Q35" s="5"/>
      <c r="R35" s="5"/>
      <c r="T35" s="7"/>
    </row>
    <row r="36" spans="1:20" x14ac:dyDescent="0.2">
      <c r="A36" s="60"/>
      <c r="B36" s="60"/>
      <c r="C36" s="97"/>
      <c r="D36" s="66"/>
      <c r="E36" s="63"/>
      <c r="F36" s="58"/>
      <c r="H36" s="81" t="s">
        <v>41</v>
      </c>
      <c r="I36" s="38"/>
      <c r="J36" s="42">
        <f t="shared" si="7"/>
        <v>-500.77777777777777</v>
      </c>
      <c r="K36" s="26" t="s">
        <v>20</v>
      </c>
      <c r="L36" s="78">
        <f t="shared" si="8"/>
        <v>500.77777777777777</v>
      </c>
      <c r="P36" s="5"/>
      <c r="Q36" s="5"/>
      <c r="R36" s="5"/>
      <c r="T36" s="7"/>
    </row>
    <row r="37" spans="1:20" x14ac:dyDescent="0.2">
      <c r="A37" s="60"/>
      <c r="B37" s="60"/>
      <c r="C37" s="97"/>
      <c r="D37" s="66"/>
      <c r="E37" s="63"/>
      <c r="F37" s="58"/>
      <c r="H37" s="81" t="s">
        <v>41</v>
      </c>
      <c r="I37" s="43"/>
      <c r="J37" s="42">
        <f t="shared" si="7"/>
        <v>-5510.333333333333</v>
      </c>
      <c r="K37" s="26" t="s">
        <v>22</v>
      </c>
      <c r="L37" s="78">
        <f t="shared" si="8"/>
        <v>5510.333333333333</v>
      </c>
      <c r="P37" s="5"/>
      <c r="Q37" s="5"/>
      <c r="R37" s="5"/>
      <c r="T37" s="7"/>
    </row>
    <row r="38" spans="1:20" x14ac:dyDescent="0.2">
      <c r="A38" s="60"/>
      <c r="B38" s="60"/>
      <c r="C38" s="95"/>
      <c r="D38" s="64"/>
      <c r="E38" s="67"/>
      <c r="F38" s="58"/>
      <c r="H38" s="81" t="s">
        <v>41</v>
      </c>
      <c r="I38" s="38"/>
      <c r="J38" s="42">
        <f t="shared" si="7"/>
        <v>-6472.4444444444443</v>
      </c>
      <c r="K38" s="26" t="s">
        <v>21</v>
      </c>
      <c r="L38" s="78">
        <f t="shared" si="8"/>
        <v>6472.4444444444443</v>
      </c>
      <c r="P38" s="5"/>
      <c r="Q38" s="5"/>
      <c r="R38" s="5"/>
      <c r="T38" s="7"/>
    </row>
    <row r="39" spans="1:20" x14ac:dyDescent="0.2">
      <c r="A39" s="60"/>
      <c r="B39" s="60"/>
      <c r="C39" s="65"/>
      <c r="D39" s="66"/>
      <c r="E39" s="66"/>
      <c r="F39" s="58"/>
      <c r="H39" s="80" t="s">
        <v>36</v>
      </c>
      <c r="I39" s="38"/>
      <c r="J39" s="42">
        <f t="shared" si="7"/>
        <v>1618734.5555555555</v>
      </c>
      <c r="K39" s="26" t="s">
        <v>17</v>
      </c>
      <c r="L39" s="78">
        <f t="shared" si="8"/>
        <v>-1618734.5555555555</v>
      </c>
      <c r="P39" s="5"/>
      <c r="Q39" s="5"/>
      <c r="R39" s="5"/>
      <c r="T39" s="7"/>
    </row>
    <row r="40" spans="1:20" x14ac:dyDescent="0.2">
      <c r="A40" s="49"/>
      <c r="B40" s="49"/>
      <c r="C40" s="93"/>
      <c r="D40" s="94"/>
      <c r="E40" s="94"/>
      <c r="H40" s="80" t="s">
        <v>37</v>
      </c>
      <c r="I40" s="38"/>
      <c r="J40" s="42">
        <f t="shared" si="7"/>
        <v>6031.4444444444443</v>
      </c>
      <c r="K40" s="26" t="s">
        <v>18</v>
      </c>
      <c r="L40" s="78">
        <f t="shared" si="8"/>
        <v>-6031.4444444444443</v>
      </c>
      <c r="P40" s="5"/>
      <c r="Q40" s="5"/>
      <c r="R40" s="5"/>
      <c r="T40" s="7"/>
    </row>
    <row r="41" spans="1:20" x14ac:dyDescent="0.2">
      <c r="A41" s="49"/>
      <c r="B41" s="49"/>
      <c r="C41" s="93"/>
      <c r="D41" s="94"/>
      <c r="E41" s="94"/>
      <c r="H41" s="82" t="s">
        <v>38</v>
      </c>
      <c r="I41" s="38"/>
      <c r="J41" s="42">
        <f t="shared" si="7"/>
        <v>675040.5555555555</v>
      </c>
      <c r="K41" s="32" t="s">
        <v>16</v>
      </c>
      <c r="L41" s="78">
        <f t="shared" si="8"/>
        <v>-675040.5555555555</v>
      </c>
      <c r="P41" s="5"/>
      <c r="Q41" s="5"/>
      <c r="R41" s="5"/>
      <c r="T41" s="7"/>
    </row>
    <row r="42" spans="1:20" x14ac:dyDescent="0.2">
      <c r="A42" s="49"/>
      <c r="B42" s="49"/>
      <c r="C42" s="93"/>
      <c r="D42" s="94"/>
      <c r="E42" s="94"/>
      <c r="H42" s="83" t="s">
        <v>39</v>
      </c>
      <c r="I42" s="33"/>
      <c r="J42" s="42">
        <f t="shared" si="7"/>
        <v>333682.88888888888</v>
      </c>
      <c r="K42" s="84" t="s">
        <v>19</v>
      </c>
      <c r="L42" s="78">
        <f t="shared" si="8"/>
        <v>-333682.88888888888</v>
      </c>
      <c r="P42" s="5"/>
      <c r="Q42" s="5"/>
      <c r="R42" s="5"/>
      <c r="T42" s="7"/>
    </row>
    <row r="43" spans="1:20" ht="13.5" thickBot="1" x14ac:dyDescent="0.25">
      <c r="A43" s="49"/>
      <c r="B43" s="49"/>
      <c r="C43" s="93"/>
      <c r="D43" s="94"/>
      <c r="E43" s="94"/>
      <c r="H43" s="85" t="s">
        <v>40</v>
      </c>
      <c r="I43" s="86"/>
      <c r="J43" s="87">
        <f t="shared" si="7"/>
        <v>181365.88888888888</v>
      </c>
      <c r="K43" s="88" t="s">
        <v>24</v>
      </c>
      <c r="L43" s="89">
        <f t="shared" si="8"/>
        <v>-181365.88888888888</v>
      </c>
      <c r="P43" s="5"/>
      <c r="Q43" s="5"/>
      <c r="R43" s="5"/>
      <c r="T43" s="7"/>
    </row>
    <row r="44" spans="1:20" x14ac:dyDescent="0.2">
      <c r="A44" s="49"/>
      <c r="B44" s="49"/>
      <c r="C44" s="93"/>
      <c r="D44" s="94"/>
      <c r="E44" s="94"/>
      <c r="H44" s="73" t="s">
        <v>51</v>
      </c>
      <c r="I44" s="37"/>
      <c r="J44" s="74">
        <f>SUM(J31:J43)+SUM(L31:L43)</f>
        <v>0</v>
      </c>
      <c r="L44" s="5">
        <f>SUM(L31:L43)</f>
        <v>-2802371.777777778</v>
      </c>
      <c r="P44" s="5"/>
      <c r="Q44" s="5"/>
      <c r="R44" s="5"/>
      <c r="T44" s="7"/>
    </row>
    <row r="45" spans="1:20" x14ac:dyDescent="0.2">
      <c r="A45" s="49"/>
      <c r="B45" s="49"/>
      <c r="C45" s="93"/>
      <c r="D45" s="94"/>
      <c r="E45" s="94"/>
      <c r="H45" s="38"/>
      <c r="I45" s="38"/>
      <c r="P45" s="5"/>
      <c r="Q45" s="5"/>
      <c r="R45" s="5"/>
      <c r="T45" s="7"/>
    </row>
    <row r="46" spans="1:20" ht="13.5" thickBot="1" x14ac:dyDescent="0.25">
      <c r="A46" s="49"/>
      <c r="B46" s="49"/>
      <c r="C46" s="93"/>
      <c r="D46" s="94"/>
      <c r="E46" s="94"/>
      <c r="H46" s="38"/>
      <c r="I46" s="38"/>
      <c r="P46" s="5"/>
      <c r="Q46" s="5"/>
      <c r="R46" s="5"/>
      <c r="S46" s="7"/>
    </row>
    <row r="47" spans="1:20" ht="13.5" thickBot="1" x14ac:dyDescent="0.25">
      <c r="A47" s="49"/>
      <c r="B47" s="49"/>
      <c r="C47" s="93"/>
      <c r="D47" s="94"/>
      <c r="E47" s="94"/>
      <c r="H47" s="200" t="s">
        <v>97</v>
      </c>
      <c r="I47" s="201"/>
      <c r="J47" s="201"/>
      <c r="K47" s="201"/>
      <c r="L47" s="202"/>
      <c r="P47" s="5"/>
      <c r="Q47" s="5"/>
      <c r="R47" s="5"/>
      <c r="S47" s="7"/>
    </row>
    <row r="48" spans="1:20" ht="13.5" thickBot="1" x14ac:dyDescent="0.25">
      <c r="A48" s="49"/>
      <c r="B48" s="49"/>
      <c r="C48" s="93"/>
      <c r="D48" s="94"/>
      <c r="E48" s="94"/>
      <c r="H48" s="200" t="s">
        <v>96</v>
      </c>
      <c r="I48" s="201"/>
      <c r="J48" s="201"/>
      <c r="K48" s="201"/>
      <c r="L48" s="202"/>
      <c r="P48" s="5"/>
      <c r="Q48" s="5"/>
      <c r="R48" s="5"/>
      <c r="S48" s="7"/>
    </row>
    <row r="49" spans="1:12" x14ac:dyDescent="0.2">
      <c r="A49" s="29"/>
      <c r="B49" s="29"/>
      <c r="C49" s="29"/>
      <c r="D49" s="29"/>
      <c r="E49" s="29"/>
      <c r="H49" s="75"/>
      <c r="I49" s="18"/>
      <c r="J49" s="18"/>
      <c r="K49" s="18"/>
      <c r="L49" s="76"/>
    </row>
    <row r="50" spans="1:12" x14ac:dyDescent="0.2">
      <c r="A50" s="29"/>
      <c r="B50" s="29"/>
      <c r="C50" s="29"/>
      <c r="D50" s="29"/>
      <c r="E50" s="29"/>
      <c r="H50" s="77" t="s">
        <v>35</v>
      </c>
      <c r="I50" s="38"/>
      <c r="J50" s="38"/>
      <c r="K50" s="20" t="s">
        <v>44</v>
      </c>
      <c r="L50" s="78"/>
    </row>
    <row r="51" spans="1:12" ht="13.5" thickBot="1" x14ac:dyDescent="0.25">
      <c r="H51" s="79" t="s">
        <v>42</v>
      </c>
      <c r="I51" s="44"/>
      <c r="J51" s="38"/>
      <c r="K51" s="50" t="s">
        <v>45</v>
      </c>
      <c r="L51" s="78"/>
    </row>
    <row r="52" spans="1:12" x14ac:dyDescent="0.2">
      <c r="A52" s="29"/>
      <c r="B52" s="29"/>
      <c r="H52" s="80" t="s">
        <v>38</v>
      </c>
      <c r="I52" s="38"/>
      <c r="J52" s="90">
        <f>-K8</f>
        <v>0</v>
      </c>
      <c r="K52" s="26" t="s">
        <v>10</v>
      </c>
      <c r="L52" s="91">
        <f>K8</f>
        <v>0</v>
      </c>
    </row>
    <row r="53" spans="1:12" x14ac:dyDescent="0.2">
      <c r="H53" s="80" t="s">
        <v>38</v>
      </c>
      <c r="I53" s="43"/>
      <c r="J53" s="42">
        <f>-K9</f>
        <v>0</v>
      </c>
      <c r="K53" s="26" t="s">
        <v>11</v>
      </c>
      <c r="L53" s="78">
        <f>K9</f>
        <v>0</v>
      </c>
    </row>
    <row r="54" spans="1:12" x14ac:dyDescent="0.2">
      <c r="A54" s="29"/>
      <c r="B54" s="29"/>
      <c r="H54" s="81" t="s">
        <v>15</v>
      </c>
      <c r="I54" s="43"/>
      <c r="J54" s="42">
        <f>-K11</f>
        <v>0</v>
      </c>
      <c r="K54" s="26" t="s">
        <v>13</v>
      </c>
      <c r="L54" s="78">
        <f>K11</f>
        <v>0</v>
      </c>
    </row>
    <row r="55" spans="1:12" x14ac:dyDescent="0.2">
      <c r="H55" s="81" t="s">
        <v>15</v>
      </c>
      <c r="I55" s="38"/>
      <c r="J55" s="42">
        <f t="shared" ref="J55:J64" si="9">-K12</f>
        <v>0</v>
      </c>
      <c r="K55" s="26" t="s">
        <v>12</v>
      </c>
      <c r="L55" s="78">
        <f t="shared" ref="L55:L64" si="10">K12</f>
        <v>0</v>
      </c>
    </row>
    <row r="56" spans="1:12" x14ac:dyDescent="0.2">
      <c r="H56" s="81" t="s">
        <v>25</v>
      </c>
      <c r="I56" s="38"/>
      <c r="J56" s="42">
        <f t="shared" si="9"/>
        <v>0</v>
      </c>
      <c r="K56" s="26" t="s">
        <v>14</v>
      </c>
      <c r="L56" s="78">
        <f t="shared" si="10"/>
        <v>0</v>
      </c>
    </row>
    <row r="57" spans="1:12" x14ac:dyDescent="0.2">
      <c r="H57" s="81" t="s">
        <v>41</v>
      </c>
      <c r="I57" s="38"/>
      <c r="J57" s="42">
        <f t="shared" si="9"/>
        <v>-1000</v>
      </c>
      <c r="K57" s="26" t="s">
        <v>20</v>
      </c>
      <c r="L57" s="78">
        <f t="shared" si="10"/>
        <v>1000</v>
      </c>
    </row>
    <row r="58" spans="1:12" x14ac:dyDescent="0.2">
      <c r="H58" s="81" t="s">
        <v>41</v>
      </c>
      <c r="I58" s="43"/>
      <c r="J58" s="42">
        <f t="shared" si="9"/>
        <v>-5499</v>
      </c>
      <c r="K58" s="26" t="s">
        <v>22</v>
      </c>
      <c r="L58" s="78">
        <f t="shared" si="10"/>
        <v>5499</v>
      </c>
    </row>
    <row r="59" spans="1:12" x14ac:dyDescent="0.2">
      <c r="H59" s="81" t="s">
        <v>41</v>
      </c>
      <c r="I59" s="38"/>
      <c r="J59" s="42">
        <f t="shared" si="9"/>
        <v>84</v>
      </c>
      <c r="K59" s="26" t="s">
        <v>21</v>
      </c>
      <c r="L59" s="78">
        <f t="shared" si="10"/>
        <v>-84</v>
      </c>
    </row>
    <row r="60" spans="1:12" x14ac:dyDescent="0.2">
      <c r="H60" s="80" t="s">
        <v>36</v>
      </c>
      <c r="I60" s="38"/>
      <c r="J60" s="42">
        <f t="shared" si="9"/>
        <v>4097336</v>
      </c>
      <c r="K60" s="26" t="s">
        <v>17</v>
      </c>
      <c r="L60" s="78">
        <f t="shared" si="10"/>
        <v>-4097336</v>
      </c>
    </row>
    <row r="61" spans="1:12" x14ac:dyDescent="0.2">
      <c r="H61" s="80" t="s">
        <v>37</v>
      </c>
      <c r="I61" s="38"/>
      <c r="J61" s="42">
        <f t="shared" si="9"/>
        <v>5055</v>
      </c>
      <c r="K61" s="26" t="s">
        <v>18</v>
      </c>
      <c r="L61" s="78">
        <f t="shared" si="10"/>
        <v>-5055</v>
      </c>
    </row>
    <row r="62" spans="1:12" x14ac:dyDescent="0.2">
      <c r="H62" s="82" t="s">
        <v>38</v>
      </c>
      <c r="I62" s="38"/>
      <c r="J62" s="42">
        <f t="shared" si="9"/>
        <v>4062</v>
      </c>
      <c r="K62" s="32" t="s">
        <v>16</v>
      </c>
      <c r="L62" s="78">
        <f t="shared" si="10"/>
        <v>-4062</v>
      </c>
    </row>
    <row r="63" spans="1:12" x14ac:dyDescent="0.2">
      <c r="H63" s="83" t="s">
        <v>39</v>
      </c>
      <c r="I63" s="33"/>
      <c r="J63" s="42">
        <f t="shared" si="9"/>
        <v>-154113</v>
      </c>
      <c r="K63" s="84" t="s">
        <v>19</v>
      </c>
      <c r="L63" s="78">
        <f t="shared" si="10"/>
        <v>154113</v>
      </c>
    </row>
    <row r="64" spans="1:12" ht="13.5" thickBot="1" x14ac:dyDescent="0.25">
      <c r="H64" s="85" t="s">
        <v>40</v>
      </c>
      <c r="I64" s="86"/>
      <c r="J64" s="87">
        <f t="shared" si="9"/>
        <v>-256214</v>
      </c>
      <c r="K64" s="88" t="s">
        <v>24</v>
      </c>
      <c r="L64" s="89">
        <f t="shared" si="10"/>
        <v>256214</v>
      </c>
    </row>
    <row r="65" spans="8:12" x14ac:dyDescent="0.2">
      <c r="H65" s="73" t="s">
        <v>51</v>
      </c>
      <c r="I65" s="37"/>
      <c r="J65" s="74">
        <f>SUM(J52:J64)+SUM(L52:L64)</f>
        <v>0</v>
      </c>
      <c r="L65" s="5">
        <f>SUM(L52:L64)</f>
        <v>-3689711</v>
      </c>
    </row>
  </sheetData>
  <mergeCells count="4">
    <mergeCell ref="H26:L26"/>
    <mergeCell ref="H27:L27"/>
    <mergeCell ref="H47:L47"/>
    <mergeCell ref="H48:L48"/>
  </mergeCells>
  <conditionalFormatting sqref="M24 H24">
    <cfRule type="cellIs" dxfId="0" priority="1" stopIfTrue="1" operator="notBetween">
      <formula>-1</formula>
      <formula>1</formula>
    </cfRule>
  </conditionalFormatting>
  <pageMargins left="0.7" right="0.7" top="0.75" bottom="0.75" header="0.3" footer="0.3"/>
  <pageSetup scale="62" orientation="landscape" r:id="rId1"/>
  <headerFooter>
    <oddHeader>&amp;L&amp;D</oddHead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8"/>
  <sheetViews>
    <sheetView zoomScaleNormal="100" workbookViewId="0">
      <pane xSplit="3" topLeftCell="D1" activePane="topRight" state="frozenSplit"/>
      <selection pane="topRight" activeCell="G34" sqref="G34"/>
    </sheetView>
  </sheetViews>
  <sheetFormatPr defaultRowHeight="12.75" x14ac:dyDescent="0.2"/>
  <cols>
    <col min="1" max="1" width="23" style="140" customWidth="1"/>
    <col min="2" max="2" width="1.5703125" style="140" customWidth="1"/>
    <col min="3" max="3" width="13" style="140" customWidth="1"/>
    <col min="4" max="4" width="3.42578125" style="140" bestFit="1" customWidth="1"/>
    <col min="5" max="5" width="3.85546875" style="140" bestFit="1" customWidth="1"/>
    <col min="6" max="6" width="13.42578125" style="140" bestFit="1" customWidth="1"/>
    <col min="7" max="7" width="15" style="140" bestFit="1" customWidth="1"/>
    <col min="8" max="8" width="10.85546875" style="140" bestFit="1" customWidth="1"/>
    <col min="9" max="9" width="10.28515625" style="140" customWidth="1"/>
    <col min="10" max="10" width="15.5703125" style="140" bestFit="1" customWidth="1"/>
    <col min="11" max="11" width="15" style="140" bestFit="1" customWidth="1"/>
    <col min="12" max="12" width="11.140625" style="140" bestFit="1" customWidth="1"/>
    <col min="13" max="13" width="13.85546875" style="172" bestFit="1" customWidth="1"/>
    <col min="14" max="14" width="7" style="140" customWidth="1"/>
    <col min="15" max="15" width="12.85546875" style="140" bestFit="1" customWidth="1"/>
    <col min="16" max="17" width="11.85546875" style="140" bestFit="1" customWidth="1"/>
    <col min="18" max="16384" width="9.140625" style="140"/>
  </cols>
  <sheetData>
    <row r="1" spans="1:15" x14ac:dyDescent="0.2">
      <c r="A1" s="195" t="s">
        <v>217</v>
      </c>
      <c r="C1" s="196" t="s">
        <v>219</v>
      </c>
      <c r="M1" s="141"/>
    </row>
    <row r="2" spans="1:15" x14ac:dyDescent="0.2">
      <c r="A2" s="192" t="s">
        <v>218</v>
      </c>
      <c r="B2" s="143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</row>
    <row r="3" spans="1:15" s="145" customFormat="1" x14ac:dyDescent="0.2">
      <c r="A3" s="142"/>
      <c r="B3" s="143"/>
      <c r="C3" s="144"/>
      <c r="D3" s="144"/>
      <c r="E3" s="144"/>
      <c r="F3" s="144"/>
      <c r="G3" s="144"/>
      <c r="H3" s="144"/>
      <c r="I3" s="144"/>
      <c r="M3" s="193"/>
    </row>
    <row r="4" spans="1:15" x14ac:dyDescent="0.2">
      <c r="A4" s="194"/>
      <c r="B4" s="146"/>
      <c r="C4" s="147" t="s">
        <v>44</v>
      </c>
      <c r="D4" s="147"/>
      <c r="E4" s="147"/>
      <c r="F4" s="147" t="s">
        <v>223</v>
      </c>
      <c r="G4" s="147" t="s">
        <v>224</v>
      </c>
      <c r="H4" s="148" t="s">
        <v>221</v>
      </c>
      <c r="I4" s="147"/>
      <c r="J4" s="149">
        <v>201812</v>
      </c>
      <c r="K4" s="147"/>
      <c r="L4" s="148" t="s">
        <v>209</v>
      </c>
      <c r="M4" s="149">
        <v>201912</v>
      </c>
      <c r="O4" s="146" t="s">
        <v>222</v>
      </c>
    </row>
    <row r="5" spans="1:15" x14ac:dyDescent="0.2">
      <c r="A5" s="150"/>
      <c r="B5" s="150"/>
      <c r="C5" s="151" t="s">
        <v>203</v>
      </c>
      <c r="D5" s="151"/>
      <c r="E5" s="151"/>
      <c r="F5" s="152" t="s">
        <v>225</v>
      </c>
      <c r="G5" s="148" t="s">
        <v>210</v>
      </c>
      <c r="H5" s="152"/>
      <c r="I5" s="148"/>
      <c r="J5" s="191" t="s">
        <v>204</v>
      </c>
      <c r="K5" s="147" t="s">
        <v>220</v>
      </c>
      <c r="L5" s="148" t="s">
        <v>208</v>
      </c>
      <c r="M5" s="148" t="s">
        <v>130</v>
      </c>
      <c r="N5" s="153" t="s">
        <v>211</v>
      </c>
      <c r="O5" s="146" t="s">
        <v>119</v>
      </c>
    </row>
    <row r="6" spans="1:15" ht="5.25" customHeight="1" x14ac:dyDescent="0.2">
      <c r="K6" s="154"/>
      <c r="L6" s="154"/>
      <c r="M6" s="155"/>
    </row>
    <row r="7" spans="1:15" x14ac:dyDescent="0.2">
      <c r="A7" s="156" t="s">
        <v>29</v>
      </c>
      <c r="B7" s="156"/>
      <c r="C7" s="157">
        <v>282900</v>
      </c>
      <c r="D7" s="158" t="s">
        <v>196</v>
      </c>
      <c r="E7" s="158" t="s">
        <v>199</v>
      </c>
      <c r="F7" s="159">
        <f>-ROUND(5213749/12,0)*11</f>
        <v>-4779269</v>
      </c>
      <c r="G7" s="159">
        <v>-3524124</v>
      </c>
      <c r="H7" s="160">
        <f>G7-F7</f>
        <v>1255145</v>
      </c>
      <c r="I7" s="160"/>
      <c r="J7" s="161">
        <v>-88521790.540000007</v>
      </c>
      <c r="K7" s="159">
        <f>-F7</f>
        <v>4779269</v>
      </c>
      <c r="L7" s="160">
        <f>-'DFIT 2018'!H7</f>
        <v>-1002700</v>
      </c>
      <c r="M7" s="161">
        <v>-84745221.540000007</v>
      </c>
      <c r="N7" s="162">
        <f>SUM(J7:L7)-M7</f>
        <v>0</v>
      </c>
      <c r="O7" s="162">
        <f>M7-H7</f>
        <v>-86000366.540000007</v>
      </c>
    </row>
    <row r="8" spans="1:15" x14ac:dyDescent="0.2">
      <c r="A8" s="156" t="s">
        <v>30</v>
      </c>
      <c r="B8" s="156"/>
      <c r="C8" s="157">
        <v>282900</v>
      </c>
      <c r="D8" s="158" t="s">
        <v>196</v>
      </c>
      <c r="E8" s="158" t="s">
        <v>200</v>
      </c>
      <c r="F8" s="159">
        <f>ROUND(31958/12,0)*11</f>
        <v>29293</v>
      </c>
      <c r="G8" s="159">
        <v>31958</v>
      </c>
      <c r="H8" s="160">
        <f>G8-F8</f>
        <v>2665</v>
      </c>
      <c r="I8" s="160"/>
      <c r="J8" s="161">
        <v>-765406.82</v>
      </c>
      <c r="K8" s="159">
        <f>-F8</f>
        <v>-29293</v>
      </c>
      <c r="L8" s="160">
        <f>-'DFIT 2018'!H8</f>
        <v>0</v>
      </c>
      <c r="M8" s="161">
        <v>-794699.82</v>
      </c>
      <c r="N8" s="162">
        <f>SUM(J8:L8)-M8</f>
        <v>0</v>
      </c>
      <c r="O8" s="162">
        <f>M8-H8</f>
        <v>-797364.82</v>
      </c>
    </row>
    <row r="9" spans="1:15" x14ac:dyDescent="0.2">
      <c r="A9" s="140" t="s">
        <v>28</v>
      </c>
      <c r="B9" s="163"/>
      <c r="C9" s="157">
        <v>282900</v>
      </c>
      <c r="D9" s="164" t="s">
        <v>197</v>
      </c>
      <c r="E9" s="158" t="s">
        <v>200</v>
      </c>
      <c r="F9" s="159">
        <f>ROUND(2627899/12,0)*11</f>
        <v>2408912</v>
      </c>
      <c r="G9" s="159">
        <v>6744572</v>
      </c>
      <c r="H9" s="160">
        <f>G9-F9</f>
        <v>4335660</v>
      </c>
      <c r="I9" s="160"/>
      <c r="J9" s="161">
        <v>-549242838.11000001</v>
      </c>
      <c r="K9" s="159">
        <f>-F9</f>
        <v>-2408912</v>
      </c>
      <c r="L9" s="160">
        <f>-'DFIT 2018'!H9</f>
        <v>423778</v>
      </c>
      <c r="M9" s="161">
        <v>-551227972.11000001</v>
      </c>
      <c r="N9" s="162">
        <f>SUM(J9:L9)-M9</f>
        <v>0</v>
      </c>
      <c r="O9" s="162">
        <f>M9-H9</f>
        <v>-555563632.11000001</v>
      </c>
    </row>
    <row r="10" spans="1:15" x14ac:dyDescent="0.2">
      <c r="A10" s="165" t="s">
        <v>26</v>
      </c>
      <c r="B10" s="156"/>
      <c r="C10" s="157">
        <v>282900</v>
      </c>
      <c r="D10" s="166" t="s">
        <v>198</v>
      </c>
      <c r="E10" s="158" t="s">
        <v>200</v>
      </c>
      <c r="F10" s="159">
        <f>(ROUND(1177470/12,0)-1)*11</f>
        <v>1079342</v>
      </c>
      <c r="G10" s="159">
        <v>1694123</v>
      </c>
      <c r="H10" s="160">
        <f>G10-F10</f>
        <v>614781</v>
      </c>
      <c r="I10" s="160"/>
      <c r="J10" s="161">
        <v>-109964012.87</v>
      </c>
      <c r="K10" s="159">
        <f>-F10</f>
        <v>-1079342</v>
      </c>
      <c r="L10" s="160">
        <f>-'DFIT 2018'!H10</f>
        <v>231933</v>
      </c>
      <c r="M10" s="161">
        <v>-110811421.87</v>
      </c>
      <c r="N10" s="162">
        <f>SUM(J10:L10)-M10</f>
        <v>0</v>
      </c>
      <c r="O10" s="162">
        <f>M10-H10</f>
        <v>-111426202.87</v>
      </c>
    </row>
    <row r="11" spans="1:15" x14ac:dyDescent="0.2">
      <c r="A11" s="167" t="s">
        <v>47</v>
      </c>
      <c r="B11" s="167"/>
      <c r="C11" s="157">
        <v>282900</v>
      </c>
      <c r="D11" s="167" t="s">
        <v>198</v>
      </c>
      <c r="E11" s="167" t="s">
        <v>201</v>
      </c>
      <c r="F11" s="159">
        <f>ROUND(784056/12,0)*11</f>
        <v>718718</v>
      </c>
      <c r="G11" s="159">
        <v>1262726</v>
      </c>
      <c r="H11" s="160">
        <f>G11-F11</f>
        <v>544008</v>
      </c>
      <c r="I11" s="160"/>
      <c r="J11" s="161">
        <v>-64389426.090000004</v>
      </c>
      <c r="K11" s="159">
        <f>-F11</f>
        <v>-718718</v>
      </c>
      <c r="L11" s="160">
        <f>-'DFIT 2018'!H11</f>
        <v>36860</v>
      </c>
      <c r="M11" s="161">
        <v>-65071284.090000004</v>
      </c>
      <c r="N11" s="162">
        <f>SUM(J11:L11)-M11</f>
        <v>0</v>
      </c>
      <c r="O11" s="162">
        <f>M11-H11</f>
        <v>-65615292.090000004</v>
      </c>
    </row>
    <row r="12" spans="1:15" x14ac:dyDescent="0.2">
      <c r="A12" s="158"/>
      <c r="B12" s="158"/>
      <c r="C12" s="168"/>
      <c r="D12" s="168"/>
      <c r="E12" s="168"/>
      <c r="F12" s="168"/>
      <c r="G12" s="168"/>
      <c r="H12" s="168"/>
      <c r="I12" s="168"/>
      <c r="J12" s="160"/>
      <c r="K12" s="160"/>
      <c r="L12" s="160"/>
      <c r="M12" s="169"/>
    </row>
    <row r="13" spans="1:15" x14ac:dyDescent="0.2">
      <c r="A13" s="158" t="s">
        <v>6</v>
      </c>
      <c r="B13" s="167"/>
      <c r="C13" s="167"/>
      <c r="D13" s="167"/>
      <c r="E13" s="167"/>
      <c r="F13" s="170">
        <f>SUM(F7:F12)</f>
        <v>-543004</v>
      </c>
      <c r="G13" s="170">
        <f>SUM(G7:G12)</f>
        <v>6209255</v>
      </c>
      <c r="H13" s="170">
        <f>SUM(H7:H12)</f>
        <v>6752259</v>
      </c>
      <c r="I13" s="170"/>
      <c r="J13" s="170">
        <f>SUM(J7:J12)</f>
        <v>-812883474.43000007</v>
      </c>
      <c r="K13" s="170">
        <f>SUM(K7:K12)</f>
        <v>543004</v>
      </c>
      <c r="L13" s="170">
        <f>SUM(L7:L12)</f>
        <v>-310129</v>
      </c>
      <c r="M13" s="167">
        <f>SUM(M7:M12)</f>
        <v>-812650599.43000007</v>
      </c>
      <c r="N13" s="162">
        <f t="shared" ref="N13" si="0">SUM(J13:L13)-M13</f>
        <v>0</v>
      </c>
      <c r="O13" s="187">
        <f>SUM(O7:O12)</f>
        <v>-819402858.43000007</v>
      </c>
    </row>
    <row r="14" spans="1:15" x14ac:dyDescent="0.2">
      <c r="A14" s="171"/>
      <c r="H14" s="162">
        <f>G13-F13-H13</f>
        <v>0</v>
      </c>
      <c r="I14" s="162"/>
      <c r="K14" s="172"/>
      <c r="L14" s="172"/>
      <c r="M14" s="167"/>
    </row>
    <row r="15" spans="1:15" x14ac:dyDescent="0.2">
      <c r="A15" s="171"/>
      <c r="I15" s="174" t="s">
        <v>213</v>
      </c>
      <c r="J15" s="159">
        <v>-813099047.27999997</v>
      </c>
      <c r="K15" s="172"/>
      <c r="L15" s="172"/>
      <c r="M15" s="173"/>
      <c r="N15" s="174" t="s">
        <v>213</v>
      </c>
      <c r="O15" s="159">
        <v>-819308302.29999995</v>
      </c>
    </row>
    <row r="16" spans="1:15" x14ac:dyDescent="0.2">
      <c r="A16" s="171"/>
      <c r="C16" s="181"/>
      <c r="D16" s="181"/>
      <c r="E16" s="181"/>
      <c r="F16" s="199" t="s">
        <v>206</v>
      </c>
      <c r="G16" s="199"/>
      <c r="H16" s="181"/>
      <c r="I16" s="174" t="s">
        <v>202</v>
      </c>
      <c r="J16" s="177">
        <f>J15-J13</f>
        <v>-215572.84999990463</v>
      </c>
      <c r="K16" s="162"/>
      <c r="L16" s="162"/>
      <c r="M16" s="173"/>
      <c r="N16" s="174" t="s">
        <v>202</v>
      </c>
      <c r="O16" s="177">
        <f>O15-O13</f>
        <v>94556.130000114441</v>
      </c>
    </row>
    <row r="17" spans="1:16" x14ac:dyDescent="0.2">
      <c r="A17" s="171"/>
      <c r="C17" s="155"/>
      <c r="D17" s="155"/>
      <c r="E17" s="155"/>
      <c r="F17" s="167" t="s">
        <v>36</v>
      </c>
      <c r="G17" s="181">
        <f>H7</f>
        <v>1255145</v>
      </c>
      <c r="H17" s="155"/>
      <c r="I17" s="189" t="s">
        <v>214</v>
      </c>
      <c r="J17" s="177">
        <f>-L13</f>
        <v>310129</v>
      </c>
      <c r="K17" s="160"/>
      <c r="L17" s="160"/>
      <c r="M17" s="173"/>
      <c r="N17" s="175" t="s">
        <v>216</v>
      </c>
      <c r="O17" s="176">
        <v>-94425</v>
      </c>
    </row>
    <row r="18" spans="1:16" x14ac:dyDescent="0.2">
      <c r="A18" s="171"/>
      <c r="C18" s="155"/>
      <c r="D18" s="155"/>
      <c r="E18" s="177"/>
      <c r="F18" s="167" t="s">
        <v>17</v>
      </c>
      <c r="G18" s="160">
        <f>-G17</f>
        <v>-1255145</v>
      </c>
      <c r="H18" s="183"/>
      <c r="I18" s="175" t="s">
        <v>216</v>
      </c>
      <c r="J18" s="176">
        <v>-94425</v>
      </c>
      <c r="K18" s="160"/>
      <c r="L18" s="160"/>
      <c r="M18" s="177"/>
      <c r="O18" s="172">
        <f>SUM(O16:O17)</f>
        <v>131.13000011444092</v>
      </c>
      <c r="P18" s="188">
        <f>-813099047.28-'DFIT 2018'!O15</f>
        <v>131.20000004768372</v>
      </c>
    </row>
    <row r="19" spans="1:16" x14ac:dyDescent="0.2">
      <c r="A19" s="178"/>
      <c r="B19" s="178"/>
      <c r="E19" s="177"/>
      <c r="F19" s="167" t="s">
        <v>37</v>
      </c>
      <c r="G19" s="181">
        <f>H8</f>
        <v>2665</v>
      </c>
      <c r="H19" s="177"/>
      <c r="I19" s="190" t="s">
        <v>215</v>
      </c>
      <c r="J19" s="177">
        <f>SUM(J16:J18)</f>
        <v>131.15000009536743</v>
      </c>
      <c r="K19" s="160"/>
      <c r="L19" s="160"/>
      <c r="M19" s="177"/>
    </row>
    <row r="20" spans="1:16" x14ac:dyDescent="0.2">
      <c r="A20" s="179"/>
      <c r="B20" s="178"/>
      <c r="E20" s="177"/>
      <c r="F20" s="167" t="s">
        <v>18</v>
      </c>
      <c r="G20" s="160">
        <f>-G19</f>
        <v>-2665</v>
      </c>
      <c r="H20" s="167"/>
      <c r="I20" s="160"/>
      <c r="J20" s="155"/>
      <c r="K20" s="160"/>
      <c r="L20" s="160"/>
      <c r="M20" s="177"/>
    </row>
    <row r="21" spans="1:16" x14ac:dyDescent="0.2">
      <c r="A21" s="179"/>
      <c r="B21" s="178"/>
      <c r="E21" s="172"/>
      <c r="F21" s="164" t="s">
        <v>38</v>
      </c>
      <c r="G21" s="181">
        <f>H9</f>
        <v>4335660</v>
      </c>
      <c r="H21" s="172"/>
      <c r="I21" s="172"/>
      <c r="J21" s="155"/>
      <c r="K21" s="180"/>
      <c r="L21" s="180"/>
      <c r="M21" s="177"/>
    </row>
    <row r="22" spans="1:16" x14ac:dyDescent="0.2">
      <c r="A22" s="179"/>
      <c r="B22" s="178"/>
      <c r="E22" s="172"/>
      <c r="F22" s="164" t="s">
        <v>16</v>
      </c>
      <c r="G22" s="160">
        <f>-G21</f>
        <v>-4335660</v>
      </c>
      <c r="H22" s="167"/>
      <c r="I22" s="160"/>
      <c r="J22" s="155"/>
      <c r="K22" s="181"/>
      <c r="L22" s="181"/>
      <c r="M22" s="141"/>
    </row>
    <row r="23" spans="1:16" s="177" customFormat="1" x14ac:dyDescent="0.2">
      <c r="A23" s="178"/>
      <c r="B23" s="178"/>
      <c r="C23" s="140"/>
      <c r="D23" s="140"/>
      <c r="E23" s="172"/>
      <c r="F23" s="184" t="s">
        <v>39</v>
      </c>
      <c r="G23" s="181">
        <f>H10</f>
        <v>614781</v>
      </c>
      <c r="H23" s="172"/>
      <c r="I23" s="172"/>
      <c r="J23" s="155"/>
      <c r="K23" s="155"/>
      <c r="L23" s="155"/>
      <c r="M23" s="141"/>
    </row>
    <row r="24" spans="1:16" s="177" customFormat="1" x14ac:dyDescent="0.2">
      <c r="A24" s="182"/>
      <c r="B24" s="178"/>
      <c r="C24" s="140"/>
      <c r="D24" s="140"/>
      <c r="E24" s="172"/>
      <c r="F24" s="184" t="s">
        <v>19</v>
      </c>
      <c r="G24" s="160">
        <f>-G23</f>
        <v>-614781</v>
      </c>
      <c r="H24" s="164"/>
      <c r="I24" s="160"/>
      <c r="J24" s="155"/>
      <c r="K24" s="155"/>
      <c r="L24" s="155"/>
      <c r="M24" s="141"/>
    </row>
    <row r="25" spans="1:16" s="177" customFormat="1" x14ac:dyDescent="0.2">
      <c r="A25" s="178"/>
      <c r="B25" s="178"/>
      <c r="C25" s="140"/>
      <c r="D25" s="140"/>
      <c r="E25" s="172"/>
      <c r="F25" s="167" t="s">
        <v>40</v>
      </c>
      <c r="G25" s="181">
        <f>H11</f>
        <v>544008</v>
      </c>
      <c r="H25" s="172"/>
      <c r="I25" s="172"/>
      <c r="J25" s="155"/>
      <c r="K25" s="155"/>
      <c r="L25" s="155"/>
      <c r="M25" s="141"/>
    </row>
    <row r="26" spans="1:16" s="177" customFormat="1" x14ac:dyDescent="0.2">
      <c r="A26" s="178"/>
      <c r="B26" s="178"/>
      <c r="C26" s="140"/>
      <c r="D26" s="140"/>
      <c r="E26" s="172"/>
      <c r="F26" s="167" t="s">
        <v>24</v>
      </c>
      <c r="G26" s="160">
        <f>-G25</f>
        <v>-544008</v>
      </c>
      <c r="H26" s="184"/>
      <c r="I26" s="160"/>
      <c r="J26" s="155"/>
      <c r="K26" s="140"/>
      <c r="L26" s="140"/>
      <c r="M26" s="172"/>
    </row>
    <row r="27" spans="1:16" s="177" customFormat="1" x14ac:dyDescent="0.2">
      <c r="A27" s="178"/>
      <c r="B27" s="178"/>
      <c r="C27" s="140"/>
      <c r="D27" s="140"/>
      <c r="E27" s="172"/>
      <c r="F27" s="186" t="s">
        <v>51</v>
      </c>
      <c r="G27" s="185">
        <f>SUM(G17:G26)</f>
        <v>0</v>
      </c>
      <c r="H27" s="172"/>
      <c r="I27" s="172"/>
      <c r="J27" s="155"/>
      <c r="K27" s="140"/>
      <c r="L27" s="140"/>
      <c r="M27" s="172"/>
    </row>
    <row r="28" spans="1:16" s="172" customFormat="1" x14ac:dyDescent="0.2">
      <c r="A28" s="178"/>
      <c r="B28" s="178"/>
      <c r="C28" s="140"/>
      <c r="D28" s="140"/>
      <c r="F28" s="160"/>
      <c r="G28" s="160"/>
      <c r="H28" s="167"/>
      <c r="I28" s="160"/>
      <c r="J28" s="155"/>
      <c r="K28" s="140"/>
      <c r="L28" s="140"/>
    </row>
    <row r="29" spans="1:16" s="172" customFormat="1" x14ac:dyDescent="0.2">
      <c r="A29" s="178"/>
      <c r="B29" s="178"/>
      <c r="C29" s="140"/>
      <c r="D29" s="140"/>
      <c r="F29" s="155"/>
      <c r="G29" s="155"/>
      <c r="H29" s="160"/>
      <c r="I29" s="160"/>
      <c r="J29" s="155"/>
      <c r="K29" s="140"/>
      <c r="L29" s="140"/>
    </row>
    <row r="30" spans="1:16" s="172" customFormat="1" x14ac:dyDescent="0.2">
      <c r="A30" s="178"/>
      <c r="B30" s="178"/>
      <c r="C30" s="140"/>
      <c r="D30" s="140"/>
      <c r="F30" s="140"/>
      <c r="G30" s="140"/>
      <c r="H30" s="160"/>
      <c r="I30" s="155"/>
      <c r="J30" s="155"/>
      <c r="K30" s="140"/>
      <c r="L30" s="140"/>
    </row>
    <row r="31" spans="1:16" s="172" customFormat="1" x14ac:dyDescent="0.2">
      <c r="A31" s="178"/>
      <c r="B31" s="178"/>
      <c r="C31" s="140"/>
      <c r="D31" s="140"/>
      <c r="E31" s="140"/>
      <c r="F31" s="140"/>
      <c r="G31" s="140"/>
      <c r="H31" s="155"/>
      <c r="I31" s="155"/>
      <c r="J31" s="155"/>
      <c r="K31" s="140"/>
      <c r="L31" s="140"/>
    </row>
    <row r="32" spans="1:16" s="172" customFormat="1" x14ac:dyDescent="0.2">
      <c r="A32" s="155"/>
      <c r="B32" s="155"/>
      <c r="C32" s="140"/>
      <c r="D32" s="140"/>
      <c r="E32" s="140"/>
      <c r="F32" s="140"/>
      <c r="G32" s="140"/>
      <c r="H32" s="140"/>
      <c r="I32" s="140"/>
      <c r="J32" s="140"/>
      <c r="K32" s="140"/>
      <c r="L32" s="140"/>
    </row>
    <row r="33" spans="1:12" s="172" customFormat="1" x14ac:dyDescent="0.2">
      <c r="A33" s="155"/>
      <c r="B33" s="155"/>
      <c r="C33" s="140"/>
      <c r="D33" s="140"/>
      <c r="E33" s="140"/>
      <c r="F33" s="140"/>
      <c r="G33" s="140"/>
      <c r="H33" s="140"/>
      <c r="I33" s="140"/>
      <c r="J33" s="140"/>
      <c r="K33" s="140"/>
      <c r="L33" s="140"/>
    </row>
    <row r="34" spans="1:12" s="172" customFormat="1" x14ac:dyDescent="0.2">
      <c r="A34" s="178"/>
      <c r="B34" s="178"/>
      <c r="C34" s="140"/>
      <c r="D34" s="140"/>
      <c r="E34" s="140"/>
      <c r="F34" s="140"/>
      <c r="G34" s="140"/>
      <c r="H34" s="140"/>
      <c r="I34" s="140"/>
      <c r="J34" s="140"/>
      <c r="K34" s="140"/>
      <c r="L34" s="140"/>
    </row>
    <row r="35" spans="1:12" s="172" customFormat="1" x14ac:dyDescent="0.2">
      <c r="A35" s="178"/>
      <c r="B35" s="178"/>
      <c r="C35" s="140"/>
      <c r="D35" s="140"/>
      <c r="E35" s="140"/>
      <c r="F35" s="140"/>
      <c r="G35" s="140"/>
      <c r="H35" s="140"/>
      <c r="I35" s="140"/>
      <c r="J35" s="140"/>
      <c r="K35" s="140"/>
      <c r="L35" s="140"/>
    </row>
    <row r="36" spans="1:12" s="172" customFormat="1" x14ac:dyDescent="0.2">
      <c r="A36" s="155"/>
      <c r="B36" s="155"/>
      <c r="C36" s="140"/>
      <c r="D36" s="140"/>
      <c r="E36" s="140"/>
      <c r="F36" s="140"/>
      <c r="G36" s="140"/>
      <c r="H36" s="140"/>
      <c r="I36" s="140"/>
      <c r="J36" s="140"/>
      <c r="K36" s="140"/>
      <c r="L36" s="140"/>
    </row>
    <row r="37" spans="1:12" s="172" customFormat="1" x14ac:dyDescent="0.2">
      <c r="A37" s="178"/>
      <c r="B37" s="178"/>
      <c r="C37" s="140"/>
      <c r="D37" s="140"/>
      <c r="E37" s="140"/>
      <c r="F37" s="140"/>
      <c r="G37" s="140"/>
      <c r="H37" s="140"/>
      <c r="I37" s="140"/>
      <c r="J37" s="140"/>
      <c r="K37" s="140"/>
      <c r="L37" s="140"/>
    </row>
    <row r="38" spans="1:12" s="172" customFormat="1" x14ac:dyDescent="0.2">
      <c r="A38" s="155"/>
      <c r="B38" s="155"/>
      <c r="C38" s="140"/>
      <c r="D38" s="140"/>
      <c r="E38" s="140"/>
      <c r="F38" s="140"/>
      <c r="G38" s="140"/>
      <c r="H38" s="140"/>
      <c r="I38" s="140"/>
      <c r="J38" s="140"/>
      <c r="K38" s="140"/>
      <c r="L38" s="140"/>
    </row>
    <row r="39" spans="1:12" s="172" customFormat="1" x14ac:dyDescent="0.2">
      <c r="A39" s="155"/>
      <c r="B39" s="155"/>
      <c r="C39" s="140"/>
      <c r="D39" s="140"/>
      <c r="E39" s="140"/>
      <c r="F39" s="140"/>
      <c r="G39" s="140"/>
      <c r="H39" s="140"/>
      <c r="I39" s="140"/>
      <c r="J39" s="140"/>
      <c r="K39" s="140"/>
      <c r="L39" s="140"/>
    </row>
    <row r="40" spans="1:12" s="172" customFormat="1" x14ac:dyDescent="0.2">
      <c r="A40" s="155"/>
      <c r="B40" s="155"/>
      <c r="C40" s="140"/>
      <c r="D40" s="140"/>
      <c r="E40" s="140"/>
      <c r="F40" s="140"/>
      <c r="G40" s="140"/>
      <c r="H40" s="140"/>
      <c r="I40" s="140"/>
      <c r="J40" s="140"/>
      <c r="K40" s="140"/>
      <c r="L40" s="140"/>
    </row>
    <row r="41" spans="1:12" s="172" customFormat="1" x14ac:dyDescent="0.2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</row>
    <row r="42" spans="1:12" s="172" customFormat="1" x14ac:dyDescent="0.2">
      <c r="A42" s="140"/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</row>
    <row r="43" spans="1:12" s="172" customFormat="1" x14ac:dyDescent="0.2">
      <c r="A43" s="140"/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140"/>
    </row>
    <row r="44" spans="1:12" s="172" customFormat="1" x14ac:dyDescent="0.2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</row>
    <row r="45" spans="1:12" s="172" customFormat="1" x14ac:dyDescent="0.2">
      <c r="A45" s="140"/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</row>
    <row r="46" spans="1:12" s="172" customFormat="1" x14ac:dyDescent="0.2">
      <c r="A46" s="140"/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</row>
    <row r="47" spans="1:12" s="172" customFormat="1" x14ac:dyDescent="0.2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</row>
    <row r="48" spans="1:12" s="172" customFormat="1" x14ac:dyDescent="0.2">
      <c r="A48" s="140"/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</row>
  </sheetData>
  <mergeCells count="1">
    <mergeCell ref="F16:G16"/>
  </mergeCells>
  <pageMargins left="0.7" right="0.7" top="0.75" bottom="0.75" header="0.3" footer="0.3"/>
  <pageSetup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8"/>
  <sheetViews>
    <sheetView zoomScaleNormal="100" workbookViewId="0">
      <pane xSplit="3" topLeftCell="D1" activePane="topRight" state="frozenSplit"/>
      <selection pane="topRight" activeCell="G17" sqref="G17"/>
    </sheetView>
  </sheetViews>
  <sheetFormatPr defaultRowHeight="12.75" x14ac:dyDescent="0.2"/>
  <cols>
    <col min="1" max="1" width="23" style="140" customWidth="1"/>
    <col min="2" max="2" width="1.5703125" style="140" customWidth="1"/>
    <col min="3" max="3" width="13" style="140" customWidth="1"/>
    <col min="4" max="4" width="3.42578125" style="140" bestFit="1" customWidth="1"/>
    <col min="5" max="5" width="3.85546875" style="140" bestFit="1" customWidth="1"/>
    <col min="6" max="6" width="13.42578125" style="140" bestFit="1" customWidth="1"/>
    <col min="7" max="7" width="15" style="140" bestFit="1" customWidth="1"/>
    <col min="8" max="8" width="10.85546875" style="140" bestFit="1" customWidth="1"/>
    <col min="9" max="9" width="10.28515625" style="140" customWidth="1"/>
    <col min="10" max="10" width="15.5703125" style="140" bestFit="1" customWidth="1"/>
    <col min="11" max="11" width="15" style="140" bestFit="1" customWidth="1"/>
    <col min="12" max="12" width="11.140625" style="140" bestFit="1" customWidth="1"/>
    <col min="13" max="13" width="13.85546875" style="172" bestFit="1" customWidth="1"/>
    <col min="14" max="14" width="5.85546875" style="140" bestFit="1" customWidth="1"/>
    <col min="15" max="15" width="12.85546875" style="140" bestFit="1" customWidth="1"/>
    <col min="16" max="16384" width="9.140625" style="140"/>
  </cols>
  <sheetData>
    <row r="1" spans="1:15" x14ac:dyDescent="0.2">
      <c r="A1" s="195" t="s">
        <v>194</v>
      </c>
      <c r="M1" s="141"/>
    </row>
    <row r="2" spans="1:15" x14ac:dyDescent="0.2">
      <c r="A2" s="192" t="s">
        <v>195</v>
      </c>
      <c r="B2" s="143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</row>
    <row r="3" spans="1:15" s="145" customFormat="1" x14ac:dyDescent="0.2">
      <c r="A3" s="142"/>
      <c r="B3" s="143"/>
      <c r="C3" s="144"/>
      <c r="D3" s="144"/>
      <c r="E3" s="144"/>
      <c r="F3" s="144"/>
      <c r="G3" s="144"/>
      <c r="H3" s="144"/>
      <c r="I3" s="144"/>
      <c r="M3" s="193"/>
    </row>
    <row r="4" spans="1:15" x14ac:dyDescent="0.2">
      <c r="A4" s="194"/>
      <c r="B4" s="146"/>
      <c r="C4" s="147" t="s">
        <v>44</v>
      </c>
      <c r="D4" s="147"/>
      <c r="E4" s="147"/>
      <c r="F4" s="147" t="s">
        <v>205</v>
      </c>
      <c r="G4" s="147" t="s">
        <v>207</v>
      </c>
      <c r="H4" s="148" t="s">
        <v>208</v>
      </c>
      <c r="I4" s="147"/>
      <c r="J4" s="149">
        <v>201712</v>
      </c>
      <c r="K4" s="147"/>
      <c r="L4" s="148" t="s">
        <v>209</v>
      </c>
      <c r="M4" s="149">
        <v>201812</v>
      </c>
      <c r="O4" s="146" t="s">
        <v>212</v>
      </c>
    </row>
    <row r="5" spans="1:15" x14ac:dyDescent="0.2">
      <c r="A5" s="150"/>
      <c r="B5" s="150"/>
      <c r="C5" s="151" t="s">
        <v>203</v>
      </c>
      <c r="D5" s="151"/>
      <c r="E5" s="151"/>
      <c r="F5" s="152">
        <v>410100</v>
      </c>
      <c r="G5" s="148" t="s">
        <v>210</v>
      </c>
      <c r="H5" s="152"/>
      <c r="I5" s="148"/>
      <c r="J5" s="191" t="s">
        <v>204</v>
      </c>
      <c r="K5" s="147" t="s">
        <v>205</v>
      </c>
      <c r="L5" s="148" t="s">
        <v>208</v>
      </c>
      <c r="M5" s="148" t="s">
        <v>130</v>
      </c>
      <c r="N5" s="153" t="s">
        <v>211</v>
      </c>
      <c r="O5" s="146" t="s">
        <v>119</v>
      </c>
    </row>
    <row r="6" spans="1:15" ht="5.25" customHeight="1" x14ac:dyDescent="0.2">
      <c r="K6" s="154"/>
      <c r="L6" s="154"/>
      <c r="M6" s="155"/>
    </row>
    <row r="7" spans="1:15" x14ac:dyDescent="0.2">
      <c r="A7" s="156" t="s">
        <v>29</v>
      </c>
      <c r="B7" s="156"/>
      <c r="C7" s="157">
        <v>282900</v>
      </c>
      <c r="D7" s="158" t="s">
        <v>196</v>
      </c>
      <c r="E7" s="158" t="s">
        <v>199</v>
      </c>
      <c r="F7" s="159">
        <v>-2789053</v>
      </c>
      <c r="G7" s="159">
        <v>-1786353</v>
      </c>
      <c r="H7" s="160">
        <f>G7-F7</f>
        <v>1002700</v>
      </c>
      <c r="I7" s="160"/>
      <c r="J7" s="161">
        <v>-85696277.540000007</v>
      </c>
      <c r="K7" s="159">
        <f>-F7</f>
        <v>2789053</v>
      </c>
      <c r="L7" s="160">
        <f>'DFIT 2017 (Dec 2017)'!K17</f>
        <v>-5614566</v>
      </c>
      <c r="M7" s="161">
        <v>-88521790.540000007</v>
      </c>
      <c r="N7" s="162">
        <f>SUM(J7:L7)-M7</f>
        <v>0</v>
      </c>
      <c r="O7" s="162">
        <f>M7-H7</f>
        <v>-89524490.540000007</v>
      </c>
    </row>
    <row r="8" spans="1:15" x14ac:dyDescent="0.2">
      <c r="A8" s="156" t="s">
        <v>30</v>
      </c>
      <c r="B8" s="156"/>
      <c r="C8" s="157">
        <v>282900</v>
      </c>
      <c r="D8" s="158" t="s">
        <v>196</v>
      </c>
      <c r="E8" s="158" t="s">
        <v>200</v>
      </c>
      <c r="F8" s="159">
        <v>31964</v>
      </c>
      <c r="G8" s="159">
        <v>31964</v>
      </c>
      <c r="H8" s="160">
        <f>G8-F8</f>
        <v>0</v>
      </c>
      <c r="I8" s="160"/>
      <c r="J8" s="161">
        <v>-733442.82</v>
      </c>
      <c r="K8" s="159">
        <f>-F8</f>
        <v>-31964</v>
      </c>
      <c r="L8" s="160">
        <f>'DFIT 2017 (Dec 2017)'!K18</f>
        <v>0</v>
      </c>
      <c r="M8" s="161">
        <v>-765406.82</v>
      </c>
      <c r="N8" s="162">
        <f t="shared" ref="N8:N13" si="0">SUM(J8:L8)-M8</f>
        <v>0</v>
      </c>
      <c r="O8" s="162">
        <f>M8-H8</f>
        <v>-765406.82</v>
      </c>
    </row>
    <row r="9" spans="1:15" x14ac:dyDescent="0.2">
      <c r="A9" s="140" t="s">
        <v>28</v>
      </c>
      <c r="B9" s="163"/>
      <c r="C9" s="157">
        <v>282900</v>
      </c>
      <c r="D9" s="164" t="s">
        <v>197</v>
      </c>
      <c r="E9" s="158" t="s">
        <v>200</v>
      </c>
      <c r="F9" s="159">
        <v>1987530</v>
      </c>
      <c r="G9" s="159">
        <v>1563752</v>
      </c>
      <c r="H9" s="160">
        <f>G9-F9</f>
        <v>-423778</v>
      </c>
      <c r="I9" s="160"/>
      <c r="J9" s="161">
        <v>-544962527.11000001</v>
      </c>
      <c r="K9" s="159">
        <f>-F9</f>
        <v>-1987530</v>
      </c>
      <c r="L9" s="160">
        <f>'DFIT 2017 (Dec 2017)'!K19</f>
        <v>-2292781</v>
      </c>
      <c r="M9" s="161">
        <v>-549242838.11000001</v>
      </c>
      <c r="N9" s="162">
        <f t="shared" si="0"/>
        <v>0</v>
      </c>
      <c r="O9" s="162">
        <f>M9-H9</f>
        <v>-548819060.11000001</v>
      </c>
    </row>
    <row r="10" spans="1:15" x14ac:dyDescent="0.2">
      <c r="A10" s="165" t="s">
        <v>26</v>
      </c>
      <c r="B10" s="156"/>
      <c r="C10" s="157">
        <v>282900</v>
      </c>
      <c r="D10" s="166" t="s">
        <v>198</v>
      </c>
      <c r="E10" s="158" t="s">
        <v>200</v>
      </c>
      <c r="F10" s="159">
        <v>956097</v>
      </c>
      <c r="G10" s="159">
        <v>724164</v>
      </c>
      <c r="H10" s="160">
        <f>G10-F10</f>
        <v>-231933</v>
      </c>
      <c r="I10" s="160"/>
      <c r="J10" s="161">
        <v>-108415974.87</v>
      </c>
      <c r="K10" s="159">
        <f>-F10</f>
        <v>-956097</v>
      </c>
      <c r="L10" s="160">
        <f>'DFIT 2017 (Dec 2017)'!K20</f>
        <v>-591941</v>
      </c>
      <c r="M10" s="161">
        <v>-109964012.87</v>
      </c>
      <c r="N10" s="162">
        <f t="shared" si="0"/>
        <v>0</v>
      </c>
      <c r="O10" s="162">
        <f>M10-H10</f>
        <v>-109732079.87</v>
      </c>
    </row>
    <row r="11" spans="1:15" x14ac:dyDescent="0.2">
      <c r="A11" s="167" t="s">
        <v>47</v>
      </c>
      <c r="B11" s="167"/>
      <c r="C11" s="157">
        <v>282900</v>
      </c>
      <c r="D11" s="167" t="s">
        <v>198</v>
      </c>
      <c r="E11" s="167" t="s">
        <v>201</v>
      </c>
      <c r="F11" s="159">
        <v>1326202</v>
      </c>
      <c r="G11" s="159">
        <v>1289342</v>
      </c>
      <c r="H11" s="160">
        <f>G11-F11</f>
        <v>-36860</v>
      </c>
      <c r="I11" s="160"/>
      <c r="J11" s="161">
        <v>-62877014.090000004</v>
      </c>
      <c r="K11" s="159">
        <f>-F11</f>
        <v>-1326202</v>
      </c>
      <c r="L11" s="160">
        <f>'DFIT 2017 (Dec 2017)'!K21</f>
        <v>-186210</v>
      </c>
      <c r="M11" s="161">
        <v>-64389426.090000004</v>
      </c>
      <c r="N11" s="162">
        <f t="shared" si="0"/>
        <v>0</v>
      </c>
      <c r="O11" s="162">
        <f>M11-H11</f>
        <v>-64352566.090000004</v>
      </c>
    </row>
    <row r="12" spans="1:15" x14ac:dyDescent="0.2">
      <c r="A12" s="158"/>
      <c r="B12" s="158"/>
      <c r="C12" s="168"/>
      <c r="D12" s="168"/>
      <c r="E12" s="168"/>
      <c r="F12" s="168"/>
      <c r="G12" s="168"/>
      <c r="H12" s="168"/>
      <c r="I12" s="168"/>
      <c r="J12" s="160"/>
      <c r="K12" s="160"/>
      <c r="L12" s="160"/>
      <c r="M12" s="169"/>
    </row>
    <row r="13" spans="1:15" x14ac:dyDescent="0.2">
      <c r="A13" s="158" t="s">
        <v>6</v>
      </c>
      <c r="B13" s="167"/>
      <c r="C13" s="167"/>
      <c r="D13" s="167"/>
      <c r="E13" s="167"/>
      <c r="F13" s="170">
        <f>SUM(F7:F12)</f>
        <v>1512740</v>
      </c>
      <c r="G13" s="170">
        <f>SUM(G7:G12)</f>
        <v>1822869</v>
      </c>
      <c r="H13" s="170">
        <f>SUM(H7:H12)</f>
        <v>310129</v>
      </c>
      <c r="I13" s="170"/>
      <c r="J13" s="170">
        <f>SUM(J7:J12)</f>
        <v>-802685236.43000007</v>
      </c>
      <c r="K13" s="170">
        <f>SUM(K7:K12)</f>
        <v>-1512740</v>
      </c>
      <c r="L13" s="170">
        <f>SUM(L7:L12)</f>
        <v>-8685498</v>
      </c>
      <c r="M13" s="167">
        <f>SUM(M7:M12)</f>
        <v>-812883474.43000007</v>
      </c>
      <c r="N13" s="162">
        <f t="shared" si="0"/>
        <v>0</v>
      </c>
      <c r="O13" s="187">
        <f>SUM(O7:O12)</f>
        <v>-813193603.43000007</v>
      </c>
    </row>
    <row r="14" spans="1:15" x14ac:dyDescent="0.2">
      <c r="A14" s="171"/>
      <c r="H14" s="162">
        <f>G13-F13-H13</f>
        <v>0</v>
      </c>
      <c r="I14" s="162"/>
      <c r="K14" s="172"/>
      <c r="L14" s="172"/>
      <c r="M14" s="167"/>
    </row>
    <row r="15" spans="1:15" x14ac:dyDescent="0.2">
      <c r="A15" s="171"/>
      <c r="I15" s="174" t="s">
        <v>213</v>
      </c>
      <c r="J15" s="159">
        <v>-811276309.25999999</v>
      </c>
      <c r="K15" s="172"/>
      <c r="L15" s="172"/>
      <c r="M15" s="173"/>
      <c r="N15" s="174" t="s">
        <v>213</v>
      </c>
      <c r="O15" s="159">
        <v>-813099178.48000002</v>
      </c>
    </row>
    <row r="16" spans="1:15" x14ac:dyDescent="0.2">
      <c r="A16" s="171"/>
      <c r="C16" s="181"/>
      <c r="D16" s="181"/>
      <c r="E16" s="181"/>
      <c r="F16" s="199" t="s">
        <v>206</v>
      </c>
      <c r="G16" s="199"/>
      <c r="H16" s="181"/>
      <c r="I16" s="174" t="s">
        <v>202</v>
      </c>
      <c r="J16" s="177">
        <f>J15-J13</f>
        <v>-8591072.8299999237</v>
      </c>
      <c r="K16" s="162"/>
      <c r="L16" s="162"/>
      <c r="M16" s="173"/>
      <c r="N16" s="174" t="s">
        <v>202</v>
      </c>
      <c r="O16" s="177">
        <f>O15-O13</f>
        <v>94424.950000047684</v>
      </c>
    </row>
    <row r="17" spans="1:15" x14ac:dyDescent="0.2">
      <c r="A17" s="171"/>
      <c r="C17" s="155"/>
      <c r="D17" s="155"/>
      <c r="E17" s="155"/>
      <c r="F17" s="167" t="s">
        <v>36</v>
      </c>
      <c r="G17" s="181">
        <f>H7</f>
        <v>1002700</v>
      </c>
      <c r="H17" s="155"/>
      <c r="I17" s="189" t="s">
        <v>214</v>
      </c>
      <c r="J17" s="177">
        <f>-L13</f>
        <v>8685498</v>
      </c>
      <c r="K17" s="160"/>
      <c r="L17" s="160"/>
      <c r="M17" s="173"/>
      <c r="N17" s="175" t="s">
        <v>216</v>
      </c>
      <c r="O17" s="176">
        <v>-94425</v>
      </c>
    </row>
    <row r="18" spans="1:15" x14ac:dyDescent="0.2">
      <c r="A18" s="171"/>
      <c r="C18" s="155"/>
      <c r="D18" s="155"/>
      <c r="E18" s="177"/>
      <c r="F18" s="167" t="s">
        <v>17</v>
      </c>
      <c r="G18" s="160">
        <f>-G17</f>
        <v>-1002700</v>
      </c>
      <c r="H18" s="183"/>
      <c r="I18" s="175" t="s">
        <v>216</v>
      </c>
      <c r="J18" s="176">
        <v>-94425</v>
      </c>
      <c r="K18" s="160"/>
      <c r="L18" s="160"/>
      <c r="M18" s="177"/>
      <c r="O18" s="188">
        <f>SUM(O16:O17)</f>
        <v>-4.999995231628418E-2</v>
      </c>
    </row>
    <row r="19" spans="1:15" x14ac:dyDescent="0.2">
      <c r="A19" s="178"/>
      <c r="B19" s="178"/>
      <c r="E19" s="177"/>
      <c r="F19" s="167" t="s">
        <v>37</v>
      </c>
      <c r="G19" s="181">
        <f>H8</f>
        <v>0</v>
      </c>
      <c r="H19" s="177"/>
      <c r="I19" s="190" t="s">
        <v>215</v>
      </c>
      <c r="J19" s="177">
        <f>SUM(J16:J18)</f>
        <v>0.17000007629394531</v>
      </c>
      <c r="K19" s="160"/>
      <c r="L19" s="160"/>
      <c r="M19" s="177"/>
    </row>
    <row r="20" spans="1:15" x14ac:dyDescent="0.2">
      <c r="A20" s="179"/>
      <c r="B20" s="178"/>
      <c r="E20" s="177"/>
      <c r="F20" s="167" t="s">
        <v>18</v>
      </c>
      <c r="G20" s="160">
        <f>-G19</f>
        <v>0</v>
      </c>
      <c r="H20" s="167"/>
      <c r="I20" s="160"/>
      <c r="J20" s="155"/>
      <c r="K20" s="160"/>
      <c r="L20" s="160"/>
      <c r="M20" s="177"/>
    </row>
    <row r="21" spans="1:15" x14ac:dyDescent="0.2">
      <c r="A21" s="179"/>
      <c r="B21" s="178"/>
      <c r="E21" s="172"/>
      <c r="F21" s="164" t="s">
        <v>38</v>
      </c>
      <c r="G21" s="181">
        <f>H9</f>
        <v>-423778</v>
      </c>
      <c r="H21" s="172"/>
      <c r="I21" s="172"/>
      <c r="J21" s="155"/>
      <c r="K21" s="180"/>
      <c r="L21" s="180"/>
      <c r="M21" s="177"/>
    </row>
    <row r="22" spans="1:15" x14ac:dyDescent="0.2">
      <c r="A22" s="179"/>
      <c r="B22" s="178"/>
      <c r="E22" s="172"/>
      <c r="F22" s="164" t="s">
        <v>16</v>
      </c>
      <c r="G22" s="160">
        <f>-G21</f>
        <v>423778</v>
      </c>
      <c r="H22" s="167"/>
      <c r="I22" s="160"/>
      <c r="J22" s="155"/>
      <c r="K22" s="181"/>
      <c r="L22" s="181"/>
      <c r="M22" s="141"/>
    </row>
    <row r="23" spans="1:15" s="177" customFormat="1" x14ac:dyDescent="0.2">
      <c r="A23" s="178"/>
      <c r="B23" s="178"/>
      <c r="C23" s="140"/>
      <c r="D23" s="140"/>
      <c r="E23" s="172"/>
      <c r="F23" s="184" t="s">
        <v>39</v>
      </c>
      <c r="G23" s="181">
        <f>H10</f>
        <v>-231933</v>
      </c>
      <c r="H23" s="172"/>
      <c r="I23" s="172"/>
      <c r="J23" s="155"/>
      <c r="K23" s="155"/>
      <c r="L23" s="155"/>
      <c r="M23" s="141"/>
    </row>
    <row r="24" spans="1:15" s="177" customFormat="1" x14ac:dyDescent="0.2">
      <c r="A24" s="182"/>
      <c r="B24" s="178"/>
      <c r="C24" s="140"/>
      <c r="D24" s="140"/>
      <c r="E24" s="172"/>
      <c r="F24" s="184" t="s">
        <v>19</v>
      </c>
      <c r="G24" s="160">
        <f>-G23</f>
        <v>231933</v>
      </c>
      <c r="H24" s="164"/>
      <c r="I24" s="160"/>
      <c r="J24" s="155"/>
      <c r="K24" s="155"/>
      <c r="L24" s="155"/>
      <c r="M24" s="141"/>
    </row>
    <row r="25" spans="1:15" s="177" customFormat="1" x14ac:dyDescent="0.2">
      <c r="A25" s="178"/>
      <c r="B25" s="178"/>
      <c r="C25" s="140"/>
      <c r="D25" s="140"/>
      <c r="E25" s="172"/>
      <c r="F25" s="167" t="s">
        <v>40</v>
      </c>
      <c r="G25" s="181">
        <f>H11</f>
        <v>-36860</v>
      </c>
      <c r="H25" s="172"/>
      <c r="I25" s="172"/>
      <c r="J25" s="155"/>
      <c r="K25" s="155"/>
      <c r="L25" s="155"/>
      <c r="M25" s="141"/>
    </row>
    <row r="26" spans="1:15" s="177" customFormat="1" x14ac:dyDescent="0.2">
      <c r="A26" s="178"/>
      <c r="B26" s="178"/>
      <c r="C26" s="140"/>
      <c r="D26" s="140"/>
      <c r="E26" s="172"/>
      <c r="F26" s="167" t="s">
        <v>24</v>
      </c>
      <c r="G26" s="160">
        <f>-G25</f>
        <v>36860</v>
      </c>
      <c r="H26" s="184"/>
      <c r="I26" s="160"/>
      <c r="J26" s="155"/>
      <c r="K26" s="140"/>
      <c r="L26" s="140"/>
      <c r="M26" s="172"/>
    </row>
    <row r="27" spans="1:15" s="177" customFormat="1" x14ac:dyDescent="0.2">
      <c r="A27" s="178"/>
      <c r="B27" s="178"/>
      <c r="C27" s="140"/>
      <c r="D27" s="140"/>
      <c r="E27" s="172"/>
      <c r="F27" s="186" t="s">
        <v>51</v>
      </c>
      <c r="G27" s="185">
        <f>SUM(G17:G26)</f>
        <v>0</v>
      </c>
      <c r="H27" s="172"/>
      <c r="I27" s="172"/>
      <c r="J27" s="155"/>
      <c r="K27" s="140"/>
      <c r="L27" s="140"/>
      <c r="M27" s="172"/>
    </row>
    <row r="28" spans="1:15" s="172" customFormat="1" x14ac:dyDescent="0.2">
      <c r="A28" s="178"/>
      <c r="B28" s="178"/>
      <c r="C28" s="140"/>
      <c r="D28" s="140"/>
      <c r="F28" s="160"/>
      <c r="G28" s="160"/>
      <c r="H28" s="167"/>
      <c r="I28" s="160"/>
      <c r="J28" s="155"/>
      <c r="K28" s="140"/>
      <c r="L28" s="140"/>
    </row>
    <row r="29" spans="1:15" s="172" customFormat="1" x14ac:dyDescent="0.2">
      <c r="A29" s="178"/>
      <c r="B29" s="178"/>
      <c r="C29" s="140"/>
      <c r="D29" s="140"/>
      <c r="F29" s="155"/>
      <c r="G29" s="155"/>
      <c r="H29" s="160"/>
      <c r="I29" s="160"/>
      <c r="J29" s="155"/>
      <c r="K29" s="140"/>
      <c r="L29" s="140"/>
    </row>
    <row r="30" spans="1:15" s="172" customFormat="1" x14ac:dyDescent="0.2">
      <c r="A30" s="178"/>
      <c r="B30" s="178"/>
      <c r="C30" s="140"/>
      <c r="D30" s="140"/>
      <c r="F30" s="140"/>
      <c r="G30" s="140"/>
      <c r="H30" s="160"/>
      <c r="I30" s="155"/>
      <c r="J30" s="155"/>
      <c r="K30" s="140"/>
      <c r="L30" s="140"/>
    </row>
    <row r="31" spans="1:15" s="172" customFormat="1" x14ac:dyDescent="0.2">
      <c r="A31" s="178"/>
      <c r="B31" s="178"/>
      <c r="C31" s="140"/>
      <c r="D31" s="140"/>
      <c r="E31" s="140"/>
      <c r="F31" s="140"/>
      <c r="G31" s="140"/>
      <c r="H31" s="155"/>
      <c r="I31" s="155"/>
      <c r="J31" s="155"/>
      <c r="K31" s="140"/>
      <c r="L31" s="140"/>
    </row>
    <row r="32" spans="1:15" s="172" customFormat="1" x14ac:dyDescent="0.2">
      <c r="A32" s="155"/>
      <c r="B32" s="155"/>
      <c r="C32" s="140"/>
      <c r="D32" s="140"/>
      <c r="E32" s="140"/>
      <c r="F32" s="140"/>
      <c r="G32" s="140"/>
      <c r="H32" s="140"/>
      <c r="I32" s="140"/>
      <c r="J32" s="140"/>
      <c r="K32" s="140"/>
      <c r="L32" s="140"/>
    </row>
    <row r="33" spans="1:12" s="172" customFormat="1" x14ac:dyDescent="0.2">
      <c r="A33" s="155"/>
      <c r="B33" s="155"/>
      <c r="C33" s="140"/>
      <c r="D33" s="140"/>
      <c r="E33" s="140"/>
      <c r="F33" s="140"/>
      <c r="G33" s="140"/>
      <c r="H33" s="140"/>
      <c r="I33" s="140"/>
      <c r="J33" s="140"/>
      <c r="K33" s="140"/>
      <c r="L33" s="140"/>
    </row>
    <row r="34" spans="1:12" s="172" customFormat="1" x14ac:dyDescent="0.2">
      <c r="A34" s="178"/>
      <c r="B34" s="178"/>
      <c r="C34" s="140"/>
      <c r="D34" s="140"/>
      <c r="E34" s="140"/>
      <c r="F34" s="140"/>
      <c r="G34" s="140"/>
      <c r="H34" s="140"/>
      <c r="I34" s="140"/>
      <c r="J34" s="140"/>
      <c r="K34" s="140"/>
      <c r="L34" s="140"/>
    </row>
    <row r="35" spans="1:12" s="172" customFormat="1" x14ac:dyDescent="0.2">
      <c r="A35" s="178"/>
      <c r="B35" s="178"/>
      <c r="C35" s="140"/>
      <c r="D35" s="140"/>
      <c r="E35" s="140"/>
      <c r="F35" s="140"/>
      <c r="G35" s="140"/>
      <c r="H35" s="140"/>
      <c r="I35" s="140"/>
      <c r="J35" s="140"/>
      <c r="K35" s="140"/>
      <c r="L35" s="140"/>
    </row>
    <row r="36" spans="1:12" s="172" customFormat="1" x14ac:dyDescent="0.2">
      <c r="A36" s="155"/>
      <c r="B36" s="155"/>
      <c r="C36" s="140"/>
      <c r="D36" s="140"/>
      <c r="E36" s="140"/>
      <c r="F36" s="140"/>
      <c r="G36" s="140"/>
      <c r="H36" s="140"/>
      <c r="I36" s="140"/>
      <c r="J36" s="140"/>
      <c r="K36" s="140"/>
      <c r="L36" s="140"/>
    </row>
    <row r="37" spans="1:12" s="172" customFormat="1" x14ac:dyDescent="0.2">
      <c r="A37" s="178"/>
      <c r="B37" s="178"/>
      <c r="C37" s="140"/>
      <c r="D37" s="140"/>
      <c r="E37" s="140"/>
      <c r="F37" s="140"/>
      <c r="G37" s="140"/>
      <c r="H37" s="140"/>
      <c r="I37" s="140"/>
      <c r="J37" s="140"/>
      <c r="K37" s="140"/>
      <c r="L37" s="140"/>
    </row>
    <row r="38" spans="1:12" s="172" customFormat="1" x14ac:dyDescent="0.2">
      <c r="A38" s="155"/>
      <c r="B38" s="155"/>
      <c r="C38" s="140"/>
      <c r="D38" s="140"/>
      <c r="E38" s="140"/>
      <c r="F38" s="140"/>
      <c r="G38" s="140"/>
      <c r="H38" s="140"/>
      <c r="I38" s="140"/>
      <c r="J38" s="140"/>
      <c r="K38" s="140"/>
      <c r="L38" s="140"/>
    </row>
    <row r="39" spans="1:12" s="172" customFormat="1" x14ac:dyDescent="0.2">
      <c r="A39" s="155"/>
      <c r="B39" s="155"/>
      <c r="C39" s="140"/>
      <c r="D39" s="140"/>
      <c r="E39" s="140"/>
      <c r="F39" s="140"/>
      <c r="G39" s="140"/>
      <c r="H39" s="140"/>
      <c r="I39" s="140"/>
      <c r="J39" s="140"/>
      <c r="K39" s="140"/>
      <c r="L39" s="140"/>
    </row>
    <row r="40" spans="1:12" s="172" customFormat="1" x14ac:dyDescent="0.2">
      <c r="A40" s="155"/>
      <c r="B40" s="155"/>
      <c r="C40" s="140"/>
      <c r="D40" s="140"/>
      <c r="E40" s="140"/>
      <c r="F40" s="140"/>
      <c r="G40" s="140"/>
      <c r="H40" s="140"/>
      <c r="I40" s="140"/>
      <c r="J40" s="140"/>
      <c r="K40" s="140"/>
      <c r="L40" s="140"/>
    </row>
    <row r="41" spans="1:12" s="172" customFormat="1" x14ac:dyDescent="0.2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</row>
    <row r="42" spans="1:12" s="172" customFormat="1" x14ac:dyDescent="0.2">
      <c r="A42" s="140"/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</row>
    <row r="43" spans="1:12" s="172" customFormat="1" x14ac:dyDescent="0.2">
      <c r="A43" s="140"/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140"/>
    </row>
    <row r="44" spans="1:12" s="172" customFormat="1" x14ac:dyDescent="0.2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</row>
    <row r="45" spans="1:12" s="172" customFormat="1" x14ac:dyDescent="0.2">
      <c r="A45" s="140"/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</row>
    <row r="46" spans="1:12" s="172" customFormat="1" x14ac:dyDescent="0.2">
      <c r="A46" s="140"/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</row>
    <row r="47" spans="1:12" s="172" customFormat="1" x14ac:dyDescent="0.2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</row>
    <row r="48" spans="1:12" s="172" customFormat="1" x14ac:dyDescent="0.2">
      <c r="A48" s="140"/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</row>
  </sheetData>
  <mergeCells count="1">
    <mergeCell ref="F16:G16"/>
  </mergeCells>
  <pageMargins left="0.7" right="0.7" top="0.75" bottom="0.75" header="0.3" footer="0.3"/>
  <pageSetup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65"/>
  <sheetViews>
    <sheetView zoomScaleNormal="100" workbookViewId="0">
      <pane xSplit="3" topLeftCell="D1" activePane="topRight" state="frozenSplit"/>
      <selection pane="topRight" activeCell="K17" sqref="K17"/>
    </sheetView>
  </sheetViews>
  <sheetFormatPr defaultRowHeight="12.75" x14ac:dyDescent="0.2"/>
  <cols>
    <col min="1" max="1" width="23" style="4" customWidth="1"/>
    <col min="2" max="2" width="1.5703125" style="4" customWidth="1"/>
    <col min="3" max="3" width="25.28515625" style="4" customWidth="1"/>
    <col min="4" max="4" width="16.42578125" style="4" bestFit="1" customWidth="1"/>
    <col min="5" max="5" width="0.85546875" style="4" customWidth="1"/>
    <col min="6" max="6" width="13.85546875" style="5" customWidth="1"/>
    <col min="7" max="7" width="7.28515625" style="5" customWidth="1"/>
    <col min="8" max="8" width="15.28515625" style="5" customWidth="1"/>
    <col min="9" max="9" width="0.85546875" style="2" customWidth="1"/>
    <col min="10" max="10" width="13.7109375" style="5" customWidth="1"/>
    <col min="11" max="11" width="13.5703125" style="5" customWidth="1"/>
    <col min="12" max="12" width="11.85546875" style="5" customWidth="1"/>
    <col min="13" max="13" width="11" style="5" customWidth="1"/>
    <col min="14" max="14" width="2.42578125" style="5" customWidth="1"/>
    <col min="15" max="15" width="16.85546875" style="5" bestFit="1" customWidth="1"/>
    <col min="16" max="16" width="12.28515625" style="6" customWidth="1"/>
    <col min="17" max="17" width="14.7109375" style="6" customWidth="1"/>
    <col min="18" max="18" width="11.7109375" style="6" bestFit="1" customWidth="1"/>
    <col min="19" max="19" width="10.28515625" style="6" bestFit="1" customWidth="1"/>
    <col min="20" max="20" width="11.28515625" style="6" customWidth="1"/>
    <col min="21" max="16384" width="9.140625" style="4"/>
  </cols>
  <sheetData>
    <row r="1" spans="1:20" ht="14.25" thickBot="1" x14ac:dyDescent="0.3">
      <c r="A1" s="3" t="s">
        <v>187</v>
      </c>
      <c r="E1" s="49"/>
      <c r="M1" s="7"/>
      <c r="N1" s="6"/>
      <c r="O1" s="6"/>
      <c r="P1" s="13" t="s">
        <v>82</v>
      </c>
      <c r="Q1" s="117">
        <v>201712</v>
      </c>
      <c r="R1" s="8"/>
      <c r="S1" s="9"/>
      <c r="T1" s="4"/>
    </row>
    <row r="2" spans="1:20" ht="13.5" thickBot="1" x14ac:dyDescent="0.25">
      <c r="A2" s="41" t="s">
        <v>188</v>
      </c>
      <c r="B2" s="10"/>
      <c r="C2" s="11"/>
      <c r="D2" s="11"/>
      <c r="E2" s="54"/>
      <c r="F2" s="23"/>
      <c r="G2" s="23"/>
      <c r="H2" s="23"/>
      <c r="I2" s="23"/>
      <c r="J2" s="4"/>
      <c r="L2" s="4"/>
      <c r="M2" s="4"/>
      <c r="N2" s="12"/>
      <c r="O2" s="114" t="s">
        <v>129</v>
      </c>
      <c r="Q2" s="12"/>
      <c r="R2" s="14"/>
      <c r="S2" s="15"/>
      <c r="T2" s="16"/>
    </row>
    <row r="3" spans="1:20" s="29" customFormat="1" ht="14.25" thickBot="1" x14ac:dyDescent="0.3">
      <c r="A3" s="92"/>
      <c r="B3" s="53"/>
      <c r="C3" s="54"/>
      <c r="D3" s="117">
        <v>201712</v>
      </c>
      <c r="E3" s="54"/>
      <c r="F3" s="23"/>
      <c r="G3" s="23"/>
      <c r="H3" s="23" t="s">
        <v>48</v>
      </c>
      <c r="I3" s="23"/>
      <c r="J3" s="128" t="s">
        <v>186</v>
      </c>
      <c r="K3" s="101" t="s">
        <v>186</v>
      </c>
      <c r="L3" s="18"/>
      <c r="M3" s="96"/>
      <c r="N3" s="39"/>
      <c r="O3" s="96">
        <v>41639</v>
      </c>
      <c r="P3" s="101" t="s">
        <v>185</v>
      </c>
      <c r="Q3" s="96" t="s">
        <v>183</v>
      </c>
      <c r="R3" s="55"/>
      <c r="S3" s="54"/>
      <c r="T3" s="53"/>
    </row>
    <row r="4" spans="1:20" ht="13.5" thickBot="1" x14ac:dyDescent="0.25">
      <c r="A4" s="98" t="s">
        <v>46</v>
      </c>
      <c r="B4" s="17"/>
      <c r="C4" s="20" t="s">
        <v>44</v>
      </c>
      <c r="D4" s="71">
        <v>43100</v>
      </c>
      <c r="E4" s="71"/>
      <c r="F4" s="18" t="s">
        <v>65</v>
      </c>
      <c r="G4" s="18" t="s">
        <v>32</v>
      </c>
      <c r="H4" s="18" t="s">
        <v>34</v>
      </c>
      <c r="I4" s="18"/>
      <c r="J4" s="18" t="s">
        <v>140</v>
      </c>
      <c r="K4" s="18" t="s">
        <v>62</v>
      </c>
      <c r="L4" s="18"/>
      <c r="M4" s="48"/>
      <c r="N4" s="19"/>
      <c r="O4" s="18" t="s">
        <v>130</v>
      </c>
      <c r="P4" s="18" t="s">
        <v>184</v>
      </c>
      <c r="Q4" s="18" t="s">
        <v>119</v>
      </c>
      <c r="R4" s="17"/>
      <c r="S4" s="17"/>
      <c r="T4" s="17"/>
    </row>
    <row r="5" spans="1:20" ht="13.5" thickBot="1" x14ac:dyDescent="0.25">
      <c r="A5" s="21"/>
      <c r="B5" s="21"/>
      <c r="C5" s="50" t="s">
        <v>45</v>
      </c>
      <c r="D5" s="99" t="s">
        <v>53</v>
      </c>
      <c r="E5" s="71"/>
      <c r="F5" s="51" t="s">
        <v>4</v>
      </c>
      <c r="G5" s="51" t="s">
        <v>33</v>
      </c>
      <c r="H5" s="51" t="s">
        <v>65</v>
      </c>
      <c r="I5" s="18"/>
      <c r="J5" s="51" t="s">
        <v>7</v>
      </c>
      <c r="K5" s="51" t="s">
        <v>63</v>
      </c>
      <c r="L5" s="51"/>
      <c r="M5" s="52"/>
      <c r="N5" s="22"/>
      <c r="O5" s="51" t="s">
        <v>132</v>
      </c>
      <c r="P5" s="51" t="s">
        <v>62</v>
      </c>
      <c r="Q5" s="51" t="s">
        <v>56</v>
      </c>
      <c r="R5" s="21"/>
      <c r="S5" s="21"/>
      <c r="T5" s="21"/>
    </row>
    <row r="6" spans="1:20" ht="5.25" customHeight="1" x14ac:dyDescent="0.2">
      <c r="E6" s="49"/>
      <c r="F6" s="23"/>
      <c r="G6" s="23"/>
      <c r="H6" s="23"/>
      <c r="I6" s="23"/>
      <c r="J6" s="23"/>
      <c r="L6" s="23"/>
      <c r="M6" s="7"/>
      <c r="N6" s="8"/>
      <c r="O6" s="9"/>
      <c r="P6" s="9"/>
      <c r="Q6" s="9"/>
      <c r="R6" s="4"/>
      <c r="S6" s="4"/>
      <c r="T6" s="4"/>
    </row>
    <row r="7" spans="1:20" x14ac:dyDescent="0.2">
      <c r="A7" s="25" t="s">
        <v>49</v>
      </c>
      <c r="B7" s="25"/>
      <c r="C7" s="70"/>
      <c r="D7" s="28"/>
      <c r="E7" s="1"/>
      <c r="F7" s="27">
        <v>0</v>
      </c>
      <c r="G7" s="2"/>
      <c r="H7" s="2"/>
      <c r="J7" s="2"/>
      <c r="L7" s="2"/>
      <c r="M7" s="2"/>
      <c r="N7" s="32"/>
      <c r="O7" s="32"/>
      <c r="Q7" s="32"/>
      <c r="R7" s="31"/>
      <c r="S7" s="31"/>
      <c r="T7" s="31"/>
    </row>
    <row r="8" spans="1:20" x14ac:dyDescent="0.2">
      <c r="A8" s="25" t="s">
        <v>9</v>
      </c>
      <c r="B8" s="25"/>
      <c r="C8" s="25" t="s">
        <v>10</v>
      </c>
      <c r="D8" s="2">
        <v>0</v>
      </c>
      <c r="E8" s="1"/>
      <c r="F8"/>
      <c r="G8" s="69"/>
      <c r="H8" s="2">
        <f>-SUM(F8:G8)</f>
        <v>0</v>
      </c>
      <c r="J8"/>
      <c r="K8"/>
      <c r="L8" s="2">
        <f>H8-J8-K8</f>
        <v>0</v>
      </c>
      <c r="M8" s="2">
        <f>L8/(13-MONTH($M$3))</f>
        <v>0</v>
      </c>
      <c r="N8" s="32"/>
      <c r="O8" s="112"/>
      <c r="P8" s="26"/>
      <c r="Q8" s="112"/>
      <c r="R8" s="31"/>
      <c r="S8" s="31"/>
      <c r="T8" s="31"/>
    </row>
    <row r="9" spans="1:20" x14ac:dyDescent="0.2">
      <c r="A9" s="25" t="s">
        <v>9</v>
      </c>
      <c r="B9" s="25"/>
      <c r="C9" s="25" t="s">
        <v>11</v>
      </c>
      <c r="D9" s="2">
        <v>0</v>
      </c>
      <c r="E9" s="1"/>
      <c r="F9"/>
      <c r="G9" s="69"/>
      <c r="H9" s="2">
        <f>-SUM(F9:G9)</f>
        <v>0</v>
      </c>
      <c r="J9"/>
      <c r="K9"/>
      <c r="L9" s="2">
        <f t="shared" ref="L9:L21" si="0">H9-J9-K9</f>
        <v>0</v>
      </c>
      <c r="M9" s="2">
        <f t="shared" ref="M9:M21" si="1">L9/(13-MONTH($M$3))</f>
        <v>0</v>
      </c>
      <c r="N9" s="2"/>
      <c r="O9" s="30"/>
      <c r="P9" s="26"/>
      <c r="Q9" s="30"/>
      <c r="R9" s="25"/>
      <c r="S9" s="25"/>
      <c r="T9" s="25"/>
    </row>
    <row r="10" spans="1:20" x14ac:dyDescent="0.2">
      <c r="A10" s="25" t="s">
        <v>50</v>
      </c>
      <c r="B10" s="25"/>
      <c r="C10" s="70"/>
      <c r="D10" s="2">
        <v>0</v>
      </c>
      <c r="E10" s="1"/>
      <c r="F10"/>
      <c r="G10" s="2"/>
      <c r="H10" s="2"/>
      <c r="J10"/>
      <c r="K10"/>
      <c r="L10" s="2">
        <f t="shared" si="0"/>
        <v>0</v>
      </c>
      <c r="M10" s="2">
        <f t="shared" si="1"/>
        <v>0</v>
      </c>
      <c r="N10" s="32"/>
      <c r="O10" s="112"/>
      <c r="P10" s="26"/>
      <c r="Q10" s="112"/>
      <c r="R10" s="31"/>
      <c r="S10" s="31"/>
      <c r="T10" s="31"/>
    </row>
    <row r="11" spans="1:20" x14ac:dyDescent="0.2">
      <c r="A11" s="25" t="s">
        <v>9</v>
      </c>
      <c r="B11" s="25"/>
      <c r="C11" s="25" t="s">
        <v>13</v>
      </c>
      <c r="D11" s="2">
        <v>0</v>
      </c>
      <c r="E11" s="1"/>
      <c r="F11"/>
      <c r="G11" s="69"/>
      <c r="H11" s="2">
        <f t="shared" ref="H11:H13" si="2">-SUM(F11:G11)</f>
        <v>0</v>
      </c>
      <c r="J11"/>
      <c r="K11"/>
      <c r="L11" s="2">
        <f t="shared" si="0"/>
        <v>0</v>
      </c>
      <c r="M11" s="2">
        <f t="shared" si="1"/>
        <v>0</v>
      </c>
      <c r="N11" s="26"/>
      <c r="O11" s="113"/>
      <c r="P11" s="26"/>
      <c r="Q11" s="113"/>
      <c r="R11" s="25"/>
      <c r="S11" s="25"/>
      <c r="T11" s="25"/>
    </row>
    <row r="12" spans="1:20" x14ac:dyDescent="0.2">
      <c r="A12" s="25" t="s">
        <v>9</v>
      </c>
      <c r="B12" s="25"/>
      <c r="C12" s="25" t="s">
        <v>12</v>
      </c>
      <c r="D12" s="2">
        <v>0</v>
      </c>
      <c r="E12" s="1"/>
      <c r="F12"/>
      <c r="G12" s="69"/>
      <c r="H12" s="2">
        <f t="shared" si="2"/>
        <v>0</v>
      </c>
      <c r="J12"/>
      <c r="K12"/>
      <c r="L12" s="2">
        <f t="shared" si="0"/>
        <v>0</v>
      </c>
      <c r="M12" s="2">
        <f t="shared" si="1"/>
        <v>0</v>
      </c>
      <c r="N12" s="26"/>
      <c r="O12" s="26"/>
      <c r="P12" s="26"/>
      <c r="Q12" s="26"/>
      <c r="R12" s="25"/>
      <c r="S12" s="25"/>
      <c r="T12" s="25"/>
    </row>
    <row r="13" spans="1:20" x14ac:dyDescent="0.2">
      <c r="A13" s="25" t="s">
        <v>9</v>
      </c>
      <c r="B13" s="25"/>
      <c r="C13" s="25" t="s">
        <v>14</v>
      </c>
      <c r="D13" s="2">
        <v>0</v>
      </c>
      <c r="E13" s="1"/>
      <c r="F13" s="27">
        <v>0</v>
      </c>
      <c r="G13" s="2"/>
      <c r="H13" s="2">
        <f t="shared" si="2"/>
        <v>0</v>
      </c>
      <c r="J13"/>
      <c r="K13"/>
      <c r="L13" s="2">
        <f t="shared" si="0"/>
        <v>0</v>
      </c>
      <c r="M13" s="2">
        <f t="shared" si="1"/>
        <v>0</v>
      </c>
      <c r="N13" s="26"/>
      <c r="O13" s="26"/>
      <c r="P13" s="26"/>
      <c r="Q13" s="26"/>
      <c r="R13" s="25"/>
      <c r="S13" s="25"/>
      <c r="T13" s="25"/>
    </row>
    <row r="14" spans="1:20" x14ac:dyDescent="0.2">
      <c r="A14" s="25" t="s">
        <v>2</v>
      </c>
      <c r="B14" s="25"/>
      <c r="C14" s="25" t="s">
        <v>20</v>
      </c>
      <c r="D14" s="94">
        <v>-0.47</v>
      </c>
      <c r="E14" s="1"/>
      <c r="F14" s="27">
        <v>0</v>
      </c>
      <c r="G14" s="2"/>
      <c r="H14" s="2">
        <f>-SUM(F14:G14)</f>
        <v>0</v>
      </c>
      <c r="J14" s="27">
        <f>O14-D14</f>
        <v>0</v>
      </c>
      <c r="K14" s="5">
        <f>H14-J14</f>
        <v>0</v>
      </c>
      <c r="L14" s="2">
        <f>H14-J14-K14</f>
        <v>0</v>
      </c>
      <c r="M14" s="2">
        <f t="shared" si="1"/>
        <v>0</v>
      </c>
      <c r="N14" s="2"/>
      <c r="O14" s="1">
        <f>Q14-P14</f>
        <v>-0.47</v>
      </c>
      <c r="P14" s="26">
        <v>0</v>
      </c>
      <c r="Q14" s="94">
        <v>-0.47</v>
      </c>
      <c r="R14" s="25"/>
      <c r="S14" s="25"/>
      <c r="T14" s="25"/>
    </row>
    <row r="15" spans="1:20" x14ac:dyDescent="0.2">
      <c r="A15" s="25" t="s">
        <v>5</v>
      </c>
      <c r="B15" s="25"/>
      <c r="C15" s="25" t="s">
        <v>22</v>
      </c>
      <c r="D15" s="94">
        <v>0.11</v>
      </c>
      <c r="E15" s="1"/>
      <c r="F15" s="27">
        <v>0</v>
      </c>
      <c r="G15" s="2"/>
      <c r="H15" s="2">
        <f>-SUM(F15:G15)</f>
        <v>0</v>
      </c>
      <c r="J15" s="27">
        <v>0</v>
      </c>
      <c r="K15" s="5">
        <f>H15-J15</f>
        <v>0</v>
      </c>
      <c r="L15" s="2">
        <f t="shared" si="0"/>
        <v>0</v>
      </c>
      <c r="M15" s="2">
        <f t="shared" si="1"/>
        <v>0</v>
      </c>
      <c r="N15" s="2"/>
      <c r="O15" s="1">
        <f t="shared" ref="O15:O21" si="3">Q15-P15</f>
        <v>0.11</v>
      </c>
      <c r="P15" s="26">
        <v>0</v>
      </c>
      <c r="Q15" s="94">
        <v>0.11</v>
      </c>
      <c r="R15" s="25"/>
      <c r="S15" s="25"/>
      <c r="T15" s="25"/>
    </row>
    <row r="16" spans="1:20" x14ac:dyDescent="0.2">
      <c r="A16" s="25" t="s">
        <v>52</v>
      </c>
      <c r="B16" s="25"/>
      <c r="C16" s="25" t="s">
        <v>21</v>
      </c>
      <c r="D16" s="94">
        <v>-0.12</v>
      </c>
      <c r="E16" s="1"/>
      <c r="F16" s="27">
        <v>0</v>
      </c>
      <c r="G16" s="2"/>
      <c r="H16" s="2">
        <f t="shared" ref="H16:H21" si="4">-SUM(F16:G16)</f>
        <v>0</v>
      </c>
      <c r="J16" s="27">
        <f t="shared" ref="J16" si="5">O16-D16</f>
        <v>0</v>
      </c>
      <c r="K16" s="5">
        <f t="shared" ref="K16:K21" si="6">H16-J16</f>
        <v>0</v>
      </c>
      <c r="L16" s="2">
        <f t="shared" si="0"/>
        <v>0</v>
      </c>
      <c r="M16" s="2">
        <f t="shared" si="1"/>
        <v>0</v>
      </c>
      <c r="N16" s="2"/>
      <c r="O16" s="1">
        <f t="shared" si="3"/>
        <v>-0.12</v>
      </c>
      <c r="P16" s="26">
        <v>0</v>
      </c>
      <c r="Q16" s="94">
        <v>-0.12</v>
      </c>
      <c r="R16" s="25"/>
      <c r="S16" s="25"/>
      <c r="T16" s="25"/>
    </row>
    <row r="17" spans="1:20" x14ac:dyDescent="0.2">
      <c r="A17" s="28" t="s">
        <v>29</v>
      </c>
      <c r="B17" s="28"/>
      <c r="C17" s="25" t="s">
        <v>17</v>
      </c>
      <c r="D17" s="94">
        <v>-85696277.540000007</v>
      </c>
      <c r="E17" s="1"/>
      <c r="F17" s="27">
        <v>18832315</v>
      </c>
      <c r="G17" s="2"/>
      <c r="H17" s="2">
        <f t="shared" si="4"/>
        <v>-18832315</v>
      </c>
      <c r="J17" s="27">
        <v>-13217749</v>
      </c>
      <c r="K17" s="5">
        <f>H17-J17</f>
        <v>-5614566</v>
      </c>
      <c r="L17" s="2">
        <f t="shared" si="0"/>
        <v>0</v>
      </c>
      <c r="M17" s="2">
        <f t="shared" si="1"/>
        <v>0</v>
      </c>
      <c r="N17" s="2"/>
      <c r="O17" s="1">
        <f>Q17-P17</f>
        <v>-85696277.540000007</v>
      </c>
      <c r="P17" s="26">
        <v>0</v>
      </c>
      <c r="Q17" s="94">
        <v>-85696277.540000007</v>
      </c>
      <c r="R17" s="25"/>
      <c r="S17" s="25"/>
      <c r="T17" s="25"/>
    </row>
    <row r="18" spans="1:20" x14ac:dyDescent="0.2">
      <c r="A18" s="28" t="s">
        <v>30</v>
      </c>
      <c r="B18" s="28"/>
      <c r="C18" s="25" t="s">
        <v>18</v>
      </c>
      <c r="D18" s="94">
        <v>-733442.82</v>
      </c>
      <c r="E18" s="1"/>
      <c r="F18" s="27">
        <v>54001</v>
      </c>
      <c r="G18" s="2"/>
      <c r="H18" s="2">
        <f t="shared" si="4"/>
        <v>-54001</v>
      </c>
      <c r="J18" s="27">
        <v>-54001</v>
      </c>
      <c r="K18" s="5">
        <f t="shared" si="6"/>
        <v>0</v>
      </c>
      <c r="L18" s="2">
        <f t="shared" si="0"/>
        <v>0</v>
      </c>
      <c r="M18" s="2">
        <f t="shared" si="1"/>
        <v>0</v>
      </c>
      <c r="N18" s="2"/>
      <c r="O18" s="1">
        <f t="shared" si="3"/>
        <v>-733442.82</v>
      </c>
      <c r="P18" s="26">
        <v>0</v>
      </c>
      <c r="Q18" s="94">
        <v>-733442.82</v>
      </c>
      <c r="R18" s="25"/>
      <c r="S18" s="25"/>
      <c r="T18" s="25"/>
    </row>
    <row r="19" spans="1:20" x14ac:dyDescent="0.2">
      <c r="A19" s="4" t="s">
        <v>28</v>
      </c>
      <c r="B19" s="46"/>
      <c r="C19" s="32" t="s">
        <v>16</v>
      </c>
      <c r="D19" s="94">
        <v>-544962527.11000001</v>
      </c>
      <c r="E19" s="2"/>
      <c r="F19" s="27">
        <v>42885464</v>
      </c>
      <c r="G19" s="2"/>
      <c r="H19" s="2">
        <f t="shared" si="4"/>
        <v>-42885464</v>
      </c>
      <c r="J19" s="27">
        <v>-40592683</v>
      </c>
      <c r="K19" s="5">
        <f t="shared" si="6"/>
        <v>-2292781</v>
      </c>
      <c r="L19" s="2">
        <f t="shared" si="0"/>
        <v>0</v>
      </c>
      <c r="M19" s="2">
        <f t="shared" si="1"/>
        <v>0</v>
      </c>
      <c r="N19" s="2"/>
      <c r="O19" s="1">
        <f>Q19-P19</f>
        <v>-544962527.11000001</v>
      </c>
      <c r="P19" s="26">
        <v>0</v>
      </c>
      <c r="Q19" s="94">
        <v>-544962527.11000001</v>
      </c>
      <c r="R19" s="25"/>
      <c r="S19" s="25"/>
      <c r="T19" s="25"/>
    </row>
    <row r="20" spans="1:20" x14ac:dyDescent="0.2">
      <c r="A20" s="47" t="s">
        <v>26</v>
      </c>
      <c r="B20" s="28"/>
      <c r="C20" s="36" t="s">
        <v>19</v>
      </c>
      <c r="D20" s="94">
        <v>-108415974.87</v>
      </c>
      <c r="E20" s="40"/>
      <c r="F20" s="27">
        <v>11813252</v>
      </c>
      <c r="G20" s="2"/>
      <c r="H20" s="2">
        <f t="shared" si="4"/>
        <v>-11813252</v>
      </c>
      <c r="J20" s="27">
        <v>-11221311</v>
      </c>
      <c r="K20" s="5">
        <f t="shared" si="6"/>
        <v>-591941</v>
      </c>
      <c r="L20" s="2">
        <f t="shared" si="0"/>
        <v>0</v>
      </c>
      <c r="M20" s="2">
        <f t="shared" si="1"/>
        <v>0</v>
      </c>
      <c r="N20" s="2"/>
      <c r="O20" s="1">
        <f t="shared" si="3"/>
        <v>-108415974.87</v>
      </c>
      <c r="P20" s="26">
        <v>0</v>
      </c>
      <c r="Q20" s="94">
        <v>-108415974.87</v>
      </c>
      <c r="R20" s="25"/>
      <c r="S20" s="25"/>
      <c r="T20" s="25"/>
    </row>
    <row r="21" spans="1:20" x14ac:dyDescent="0.2">
      <c r="A21" s="26" t="s">
        <v>47</v>
      </c>
      <c r="B21" s="26"/>
      <c r="C21" s="26" t="s">
        <v>24</v>
      </c>
      <c r="D21" s="94">
        <v>-62877014.090000004</v>
      </c>
      <c r="E21" s="1"/>
      <c r="F21" s="27">
        <v>7031268</v>
      </c>
      <c r="G21" s="2"/>
      <c r="H21" s="2">
        <f t="shared" si="4"/>
        <v>-7031268</v>
      </c>
      <c r="J21" s="27">
        <v>-6845058</v>
      </c>
      <c r="K21" s="5">
        <f t="shared" si="6"/>
        <v>-186210</v>
      </c>
      <c r="L21" s="2">
        <f t="shared" si="0"/>
        <v>0</v>
      </c>
      <c r="M21" s="2">
        <f t="shared" si="1"/>
        <v>0</v>
      </c>
      <c r="N21" s="2"/>
      <c r="O21" s="1">
        <f t="shared" si="3"/>
        <v>-62877014.090000004</v>
      </c>
      <c r="P21" s="26">
        <v>0</v>
      </c>
      <c r="Q21" s="94">
        <v>-62877014.090000004</v>
      </c>
      <c r="R21" s="25"/>
      <c r="S21" s="25"/>
      <c r="T21" s="25"/>
    </row>
    <row r="22" spans="1:20" x14ac:dyDescent="0.2">
      <c r="A22" s="25"/>
      <c r="B22" s="25"/>
      <c r="C22" s="35"/>
      <c r="D22" s="2"/>
      <c r="E22" s="72"/>
      <c r="F22" s="2"/>
      <c r="G22" s="2"/>
      <c r="H22" s="2"/>
      <c r="J22" s="2"/>
      <c r="L22" s="2"/>
      <c r="M22" s="2"/>
      <c r="N22" s="26"/>
      <c r="O22" s="129"/>
      <c r="P22" s="26"/>
      <c r="Q22" s="26"/>
      <c r="R22" s="25"/>
      <c r="T22" s="25"/>
    </row>
    <row r="23" spans="1:20" x14ac:dyDescent="0.2">
      <c r="A23" s="25" t="s">
        <v>6</v>
      </c>
      <c r="B23" s="26"/>
      <c r="C23" s="26"/>
      <c r="D23" s="45">
        <f>SUM(D8:D22)</f>
        <v>-802685236.91000009</v>
      </c>
      <c r="E23" s="2"/>
      <c r="F23" s="45">
        <f>SUM(F7:F22)-F7-F10</f>
        <v>80616300</v>
      </c>
      <c r="G23" s="45"/>
      <c r="H23" s="45">
        <f>SUM(H8:H22)</f>
        <v>-80616300</v>
      </c>
      <c r="J23" s="45">
        <f>SUM(J8:J22)</f>
        <v>-71930802</v>
      </c>
      <c r="K23" s="45">
        <f>SUM(K8:K22)</f>
        <v>-8685498</v>
      </c>
      <c r="L23" s="45">
        <f>SUM(L8:L22)</f>
        <v>0</v>
      </c>
      <c r="M23" s="45">
        <f>SUM(M8:M22)</f>
        <v>0</v>
      </c>
      <c r="N23" s="26"/>
      <c r="O23" s="26">
        <f>SUM(O14:O22)</f>
        <v>-802685236.91000009</v>
      </c>
      <c r="P23" s="115"/>
      <c r="Q23" s="115"/>
      <c r="R23" s="25"/>
      <c r="T23" s="25"/>
    </row>
    <row r="24" spans="1:20" x14ac:dyDescent="0.2">
      <c r="A24" s="24" t="s">
        <v>135</v>
      </c>
      <c r="D24" s="26">
        <v>811276310</v>
      </c>
      <c r="E24" s="1"/>
      <c r="F24" s="56">
        <v>80616300</v>
      </c>
      <c r="H24" s="5">
        <f>ROUND(F24+H23,0)</f>
        <v>0</v>
      </c>
      <c r="L24" s="7">
        <f>J23+K23+L23-H23</f>
        <v>0</v>
      </c>
      <c r="M24" s="6">
        <f>(M23*(13-MONTH($M$3))-L23)</f>
        <v>0</v>
      </c>
      <c r="N24" s="6"/>
      <c r="O24" s="26"/>
      <c r="P24" s="2">
        <f>SUM(P8:P22)</f>
        <v>0</v>
      </c>
      <c r="Q24" s="26">
        <f>SUM(Q14:Q22)</f>
        <v>-802685236.91000009</v>
      </c>
      <c r="R24" s="9"/>
      <c r="T24" s="4"/>
    </row>
    <row r="25" spans="1:20" ht="13.5" thickBot="1" x14ac:dyDescent="0.25">
      <c r="A25" s="24"/>
      <c r="D25" s="26"/>
      <c r="K25" s="7"/>
      <c r="L25" s="6"/>
      <c r="M25" s="6"/>
      <c r="N25" s="6"/>
      <c r="O25" s="8"/>
      <c r="P25" s="8"/>
      <c r="Q25" s="8"/>
      <c r="R25" s="9"/>
      <c r="S25" s="25"/>
      <c r="T25" s="4"/>
    </row>
    <row r="26" spans="1:20" ht="13.5" thickBot="1" x14ac:dyDescent="0.25">
      <c r="A26" s="24"/>
      <c r="H26" s="200" t="s">
        <v>190</v>
      </c>
      <c r="I26" s="201"/>
      <c r="J26" s="201"/>
      <c r="K26" s="201"/>
      <c r="L26" s="202"/>
      <c r="M26" s="6"/>
      <c r="O26" s="6"/>
      <c r="R26" s="8"/>
      <c r="S26" s="25"/>
      <c r="T26" s="9"/>
    </row>
    <row r="27" spans="1:20" ht="13.5" thickBot="1" x14ac:dyDescent="0.25">
      <c r="A27" s="24"/>
      <c r="C27" s="127" t="s">
        <v>189</v>
      </c>
      <c r="D27" s="116">
        <f>SUM(D23:D24)</f>
        <v>8591073.0899999142</v>
      </c>
      <c r="H27" s="200" t="s">
        <v>191</v>
      </c>
      <c r="I27" s="201"/>
      <c r="J27" s="201"/>
      <c r="K27" s="201"/>
      <c r="L27" s="202"/>
      <c r="M27" s="7"/>
      <c r="N27" s="6"/>
      <c r="O27"/>
      <c r="R27" s="8"/>
      <c r="S27" s="25"/>
      <c r="T27" s="9"/>
    </row>
    <row r="28" spans="1:20" x14ac:dyDescent="0.2">
      <c r="A28" s="24"/>
      <c r="D28" s="116"/>
      <c r="H28" s="75"/>
      <c r="I28" s="18"/>
      <c r="J28" s="18"/>
      <c r="K28" s="18"/>
      <c r="L28" s="76"/>
      <c r="N28" s="6"/>
      <c r="O28"/>
      <c r="S28" s="8"/>
      <c r="T28" s="8"/>
    </row>
    <row r="29" spans="1:20" x14ac:dyDescent="0.2">
      <c r="A29" s="49"/>
      <c r="B29" s="49"/>
      <c r="C29" s="131" t="s">
        <v>193</v>
      </c>
      <c r="D29" s="130">
        <f>+K23</f>
        <v>-8685498</v>
      </c>
      <c r="E29" s="49"/>
      <c r="F29" s="2"/>
      <c r="H29" s="77" t="s">
        <v>35</v>
      </c>
      <c r="I29" s="38"/>
      <c r="J29" s="38"/>
      <c r="K29" s="20" t="s">
        <v>44</v>
      </c>
      <c r="L29" s="78"/>
      <c r="O29"/>
    </row>
    <row r="30" spans="1:20" ht="13.5" thickBot="1" x14ac:dyDescent="0.25">
      <c r="A30" s="122"/>
      <c r="B30" s="49"/>
      <c r="C30" s="49"/>
      <c r="D30" s="2"/>
      <c r="E30" s="49"/>
      <c r="F30" s="123"/>
      <c r="H30" s="79" t="s">
        <v>42</v>
      </c>
      <c r="I30" s="44"/>
      <c r="J30" s="38"/>
      <c r="K30" s="50" t="s">
        <v>45</v>
      </c>
      <c r="L30" s="78"/>
      <c r="N30" s="34"/>
      <c r="O30"/>
      <c r="P30" s="5"/>
      <c r="Q30" s="5"/>
      <c r="S30" s="7"/>
    </row>
    <row r="31" spans="1:20" x14ac:dyDescent="0.2">
      <c r="A31" s="122"/>
      <c r="B31" s="49"/>
      <c r="C31" s="54" t="s">
        <v>146</v>
      </c>
      <c r="D31" s="2">
        <f>SUM(D27:D29)</f>
        <v>-94424.910000085831</v>
      </c>
      <c r="E31" s="49"/>
      <c r="F31" s="123"/>
      <c r="H31" s="80" t="s">
        <v>38</v>
      </c>
      <c r="I31" s="38"/>
      <c r="J31" s="90">
        <f>-M8</f>
        <v>0</v>
      </c>
      <c r="K31" s="26" t="s">
        <v>10</v>
      </c>
      <c r="L31" s="91">
        <f>M8</f>
        <v>0</v>
      </c>
      <c r="P31" s="5"/>
      <c r="Q31" s="5"/>
      <c r="S31" s="7"/>
    </row>
    <row r="32" spans="1:20" x14ac:dyDescent="0.2">
      <c r="A32" s="122"/>
      <c r="B32" s="49"/>
      <c r="C32" s="54"/>
      <c r="D32" s="2"/>
      <c r="E32" s="49"/>
      <c r="F32" s="123"/>
      <c r="H32" s="80" t="s">
        <v>38</v>
      </c>
      <c r="I32" s="43"/>
      <c r="J32" s="42">
        <f>-M9</f>
        <v>0</v>
      </c>
      <c r="K32" s="26" t="s">
        <v>11</v>
      </c>
      <c r="L32" s="78">
        <f>M9</f>
        <v>0</v>
      </c>
      <c r="P32" s="5"/>
      <c r="Q32" s="5"/>
      <c r="S32" s="7"/>
    </row>
    <row r="33" spans="1:19" x14ac:dyDescent="0.2">
      <c r="A33" s="49"/>
      <c r="B33" s="49"/>
      <c r="C33" s="131" t="s">
        <v>171</v>
      </c>
      <c r="D33" s="130">
        <v>94425</v>
      </c>
      <c r="E33" s="49"/>
      <c r="F33" s="2"/>
      <c r="H33" s="81" t="s">
        <v>15</v>
      </c>
      <c r="I33" s="43"/>
      <c r="J33" s="42">
        <f t="shared" ref="J33:J43" si="7">-M11</f>
        <v>0</v>
      </c>
      <c r="K33" s="26" t="s">
        <v>13</v>
      </c>
      <c r="L33" s="78">
        <f t="shared" ref="L33:L43" si="8">M11</f>
        <v>0</v>
      </c>
      <c r="P33" s="94"/>
      <c r="Q33" s="5"/>
      <c r="S33" s="7"/>
    </row>
    <row r="34" spans="1:19" x14ac:dyDescent="0.2">
      <c r="A34" s="118"/>
      <c r="B34" s="49"/>
      <c r="C34" s="18"/>
      <c r="D34" s="119"/>
      <c r="E34" s="119"/>
      <c r="F34" s="119"/>
      <c r="H34" s="81" t="s">
        <v>15</v>
      </c>
      <c r="I34" s="38"/>
      <c r="J34" s="42">
        <f t="shared" si="7"/>
        <v>0</v>
      </c>
      <c r="K34" s="26" t="s">
        <v>12</v>
      </c>
      <c r="L34" s="78">
        <f t="shared" si="8"/>
        <v>0</v>
      </c>
      <c r="O34" s="93"/>
      <c r="P34" s="94"/>
      <c r="Q34" s="5"/>
      <c r="S34" s="7"/>
    </row>
    <row r="35" spans="1:19" ht="13.5" thickBot="1" x14ac:dyDescent="0.25">
      <c r="A35" s="49"/>
      <c r="B35" s="49"/>
      <c r="C35" s="135" t="s">
        <v>160</v>
      </c>
      <c r="D35" s="133">
        <f>SUM(D31:D33)</f>
        <v>8.9999914169311523E-2</v>
      </c>
      <c r="E35" s="121"/>
      <c r="F35" s="2" t="s">
        <v>182</v>
      </c>
      <c r="H35" s="81" t="s">
        <v>25</v>
      </c>
      <c r="I35" s="38"/>
      <c r="J35" s="42">
        <f t="shared" si="7"/>
        <v>0</v>
      </c>
      <c r="K35" s="26" t="s">
        <v>14</v>
      </c>
      <c r="L35" s="78">
        <f t="shared" si="8"/>
        <v>0</v>
      </c>
      <c r="O35" s="93"/>
      <c r="P35" s="94"/>
      <c r="Q35" s="5"/>
      <c r="S35" s="7"/>
    </row>
    <row r="36" spans="1:19" x14ac:dyDescent="0.2">
      <c r="A36" s="49"/>
      <c r="B36" s="49"/>
      <c r="C36" s="93"/>
      <c r="D36" s="94"/>
      <c r="E36" s="121"/>
      <c r="F36" s="2"/>
      <c r="H36" s="81" t="s">
        <v>41</v>
      </c>
      <c r="I36" s="38"/>
      <c r="J36" s="42">
        <f t="shared" si="7"/>
        <v>0</v>
      </c>
      <c r="K36" s="26" t="s">
        <v>20</v>
      </c>
      <c r="L36" s="78">
        <f t="shared" si="8"/>
        <v>0</v>
      </c>
      <c r="O36" s="93"/>
      <c r="P36" s="94"/>
      <c r="Q36" s="5"/>
      <c r="S36" s="7"/>
    </row>
    <row r="37" spans="1:19" x14ac:dyDescent="0.2">
      <c r="A37" s="49"/>
      <c r="B37" s="49"/>
      <c r="C37" s="93"/>
      <c r="D37" s="94"/>
      <c r="E37" s="121"/>
      <c r="F37" s="2"/>
      <c r="H37" s="81" t="s">
        <v>41</v>
      </c>
      <c r="I37" s="43"/>
      <c r="J37" s="42">
        <f t="shared" si="7"/>
        <v>0</v>
      </c>
      <c r="K37" s="26" t="s">
        <v>22</v>
      </c>
      <c r="L37" s="78">
        <f t="shared" si="8"/>
        <v>0</v>
      </c>
      <c r="O37" s="93"/>
      <c r="P37" s="94"/>
      <c r="Q37" s="5"/>
      <c r="S37" s="7"/>
    </row>
    <row r="38" spans="1:19" x14ac:dyDescent="0.2">
      <c r="A38" s="49"/>
      <c r="B38" s="49"/>
      <c r="C38" s="136"/>
      <c r="D38" s="94"/>
      <c r="E38" s="121"/>
      <c r="F38" s="2"/>
      <c r="H38" s="81" t="s">
        <v>41</v>
      </c>
      <c r="I38" s="38"/>
      <c r="J38" s="42">
        <f t="shared" si="7"/>
        <v>0</v>
      </c>
      <c r="K38" s="26" t="s">
        <v>21</v>
      </c>
      <c r="L38" s="78">
        <f t="shared" si="8"/>
        <v>0</v>
      </c>
      <c r="O38" s="93"/>
      <c r="P38" s="94"/>
      <c r="Q38" s="5"/>
      <c r="S38" s="7"/>
    </row>
    <row r="39" spans="1:19" x14ac:dyDescent="0.2">
      <c r="A39" s="49"/>
      <c r="B39" s="49"/>
      <c r="C39" s="137"/>
      <c r="D39" s="94"/>
      <c r="E39" s="124"/>
      <c r="F39" s="2"/>
      <c r="H39" s="80" t="s">
        <v>36</v>
      </c>
      <c r="I39" s="38"/>
      <c r="J39" s="42">
        <f t="shared" si="7"/>
        <v>0</v>
      </c>
      <c r="K39" s="26" t="s">
        <v>17</v>
      </c>
      <c r="L39" s="78">
        <f t="shared" si="8"/>
        <v>0</v>
      </c>
      <c r="O39" s="93"/>
      <c r="P39" s="94"/>
      <c r="Q39" s="5"/>
      <c r="S39" s="7"/>
    </row>
    <row r="40" spans="1:19" x14ac:dyDescent="0.2">
      <c r="A40" s="49"/>
      <c r="B40" s="49"/>
      <c r="C40" s="40"/>
      <c r="D40" s="94"/>
      <c r="E40" s="94"/>
      <c r="H40" s="80" t="s">
        <v>37</v>
      </c>
      <c r="I40" s="38"/>
      <c r="J40" s="42">
        <f t="shared" si="7"/>
        <v>0</v>
      </c>
      <c r="K40" s="26" t="s">
        <v>18</v>
      </c>
      <c r="L40" s="78">
        <f t="shared" si="8"/>
        <v>0</v>
      </c>
      <c r="O40" s="29"/>
      <c r="P40" s="94"/>
      <c r="Q40" s="5"/>
      <c r="S40" s="7"/>
    </row>
    <row r="41" spans="1:19" x14ac:dyDescent="0.2">
      <c r="A41" s="49"/>
      <c r="B41" s="49"/>
      <c r="C41" s="40"/>
      <c r="D41" s="94"/>
      <c r="E41" s="94"/>
      <c r="H41" s="82" t="s">
        <v>38</v>
      </c>
      <c r="I41" s="38"/>
      <c r="J41" s="42">
        <f t="shared" si="7"/>
        <v>0</v>
      </c>
      <c r="K41" s="32" t="s">
        <v>16</v>
      </c>
      <c r="L41" s="78">
        <f t="shared" si="8"/>
        <v>0</v>
      </c>
      <c r="O41" s="29"/>
      <c r="P41" s="94"/>
      <c r="Q41" s="5"/>
      <c r="S41" s="7"/>
    </row>
    <row r="42" spans="1:19" x14ac:dyDescent="0.2">
      <c r="A42" s="49"/>
      <c r="B42" s="49"/>
      <c r="C42" s="40"/>
      <c r="D42" s="94"/>
      <c r="E42" s="94"/>
      <c r="H42" s="83" t="s">
        <v>39</v>
      </c>
      <c r="I42" s="33"/>
      <c r="J42" s="42">
        <f t="shared" si="7"/>
        <v>0</v>
      </c>
      <c r="K42" s="84" t="s">
        <v>19</v>
      </c>
      <c r="L42" s="78">
        <f t="shared" si="8"/>
        <v>0</v>
      </c>
      <c r="O42" s="4"/>
      <c r="P42" s="116"/>
      <c r="Q42" s="5"/>
      <c r="S42" s="7"/>
    </row>
    <row r="43" spans="1:19" ht="13.5" thickBot="1" x14ac:dyDescent="0.25">
      <c r="A43" s="49"/>
      <c r="B43" s="49"/>
      <c r="C43" s="40"/>
      <c r="D43" s="124"/>
      <c r="E43" s="94"/>
      <c r="H43" s="85" t="s">
        <v>40</v>
      </c>
      <c r="I43" s="86"/>
      <c r="J43" s="87">
        <f t="shared" si="7"/>
        <v>0</v>
      </c>
      <c r="K43" s="88" t="s">
        <v>24</v>
      </c>
      <c r="L43" s="89">
        <f t="shared" si="8"/>
        <v>0</v>
      </c>
      <c r="P43" s="5"/>
      <c r="Q43" s="5"/>
      <c r="S43" s="7"/>
    </row>
    <row r="44" spans="1:19" x14ac:dyDescent="0.2">
      <c r="A44" s="49"/>
      <c r="B44" s="49"/>
      <c r="C44" s="138"/>
      <c r="D44" s="124"/>
      <c r="E44" s="94"/>
      <c r="H44" s="73" t="s">
        <v>51</v>
      </c>
      <c r="I44" s="37"/>
      <c r="J44" s="74">
        <f>SUM(J31:J43)+SUM(L31:L43)</f>
        <v>0</v>
      </c>
      <c r="L44" s="5">
        <f>SUM(L31:L43)</f>
        <v>0</v>
      </c>
      <c r="P44" s="5"/>
      <c r="Q44" s="5"/>
      <c r="S44" s="7"/>
    </row>
    <row r="45" spans="1:19" x14ac:dyDescent="0.2">
      <c r="A45" s="49"/>
      <c r="B45" s="49"/>
      <c r="C45" s="139"/>
      <c r="D45" s="124"/>
      <c r="E45" s="94"/>
      <c r="H45" s="38"/>
      <c r="I45" s="38"/>
      <c r="P45" s="5"/>
      <c r="Q45" s="5"/>
      <c r="S45" s="7"/>
    </row>
    <row r="46" spans="1:19" ht="13.5" thickBot="1" x14ac:dyDescent="0.25">
      <c r="A46" s="49"/>
      <c r="B46" s="49"/>
      <c r="C46" s="49"/>
      <c r="D46" s="124"/>
      <c r="E46" s="94"/>
      <c r="H46" s="38"/>
      <c r="I46" s="38"/>
      <c r="P46" s="5"/>
      <c r="Q46" s="5"/>
      <c r="R46" s="7"/>
    </row>
    <row r="47" spans="1:19" ht="13.5" thickBot="1" x14ac:dyDescent="0.25">
      <c r="A47" s="49"/>
      <c r="B47" s="49"/>
      <c r="C47" s="42"/>
      <c r="D47" s="42"/>
      <c r="E47" s="94"/>
      <c r="H47" s="200" t="s">
        <v>192</v>
      </c>
      <c r="I47" s="201"/>
      <c r="J47" s="201"/>
      <c r="K47" s="201"/>
      <c r="L47" s="202"/>
      <c r="P47" s="5"/>
      <c r="Q47" s="5"/>
      <c r="R47" s="7"/>
    </row>
    <row r="48" spans="1:19" ht="13.5" thickBot="1" x14ac:dyDescent="0.25">
      <c r="A48" s="49"/>
      <c r="B48" s="49"/>
      <c r="C48" s="42"/>
      <c r="D48" s="9"/>
      <c r="E48" s="94"/>
      <c r="H48" s="200" t="s">
        <v>191</v>
      </c>
      <c r="I48" s="201"/>
      <c r="J48" s="201"/>
      <c r="K48" s="201"/>
      <c r="L48" s="202"/>
      <c r="P48" s="5"/>
      <c r="Q48" s="5"/>
      <c r="R48" s="7"/>
    </row>
    <row r="49" spans="1:14" x14ac:dyDescent="0.2">
      <c r="A49" s="49"/>
      <c r="B49" s="49"/>
      <c r="C49" s="9"/>
      <c r="D49" s="9"/>
      <c r="E49" s="29"/>
      <c r="H49" s="75"/>
      <c r="I49" s="18"/>
      <c r="J49" s="18"/>
      <c r="K49" s="18"/>
      <c r="L49" s="76"/>
    </row>
    <row r="50" spans="1:14" x14ac:dyDescent="0.2">
      <c r="A50" s="49"/>
      <c r="B50" s="49"/>
      <c r="C50" s="9"/>
      <c r="D50" s="9"/>
      <c r="E50" s="29"/>
      <c r="H50" s="77" t="s">
        <v>35</v>
      </c>
      <c r="I50" s="38"/>
      <c r="J50" s="38"/>
      <c r="K50" s="20" t="s">
        <v>44</v>
      </c>
      <c r="L50" s="78"/>
    </row>
    <row r="51" spans="1:14" ht="13.5" thickBot="1" x14ac:dyDescent="0.25">
      <c r="A51" s="9"/>
      <c r="B51" s="9"/>
      <c r="C51" s="6"/>
      <c r="D51" s="42"/>
      <c r="H51" s="79" t="s">
        <v>42</v>
      </c>
      <c r="I51" s="44"/>
      <c r="J51" s="38"/>
      <c r="K51" s="50" t="s">
        <v>45</v>
      </c>
      <c r="L51" s="78"/>
    </row>
    <row r="52" spans="1:14" x14ac:dyDescent="0.2">
      <c r="A52" s="49"/>
      <c r="B52" s="49"/>
      <c r="C52" s="6"/>
      <c r="D52" s="42"/>
      <c r="H52" s="80" t="s">
        <v>38</v>
      </c>
      <c r="I52" s="38"/>
      <c r="J52" s="90">
        <f>-K8</f>
        <v>0</v>
      </c>
      <c r="K52" s="26" t="s">
        <v>10</v>
      </c>
      <c r="L52" s="91">
        <f>K8</f>
        <v>0</v>
      </c>
    </row>
    <row r="53" spans="1:14" x14ac:dyDescent="0.2">
      <c r="A53" s="9"/>
      <c r="B53" s="9"/>
      <c r="C53" s="6"/>
      <c r="D53" s="9"/>
      <c r="H53" s="80" t="s">
        <v>38</v>
      </c>
      <c r="I53" s="43"/>
      <c r="J53" s="42">
        <f>-K9</f>
        <v>0</v>
      </c>
      <c r="K53" s="26" t="s">
        <v>11</v>
      </c>
      <c r="L53" s="78">
        <f>K9</f>
        <v>0</v>
      </c>
    </row>
    <row r="54" spans="1:14" x14ac:dyDescent="0.2">
      <c r="A54" s="49"/>
      <c r="B54" s="49"/>
      <c r="C54" s="9"/>
      <c r="D54" s="9"/>
      <c r="H54" s="81" t="s">
        <v>15</v>
      </c>
      <c r="I54" s="43"/>
      <c r="J54" s="42">
        <f>-K11</f>
        <v>0</v>
      </c>
      <c r="K54" s="26" t="s">
        <v>13</v>
      </c>
      <c r="L54" s="78">
        <f>K11</f>
        <v>0</v>
      </c>
    </row>
    <row r="55" spans="1:14" x14ac:dyDescent="0.2">
      <c r="A55" s="9"/>
      <c r="B55" s="9"/>
      <c r="C55" s="42"/>
      <c r="D55" s="9"/>
      <c r="H55" s="81" t="s">
        <v>15</v>
      </c>
      <c r="I55" s="38"/>
      <c r="J55" s="42">
        <f t="shared" ref="J55:J64" si="9">-K12</f>
        <v>0</v>
      </c>
      <c r="K55" s="26" t="s">
        <v>12</v>
      </c>
      <c r="L55" s="78">
        <f t="shared" ref="L55:L64" si="10">K12</f>
        <v>0</v>
      </c>
    </row>
    <row r="56" spans="1:14" x14ac:dyDescent="0.2">
      <c r="A56" s="9"/>
      <c r="B56" s="9"/>
      <c r="C56" s="9"/>
      <c r="D56" s="9"/>
      <c r="H56" s="81" t="s">
        <v>25</v>
      </c>
      <c r="I56" s="38"/>
      <c r="J56" s="42">
        <f t="shared" si="9"/>
        <v>0</v>
      </c>
      <c r="K56" s="26" t="s">
        <v>14</v>
      </c>
      <c r="L56" s="78">
        <f t="shared" si="10"/>
        <v>0</v>
      </c>
    </row>
    <row r="57" spans="1:14" x14ac:dyDescent="0.2">
      <c r="A57" s="9"/>
      <c r="B57" s="9"/>
      <c r="C57" s="6"/>
      <c r="D57" s="9"/>
      <c r="H57" s="81" t="s">
        <v>41</v>
      </c>
      <c r="I57" s="38"/>
      <c r="J57" s="42">
        <f t="shared" si="9"/>
        <v>0</v>
      </c>
      <c r="K57" s="26" t="s">
        <v>20</v>
      </c>
      <c r="L57" s="78">
        <f t="shared" si="10"/>
        <v>0</v>
      </c>
      <c r="N57" s="5">
        <v>-63773.47</v>
      </c>
    </row>
    <row r="58" spans="1:14" x14ac:dyDescent="0.2">
      <c r="H58" s="81" t="s">
        <v>41</v>
      </c>
      <c r="I58" s="43"/>
      <c r="J58" s="42">
        <f t="shared" si="9"/>
        <v>0</v>
      </c>
      <c r="K58" s="26" t="s">
        <v>22</v>
      </c>
      <c r="L58" s="78">
        <f t="shared" si="10"/>
        <v>0</v>
      </c>
    </row>
    <row r="59" spans="1:14" x14ac:dyDescent="0.2">
      <c r="H59" s="81" t="s">
        <v>41</v>
      </c>
      <c r="I59" s="38"/>
      <c r="J59" s="42">
        <f t="shared" si="9"/>
        <v>0</v>
      </c>
      <c r="K59" s="26" t="s">
        <v>21</v>
      </c>
      <c r="L59" s="78">
        <f t="shared" si="10"/>
        <v>0</v>
      </c>
    </row>
    <row r="60" spans="1:14" x14ac:dyDescent="0.2">
      <c r="H60" s="80" t="s">
        <v>36</v>
      </c>
      <c r="I60" s="38"/>
      <c r="J60" s="42">
        <f t="shared" si="9"/>
        <v>5614566</v>
      </c>
      <c r="K60" s="26" t="s">
        <v>17</v>
      </c>
      <c r="L60" s="78">
        <f t="shared" si="10"/>
        <v>-5614566</v>
      </c>
    </row>
    <row r="61" spans="1:14" x14ac:dyDescent="0.2">
      <c r="H61" s="80" t="s">
        <v>37</v>
      </c>
      <c r="I61" s="38"/>
      <c r="J61" s="42">
        <f t="shared" si="9"/>
        <v>0</v>
      </c>
      <c r="K61" s="26" t="s">
        <v>18</v>
      </c>
      <c r="L61" s="78">
        <f t="shared" si="10"/>
        <v>0</v>
      </c>
    </row>
    <row r="62" spans="1:14" x14ac:dyDescent="0.2">
      <c r="H62" s="82" t="s">
        <v>38</v>
      </c>
      <c r="I62" s="38"/>
      <c r="J62" s="42">
        <f>-K19</f>
        <v>2292781</v>
      </c>
      <c r="K62" s="32" t="s">
        <v>16</v>
      </c>
      <c r="L62" s="78">
        <f>K19</f>
        <v>-2292781</v>
      </c>
    </row>
    <row r="63" spans="1:14" x14ac:dyDescent="0.2">
      <c r="H63" s="83" t="s">
        <v>39</v>
      </c>
      <c r="I63" s="33"/>
      <c r="J63" s="42">
        <f t="shared" si="9"/>
        <v>591941</v>
      </c>
      <c r="K63" s="84" t="s">
        <v>19</v>
      </c>
      <c r="L63" s="78">
        <f t="shared" si="10"/>
        <v>-591941</v>
      </c>
    </row>
    <row r="64" spans="1:14" ht="13.5" thickBot="1" x14ac:dyDescent="0.25">
      <c r="H64" s="85" t="s">
        <v>40</v>
      </c>
      <c r="I64" s="86"/>
      <c r="J64" s="87">
        <f t="shared" si="9"/>
        <v>186210</v>
      </c>
      <c r="K64" s="88" t="s">
        <v>24</v>
      </c>
      <c r="L64" s="89">
        <f t="shared" si="10"/>
        <v>-186210</v>
      </c>
    </row>
    <row r="65" spans="8:12" x14ac:dyDescent="0.2">
      <c r="H65" s="73" t="s">
        <v>51</v>
      </c>
      <c r="I65" s="37"/>
      <c r="J65" s="74">
        <f>SUM(J52:J64)+SUM(L52:L64)</f>
        <v>0</v>
      </c>
      <c r="L65" s="5">
        <f>SUM(L52:L64)</f>
        <v>-8685498</v>
      </c>
    </row>
  </sheetData>
  <mergeCells count="4">
    <mergeCell ref="H26:L26"/>
    <mergeCell ref="H27:L27"/>
    <mergeCell ref="H47:L47"/>
    <mergeCell ref="H48:L48"/>
  </mergeCells>
  <conditionalFormatting sqref="M24 H24">
    <cfRule type="cellIs" dxfId="12" priority="1" stopIfTrue="1" operator="notBetween">
      <formula>-1</formula>
      <formula>1</formula>
    </cfRule>
  </conditionalFormatting>
  <pageMargins left="0.7" right="0.7" top="0.75" bottom="0.75" header="0.3" footer="0.3"/>
  <pageSetup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65"/>
  <sheetViews>
    <sheetView topLeftCell="A7" zoomScaleNormal="100" workbookViewId="0">
      <pane xSplit="3" topLeftCell="D1" activePane="topRight" state="frozenSplit"/>
      <selection pane="topRight" activeCell="B56" sqref="B56"/>
    </sheetView>
  </sheetViews>
  <sheetFormatPr defaultRowHeight="12.75" x14ac:dyDescent="0.2"/>
  <cols>
    <col min="1" max="1" width="23" style="4" customWidth="1"/>
    <col min="2" max="2" width="1.5703125" style="4" customWidth="1"/>
    <col min="3" max="3" width="15" style="4" bestFit="1" customWidth="1"/>
    <col min="4" max="4" width="16.42578125" style="4" bestFit="1" customWidth="1"/>
    <col min="5" max="5" width="0.85546875" style="4" customWidth="1"/>
    <col min="6" max="6" width="13.85546875" style="5" customWidth="1"/>
    <col min="7" max="7" width="7.28515625" style="5" customWidth="1"/>
    <col min="8" max="8" width="15.28515625" style="5" customWidth="1"/>
    <col min="9" max="9" width="0.85546875" style="2" customWidth="1"/>
    <col min="10" max="10" width="13.7109375" style="5" customWidth="1"/>
    <col min="11" max="11" width="13.5703125" style="5" customWidth="1"/>
    <col min="12" max="12" width="11.85546875" style="5" customWidth="1"/>
    <col min="13" max="13" width="11" style="5" customWidth="1"/>
    <col min="14" max="14" width="2.42578125" style="5" customWidth="1"/>
    <col min="15" max="15" width="16.85546875" style="5" bestFit="1" customWidth="1"/>
    <col min="16" max="16" width="12.28515625" style="6" customWidth="1"/>
    <col min="17" max="18" width="14.7109375" style="6" customWidth="1"/>
    <col min="19" max="19" width="11.7109375" style="6" bestFit="1" customWidth="1"/>
    <col min="20" max="20" width="10.28515625" style="6" bestFit="1" customWidth="1"/>
    <col min="21" max="21" width="11.28515625" style="6" customWidth="1"/>
    <col min="22" max="16384" width="9.140625" style="4"/>
  </cols>
  <sheetData>
    <row r="1" spans="1:21" ht="14.25" thickBot="1" x14ac:dyDescent="0.3">
      <c r="A1" s="3" t="s">
        <v>168</v>
      </c>
      <c r="E1" s="49"/>
      <c r="M1" s="7"/>
      <c r="N1" s="6"/>
      <c r="O1" s="6"/>
      <c r="P1" s="13" t="s">
        <v>82</v>
      </c>
      <c r="Q1" s="117">
        <v>201612</v>
      </c>
      <c r="R1" s="8"/>
      <c r="S1" s="8"/>
      <c r="T1" s="9"/>
      <c r="U1" s="4"/>
    </row>
    <row r="2" spans="1:21" ht="13.5" thickBot="1" x14ac:dyDescent="0.25">
      <c r="A2" s="41" t="s">
        <v>167</v>
      </c>
      <c r="B2" s="10"/>
      <c r="C2" s="11"/>
      <c r="D2" s="11"/>
      <c r="E2" s="54"/>
      <c r="F2" s="23"/>
      <c r="G2" s="23"/>
      <c r="H2" s="23"/>
      <c r="I2" s="23"/>
      <c r="J2" s="4"/>
      <c r="L2" s="4"/>
      <c r="M2" s="4"/>
      <c r="N2" s="12"/>
      <c r="O2" s="114" t="s">
        <v>129</v>
      </c>
      <c r="Q2" s="12"/>
      <c r="R2" s="13" t="s">
        <v>82</v>
      </c>
      <c r="S2" s="14"/>
      <c r="T2" s="15"/>
      <c r="U2" s="16"/>
    </row>
    <row r="3" spans="1:21" s="29" customFormat="1" ht="14.25" thickBot="1" x14ac:dyDescent="0.3">
      <c r="A3" s="92"/>
      <c r="B3" s="53"/>
      <c r="C3" s="54"/>
      <c r="D3" s="117">
        <v>201612</v>
      </c>
      <c r="E3" s="54"/>
      <c r="F3" s="23"/>
      <c r="G3" s="23"/>
      <c r="H3" s="23" t="s">
        <v>48</v>
      </c>
      <c r="I3" s="23"/>
      <c r="J3" s="128" t="s">
        <v>177</v>
      </c>
      <c r="K3" s="101" t="s">
        <v>177</v>
      </c>
      <c r="L3" s="18"/>
      <c r="M3" s="96"/>
      <c r="N3" s="39"/>
      <c r="O3" s="96">
        <v>41639</v>
      </c>
      <c r="P3" s="101" t="s">
        <v>175</v>
      </c>
      <c r="Q3" s="96" t="s">
        <v>164</v>
      </c>
      <c r="R3" s="18" t="s">
        <v>83</v>
      </c>
      <c r="S3" s="55"/>
      <c r="T3" s="54"/>
      <c r="U3" s="53"/>
    </row>
    <row r="4" spans="1:21" ht="13.5" thickBot="1" x14ac:dyDescent="0.25">
      <c r="A4" s="98" t="s">
        <v>46</v>
      </c>
      <c r="B4" s="17"/>
      <c r="C4" s="20" t="s">
        <v>44</v>
      </c>
      <c r="D4" s="71">
        <v>42735</v>
      </c>
      <c r="E4" s="71"/>
      <c r="F4" s="18" t="s">
        <v>65</v>
      </c>
      <c r="G4" s="18" t="s">
        <v>32</v>
      </c>
      <c r="H4" s="18" t="s">
        <v>34</v>
      </c>
      <c r="I4" s="18"/>
      <c r="J4" s="18" t="s">
        <v>140</v>
      </c>
      <c r="K4" s="18" t="s">
        <v>62</v>
      </c>
      <c r="L4" s="18"/>
      <c r="M4" s="48"/>
      <c r="N4" s="19"/>
      <c r="O4" s="18" t="s">
        <v>130</v>
      </c>
      <c r="P4" s="18" t="s">
        <v>176</v>
      </c>
      <c r="Q4" s="18" t="s">
        <v>119</v>
      </c>
      <c r="R4" s="71">
        <v>41274</v>
      </c>
      <c r="S4" s="17"/>
      <c r="T4" s="17"/>
      <c r="U4" s="17"/>
    </row>
    <row r="5" spans="1:21" ht="13.5" thickBot="1" x14ac:dyDescent="0.25">
      <c r="A5" s="21"/>
      <c r="B5" s="21"/>
      <c r="C5" s="50" t="s">
        <v>45</v>
      </c>
      <c r="D5" s="99" t="s">
        <v>53</v>
      </c>
      <c r="E5" s="71"/>
      <c r="F5" s="51" t="s">
        <v>4</v>
      </c>
      <c r="G5" s="51" t="s">
        <v>33</v>
      </c>
      <c r="H5" s="51" t="s">
        <v>65</v>
      </c>
      <c r="I5" s="18"/>
      <c r="J5" s="51" t="s">
        <v>7</v>
      </c>
      <c r="K5" s="51" t="s">
        <v>63</v>
      </c>
      <c r="L5" s="51"/>
      <c r="M5" s="52"/>
      <c r="N5" s="22"/>
      <c r="O5" s="51" t="s">
        <v>132</v>
      </c>
      <c r="P5" s="51" t="s">
        <v>62</v>
      </c>
      <c r="Q5" s="51" t="s">
        <v>56</v>
      </c>
      <c r="R5" s="99" t="s">
        <v>53</v>
      </c>
      <c r="S5" s="21"/>
      <c r="T5" s="21"/>
      <c r="U5" s="21"/>
    </row>
    <row r="6" spans="1:21" ht="5.25" customHeight="1" x14ac:dyDescent="0.2">
      <c r="E6" s="49"/>
      <c r="F6" s="23"/>
      <c r="G6" s="23"/>
      <c r="H6" s="23"/>
      <c r="I6" s="23"/>
      <c r="J6" s="23"/>
      <c r="L6" s="23"/>
      <c r="M6" s="7"/>
      <c r="N6" s="8"/>
      <c r="O6" s="9"/>
      <c r="P6" s="9"/>
      <c r="Q6" s="9"/>
      <c r="R6" s="9"/>
      <c r="S6" s="4"/>
      <c r="T6" s="4"/>
      <c r="U6" s="4"/>
    </row>
    <row r="7" spans="1:21" x14ac:dyDescent="0.2">
      <c r="A7" s="25" t="s">
        <v>49</v>
      </c>
      <c r="B7" s="25"/>
      <c r="C7" s="70"/>
      <c r="D7" s="28"/>
      <c r="E7" s="1"/>
      <c r="F7" s="27">
        <v>0</v>
      </c>
      <c r="G7" s="2"/>
      <c r="H7" s="2"/>
      <c r="J7" s="2"/>
      <c r="L7" s="2"/>
      <c r="M7" s="2"/>
      <c r="N7" s="32"/>
      <c r="O7" s="32"/>
      <c r="Q7" s="32"/>
      <c r="S7" s="31"/>
      <c r="T7" s="31"/>
      <c r="U7" s="31"/>
    </row>
    <row r="8" spans="1:21" x14ac:dyDescent="0.2">
      <c r="A8" s="25" t="s">
        <v>9</v>
      </c>
      <c r="B8" s="25"/>
      <c r="C8" s="25" t="s">
        <v>10</v>
      </c>
      <c r="D8" s="2">
        <v>0</v>
      </c>
      <c r="E8" s="1"/>
      <c r="F8"/>
      <c r="G8" s="69"/>
      <c r="H8" s="2">
        <f>-SUM(F8:G8)</f>
        <v>0</v>
      </c>
      <c r="J8"/>
      <c r="K8"/>
      <c r="L8" s="2">
        <f>H8-J8-K8</f>
        <v>0</v>
      </c>
      <c r="M8" s="2">
        <f>L8/(13-MONTH($M$3))</f>
        <v>0</v>
      </c>
      <c r="N8" s="32"/>
      <c r="O8" s="112"/>
      <c r="P8" s="26"/>
      <c r="Q8" s="112"/>
      <c r="R8" s="26"/>
      <c r="S8" s="31"/>
      <c r="T8" s="31"/>
      <c r="U8" s="31"/>
    </row>
    <row r="9" spans="1:21" x14ac:dyDescent="0.2">
      <c r="A9" s="25" t="s">
        <v>9</v>
      </c>
      <c r="B9" s="25"/>
      <c r="C9" s="25" t="s">
        <v>11</v>
      </c>
      <c r="D9" s="2">
        <v>0</v>
      </c>
      <c r="E9" s="1"/>
      <c r="F9"/>
      <c r="G9" s="69"/>
      <c r="H9" s="2">
        <f>-SUM(F9:G9)</f>
        <v>0</v>
      </c>
      <c r="J9"/>
      <c r="K9"/>
      <c r="L9" s="2">
        <f t="shared" ref="L9:L21" si="0">H9-J9-K9</f>
        <v>0</v>
      </c>
      <c r="M9" s="2">
        <f t="shared" ref="M9:M21" si="1">L9/(13-MONTH($M$3))</f>
        <v>0</v>
      </c>
      <c r="N9" s="2"/>
      <c r="O9" s="30"/>
      <c r="P9" s="26"/>
      <c r="Q9" s="30"/>
      <c r="R9" s="26"/>
      <c r="S9" s="25"/>
      <c r="T9" s="25"/>
      <c r="U9" s="25"/>
    </row>
    <row r="10" spans="1:21" x14ac:dyDescent="0.2">
      <c r="A10" s="25" t="s">
        <v>50</v>
      </c>
      <c r="B10" s="25"/>
      <c r="C10" s="70"/>
      <c r="D10" s="2">
        <v>0</v>
      </c>
      <c r="E10" s="1"/>
      <c r="F10"/>
      <c r="G10" s="2"/>
      <c r="H10" s="2"/>
      <c r="J10"/>
      <c r="K10"/>
      <c r="L10" s="2">
        <f t="shared" si="0"/>
        <v>0</v>
      </c>
      <c r="M10" s="2">
        <f t="shared" si="1"/>
        <v>0</v>
      </c>
      <c r="N10" s="32"/>
      <c r="O10" s="112"/>
      <c r="P10" s="26"/>
      <c r="Q10" s="112"/>
      <c r="R10" s="26"/>
      <c r="S10" s="31"/>
      <c r="T10" s="31"/>
      <c r="U10" s="31"/>
    </row>
    <row r="11" spans="1:21" x14ac:dyDescent="0.2">
      <c r="A11" s="25" t="s">
        <v>9</v>
      </c>
      <c r="B11" s="25"/>
      <c r="C11" s="25" t="s">
        <v>13</v>
      </c>
      <c r="D11" s="2">
        <v>0</v>
      </c>
      <c r="E11" s="1"/>
      <c r="F11"/>
      <c r="G11" s="69"/>
      <c r="H11" s="2">
        <f t="shared" ref="H11:H13" si="2">-SUM(F11:G11)</f>
        <v>0</v>
      </c>
      <c r="J11"/>
      <c r="K11"/>
      <c r="L11" s="2">
        <f t="shared" si="0"/>
        <v>0</v>
      </c>
      <c r="M11" s="2">
        <f t="shared" si="1"/>
        <v>0</v>
      </c>
      <c r="N11" s="26"/>
      <c r="O11" s="113"/>
      <c r="P11" s="26"/>
      <c r="Q11" s="113"/>
      <c r="R11" s="26"/>
      <c r="S11" s="25"/>
      <c r="T11" s="25"/>
      <c r="U11" s="25"/>
    </row>
    <row r="12" spans="1:21" x14ac:dyDescent="0.2">
      <c r="A12" s="25" t="s">
        <v>9</v>
      </c>
      <c r="B12" s="25"/>
      <c r="C12" s="25" t="s">
        <v>12</v>
      </c>
      <c r="D12" s="2">
        <v>0</v>
      </c>
      <c r="E12" s="1"/>
      <c r="F12"/>
      <c r="G12" s="69"/>
      <c r="H12" s="2">
        <f t="shared" si="2"/>
        <v>0</v>
      </c>
      <c r="J12"/>
      <c r="K12"/>
      <c r="L12" s="2">
        <f t="shared" si="0"/>
        <v>0</v>
      </c>
      <c r="M12" s="2">
        <f t="shared" si="1"/>
        <v>0</v>
      </c>
      <c r="N12" s="26"/>
      <c r="O12" s="26"/>
      <c r="P12" s="26"/>
      <c r="Q12" s="26"/>
      <c r="R12" s="26"/>
      <c r="S12" s="25"/>
      <c r="T12" s="25"/>
      <c r="U12" s="25"/>
    </row>
    <row r="13" spans="1:21" x14ac:dyDescent="0.2">
      <c r="A13" s="25" t="s">
        <v>9</v>
      </c>
      <c r="B13" s="25"/>
      <c r="C13" s="25" t="s">
        <v>14</v>
      </c>
      <c r="D13" s="2">
        <v>0</v>
      </c>
      <c r="E13" s="1"/>
      <c r="F13" s="27">
        <v>0</v>
      </c>
      <c r="G13" s="2"/>
      <c r="H13" s="2">
        <f t="shared" si="2"/>
        <v>0</v>
      </c>
      <c r="J13"/>
      <c r="K13"/>
      <c r="L13" s="2">
        <f t="shared" si="0"/>
        <v>0</v>
      </c>
      <c r="M13" s="2">
        <f t="shared" si="1"/>
        <v>0</v>
      </c>
      <c r="N13" s="26"/>
      <c r="O13" s="26"/>
      <c r="P13" s="26"/>
      <c r="Q13" s="26"/>
      <c r="R13" s="26"/>
      <c r="S13" s="25"/>
      <c r="T13" s="25"/>
      <c r="U13" s="25"/>
    </row>
    <row r="14" spans="1:21" x14ac:dyDescent="0.2">
      <c r="A14" s="25" t="s">
        <v>2</v>
      </c>
      <c r="B14" s="25"/>
      <c r="C14" s="25" t="s">
        <v>20</v>
      </c>
      <c r="D14" s="94">
        <v>-0.47</v>
      </c>
      <c r="E14" s="1"/>
      <c r="F14" s="27">
        <v>0</v>
      </c>
      <c r="G14" s="2"/>
      <c r="H14" s="2">
        <f>-SUM(F14:G14)</f>
        <v>0</v>
      </c>
      <c r="J14" s="27">
        <f>O14-D14</f>
        <v>0</v>
      </c>
      <c r="K14" s="5">
        <f>H14-J14</f>
        <v>0</v>
      </c>
      <c r="L14" s="2">
        <f>H14-J14-K14</f>
        <v>0</v>
      </c>
      <c r="M14" s="2">
        <f t="shared" si="1"/>
        <v>0</v>
      </c>
      <c r="N14" s="2"/>
      <c r="O14" s="1">
        <f>Q14-P14</f>
        <v>-0.47</v>
      </c>
      <c r="P14" s="26">
        <v>0</v>
      </c>
      <c r="Q14" s="94">
        <v>-0.47</v>
      </c>
      <c r="R14" s="26"/>
      <c r="S14" s="25"/>
      <c r="T14" s="25"/>
      <c r="U14" s="25"/>
    </row>
    <row r="15" spans="1:21" x14ac:dyDescent="0.2">
      <c r="A15" s="25" t="s">
        <v>5</v>
      </c>
      <c r="B15" s="25"/>
      <c r="C15" s="25" t="s">
        <v>22</v>
      </c>
      <c r="D15" s="94">
        <v>0.11</v>
      </c>
      <c r="E15" s="1"/>
      <c r="F15" s="27">
        <v>0</v>
      </c>
      <c r="G15" s="2"/>
      <c r="H15" s="2">
        <f>-SUM(F15:G15)</f>
        <v>0</v>
      </c>
      <c r="J15" s="27">
        <v>0</v>
      </c>
      <c r="K15" s="5">
        <f>H15-J15</f>
        <v>0</v>
      </c>
      <c r="L15" s="2">
        <f t="shared" si="0"/>
        <v>0</v>
      </c>
      <c r="M15" s="2">
        <f t="shared" si="1"/>
        <v>0</v>
      </c>
      <c r="N15" s="2"/>
      <c r="O15" s="1">
        <f t="shared" ref="O15:O21" si="3">Q15-P15</f>
        <v>0.11</v>
      </c>
      <c r="P15" s="26">
        <v>0</v>
      </c>
      <c r="Q15" s="94">
        <v>0.11</v>
      </c>
      <c r="R15" s="26"/>
      <c r="S15" s="25"/>
      <c r="T15" s="25"/>
      <c r="U15" s="25"/>
    </row>
    <row r="16" spans="1:21" x14ac:dyDescent="0.2">
      <c r="A16" s="25" t="s">
        <v>52</v>
      </c>
      <c r="B16" s="25"/>
      <c r="C16" s="25" t="s">
        <v>21</v>
      </c>
      <c r="D16" s="94">
        <v>-0.12</v>
      </c>
      <c r="E16" s="1"/>
      <c r="F16" s="27">
        <v>0</v>
      </c>
      <c r="G16" s="2"/>
      <c r="H16" s="2">
        <f t="shared" ref="H16:H21" si="4">-SUM(F16:G16)</f>
        <v>0</v>
      </c>
      <c r="J16" s="27">
        <f t="shared" ref="J16" si="5">O16-D16</f>
        <v>0</v>
      </c>
      <c r="K16" s="5">
        <f t="shared" ref="K16:K21" si="6">H16-J16</f>
        <v>0</v>
      </c>
      <c r="L16" s="2">
        <f t="shared" si="0"/>
        <v>0</v>
      </c>
      <c r="M16" s="2">
        <f t="shared" si="1"/>
        <v>0</v>
      </c>
      <c r="N16" s="2"/>
      <c r="O16" s="1">
        <f t="shared" si="3"/>
        <v>-0.12</v>
      </c>
      <c r="P16" s="26">
        <v>0</v>
      </c>
      <c r="Q16" s="94">
        <v>-0.12</v>
      </c>
      <c r="R16" s="26"/>
      <c r="S16" s="25"/>
      <c r="T16" s="25"/>
      <c r="U16" s="25"/>
    </row>
    <row r="17" spans="1:21" x14ac:dyDescent="0.2">
      <c r="A17" s="28" t="s">
        <v>29</v>
      </c>
      <c r="B17" s="28"/>
      <c r="C17" s="25" t="s">
        <v>17</v>
      </c>
      <c r="D17" s="94">
        <v>-73669371.540000007</v>
      </c>
      <c r="E17" s="1"/>
      <c r="F17" s="27">
        <v>9904320</v>
      </c>
      <c r="G17" s="2"/>
      <c r="H17" s="2">
        <f t="shared" si="4"/>
        <v>-9904320</v>
      </c>
      <c r="J17" s="27">
        <v>-11095163</v>
      </c>
      <c r="K17" s="5">
        <f>H17-J17</f>
        <v>1190843</v>
      </c>
      <c r="L17" s="2">
        <f t="shared" si="0"/>
        <v>0</v>
      </c>
      <c r="M17" s="2">
        <f t="shared" si="1"/>
        <v>0</v>
      </c>
      <c r="N17" s="2"/>
      <c r="O17" s="1">
        <f>Q17-P17</f>
        <v>-73669371.540000007</v>
      </c>
      <c r="P17" s="26">
        <v>0</v>
      </c>
      <c r="Q17" s="94">
        <v>-73669371.540000007</v>
      </c>
      <c r="R17" s="26"/>
      <c r="S17" s="25"/>
      <c r="T17" s="25"/>
      <c r="U17" s="25"/>
    </row>
    <row r="18" spans="1:21" x14ac:dyDescent="0.2">
      <c r="A18" s="28" t="s">
        <v>30</v>
      </c>
      <c r="B18" s="28"/>
      <c r="C18" s="25" t="s">
        <v>18</v>
      </c>
      <c r="D18" s="94">
        <v>-679441.82</v>
      </c>
      <c r="E18" s="1"/>
      <c r="F18" s="27">
        <v>54011</v>
      </c>
      <c r="G18" s="2"/>
      <c r="H18" s="2">
        <f t="shared" si="4"/>
        <v>-54011</v>
      </c>
      <c r="J18" s="27">
        <v>-54011</v>
      </c>
      <c r="K18" s="5">
        <f t="shared" si="6"/>
        <v>0</v>
      </c>
      <c r="L18" s="2">
        <f t="shared" si="0"/>
        <v>0</v>
      </c>
      <c r="M18" s="2">
        <f t="shared" si="1"/>
        <v>0</v>
      </c>
      <c r="N18" s="2"/>
      <c r="O18" s="1">
        <f t="shared" si="3"/>
        <v>-679441.82</v>
      </c>
      <c r="P18" s="26">
        <v>0</v>
      </c>
      <c r="Q18" s="94">
        <v>-679441.82</v>
      </c>
      <c r="R18" s="26"/>
      <c r="S18" s="25"/>
      <c r="T18" s="25"/>
      <c r="U18" s="25"/>
    </row>
    <row r="19" spans="1:21" x14ac:dyDescent="0.2">
      <c r="A19" s="4" t="s">
        <v>28</v>
      </c>
      <c r="B19" s="46"/>
      <c r="C19" s="32" t="s">
        <v>16</v>
      </c>
      <c r="D19" s="94">
        <v>-502903880.11000001</v>
      </c>
      <c r="E19" s="2"/>
      <c r="F19" s="27">
        <v>61463260</v>
      </c>
      <c r="G19" s="2"/>
      <c r="H19" s="2">
        <f t="shared" si="4"/>
        <v>-61463260</v>
      </c>
      <c r="J19" s="27">
        <v>-59996776</v>
      </c>
      <c r="K19" s="5">
        <f t="shared" si="6"/>
        <v>-1466484</v>
      </c>
      <c r="L19" s="2">
        <f t="shared" si="0"/>
        <v>0</v>
      </c>
      <c r="M19" s="2">
        <f t="shared" si="1"/>
        <v>0</v>
      </c>
      <c r="N19" s="2"/>
      <c r="O19" s="1">
        <f>Q19-P19</f>
        <v>-502903880.11000001</v>
      </c>
      <c r="P19" s="26">
        <v>0</v>
      </c>
      <c r="Q19" s="94">
        <v>-502903880.11000001</v>
      </c>
      <c r="R19" s="26"/>
      <c r="S19" s="25"/>
      <c r="T19" s="25"/>
      <c r="U19" s="25"/>
    </row>
    <row r="20" spans="1:21" x14ac:dyDescent="0.2">
      <c r="A20" s="47" t="s">
        <v>26</v>
      </c>
      <c r="B20" s="28"/>
      <c r="C20" s="36" t="s">
        <v>19</v>
      </c>
      <c r="D20" s="94">
        <v>-97625353.870000005</v>
      </c>
      <c r="E20" s="40"/>
      <c r="F20" s="27">
        <v>10334703</v>
      </c>
      <c r="G20" s="2"/>
      <c r="H20" s="2">
        <f t="shared" si="4"/>
        <v>-10334703</v>
      </c>
      <c r="J20" s="27">
        <v>-10765393</v>
      </c>
      <c r="K20" s="5">
        <f t="shared" si="6"/>
        <v>430690</v>
      </c>
      <c r="L20" s="2">
        <f t="shared" si="0"/>
        <v>0</v>
      </c>
      <c r="M20" s="2">
        <f t="shared" si="1"/>
        <v>0</v>
      </c>
      <c r="N20" s="2"/>
      <c r="O20" s="1">
        <f t="shared" si="3"/>
        <v>-97625353.870000005</v>
      </c>
      <c r="P20" s="26">
        <v>0</v>
      </c>
      <c r="Q20" s="94">
        <v>-97625353.870000005</v>
      </c>
      <c r="R20" s="26"/>
      <c r="S20" s="25"/>
      <c r="T20" s="25"/>
      <c r="U20" s="25"/>
    </row>
    <row r="21" spans="1:21" x14ac:dyDescent="0.2">
      <c r="A21" s="26" t="s">
        <v>47</v>
      </c>
      <c r="B21" s="26"/>
      <c r="C21" s="26" t="s">
        <v>24</v>
      </c>
      <c r="D21" s="94">
        <v>-56284073.090000004</v>
      </c>
      <c r="E21" s="1"/>
      <c r="F21" s="27">
        <v>7617213</v>
      </c>
      <c r="G21" s="2"/>
      <c r="H21" s="2">
        <f t="shared" si="4"/>
        <v>-7617213</v>
      </c>
      <c r="J21" s="27">
        <v>-7869330</v>
      </c>
      <c r="K21" s="5">
        <f t="shared" si="6"/>
        <v>252117</v>
      </c>
      <c r="L21" s="2">
        <f t="shared" si="0"/>
        <v>0</v>
      </c>
      <c r="M21" s="2">
        <f t="shared" si="1"/>
        <v>0</v>
      </c>
      <c r="N21" s="2"/>
      <c r="O21" s="1">
        <f t="shared" si="3"/>
        <v>-56284073.090000004</v>
      </c>
      <c r="P21" s="26">
        <v>0</v>
      </c>
      <c r="Q21" s="94">
        <v>-56284073.090000004</v>
      </c>
      <c r="R21" s="26"/>
      <c r="S21" s="25"/>
      <c r="T21" s="25"/>
      <c r="U21" s="25"/>
    </row>
    <row r="22" spans="1:21" x14ac:dyDescent="0.2">
      <c r="A22" s="25"/>
      <c r="B22" s="25"/>
      <c r="C22" s="35"/>
      <c r="D22" s="2"/>
      <c r="E22" s="72"/>
      <c r="F22" s="2"/>
      <c r="G22" s="2"/>
      <c r="H22" s="2"/>
      <c r="J22" s="2"/>
      <c r="L22" s="2"/>
      <c r="M22" s="2"/>
      <c r="N22" s="26"/>
      <c r="O22" s="129"/>
      <c r="P22" s="26"/>
      <c r="Q22" s="26"/>
      <c r="R22" s="26"/>
      <c r="S22" s="25"/>
      <c r="U22" s="25"/>
    </row>
    <row r="23" spans="1:21" x14ac:dyDescent="0.2">
      <c r="A23" s="25" t="s">
        <v>6</v>
      </c>
      <c r="B23" s="26"/>
      <c r="C23" s="26"/>
      <c r="D23" s="45">
        <f>SUM(D8:D22)</f>
        <v>-731162120.91000009</v>
      </c>
      <c r="E23" s="2"/>
      <c r="F23" s="45">
        <f>SUM(F7:F22)-F7-F10</f>
        <v>89373507</v>
      </c>
      <c r="G23" s="45"/>
      <c r="H23" s="45">
        <f>SUM(H8:H22)</f>
        <v>-89373507</v>
      </c>
      <c r="J23" s="45">
        <f>SUM(J8:J22)</f>
        <v>-89780673</v>
      </c>
      <c r="K23" s="45">
        <f>SUM(K8:K22)</f>
        <v>407166</v>
      </c>
      <c r="L23" s="45">
        <f>SUM(L8:L22)</f>
        <v>0</v>
      </c>
      <c r="M23" s="45">
        <f>SUM(M8:M22)</f>
        <v>0</v>
      </c>
      <c r="N23" s="26"/>
      <c r="O23" s="26">
        <f>SUM(O14:O22)</f>
        <v>-731162120.91000009</v>
      </c>
      <c r="P23" s="115"/>
      <c r="Q23" s="115"/>
      <c r="R23" s="45">
        <f>SUM(R8:R22)</f>
        <v>0</v>
      </c>
      <c r="S23" s="25"/>
      <c r="U23" s="25"/>
    </row>
    <row r="24" spans="1:21" x14ac:dyDescent="0.2">
      <c r="A24" s="24" t="s">
        <v>135</v>
      </c>
      <c r="D24" s="26">
        <v>730660009.46000004</v>
      </c>
      <c r="E24" s="1"/>
      <c r="F24" s="56">
        <v>89373507</v>
      </c>
      <c r="H24" s="5">
        <f>ROUND(F24+H23,0)</f>
        <v>0</v>
      </c>
      <c r="L24" s="7">
        <f>J23+K23+L23-H23</f>
        <v>0</v>
      </c>
      <c r="M24" s="6">
        <f>(M23*(13-MONTH($M$3))-L23)</f>
        <v>0</v>
      </c>
      <c r="N24" s="6"/>
      <c r="O24" s="26"/>
      <c r="P24" s="2">
        <f>SUM(P8:P22)</f>
        <v>0</v>
      </c>
      <c r="Q24" s="26">
        <f>SUM(Q14:Q22)</f>
        <v>-731162120.91000009</v>
      </c>
      <c r="R24" s="8"/>
      <c r="S24" s="9"/>
      <c r="U24" s="4"/>
    </row>
    <row r="25" spans="1:21" ht="13.5" thickBot="1" x14ac:dyDescent="0.25">
      <c r="A25" s="24"/>
      <c r="D25" s="26"/>
      <c r="K25" s="7"/>
      <c r="L25" s="6"/>
      <c r="M25" s="6"/>
      <c r="N25" s="6"/>
      <c r="O25" s="8"/>
      <c r="P25" s="8"/>
      <c r="Q25" s="8"/>
      <c r="R25" s="8"/>
      <c r="S25" s="9"/>
      <c r="T25" s="25"/>
      <c r="U25" s="4"/>
    </row>
    <row r="26" spans="1:21" ht="13.5" thickBot="1" x14ac:dyDescent="0.25">
      <c r="A26" s="24"/>
      <c r="H26" s="200" t="s">
        <v>179</v>
      </c>
      <c r="I26" s="201"/>
      <c r="J26" s="201"/>
      <c r="K26" s="201"/>
      <c r="L26" s="202"/>
      <c r="M26" s="6"/>
      <c r="O26" s="6"/>
      <c r="S26" s="8"/>
      <c r="T26" s="25"/>
      <c r="U26" s="9"/>
    </row>
    <row r="27" spans="1:21" ht="13.5" thickBot="1" x14ac:dyDescent="0.25">
      <c r="A27" s="24"/>
      <c r="C27" s="127" t="s">
        <v>178</v>
      </c>
      <c r="D27" s="116">
        <f>SUM(D23:D24)</f>
        <v>-502111.45000004768</v>
      </c>
      <c r="H27" s="200" t="s">
        <v>180</v>
      </c>
      <c r="I27" s="201"/>
      <c r="J27" s="201"/>
      <c r="K27" s="201"/>
      <c r="L27" s="202"/>
      <c r="M27" s="7"/>
      <c r="N27" s="6"/>
      <c r="O27"/>
      <c r="S27" s="8"/>
      <c r="T27" s="25"/>
      <c r="U27" s="9"/>
    </row>
    <row r="28" spans="1:21" x14ac:dyDescent="0.2">
      <c r="A28" s="24"/>
      <c r="D28" s="116"/>
      <c r="H28" s="75"/>
      <c r="I28" s="18"/>
      <c r="J28" s="18"/>
      <c r="K28" s="18"/>
      <c r="L28" s="76"/>
      <c r="N28" s="6"/>
      <c r="O28"/>
      <c r="T28" s="8"/>
      <c r="U28" s="8"/>
    </row>
    <row r="29" spans="1:21" x14ac:dyDescent="0.2">
      <c r="A29" s="49"/>
      <c r="B29" s="49"/>
      <c r="C29" s="131" t="s">
        <v>166</v>
      </c>
      <c r="D29" s="130">
        <f>+K23</f>
        <v>407166</v>
      </c>
      <c r="E29" s="49"/>
      <c r="F29" s="2"/>
      <c r="H29" s="77" t="s">
        <v>35</v>
      </c>
      <c r="I29" s="38"/>
      <c r="J29" s="38"/>
      <c r="K29" s="20" t="s">
        <v>44</v>
      </c>
      <c r="L29" s="78"/>
      <c r="O29"/>
    </row>
    <row r="30" spans="1:21" ht="13.5" thickBot="1" x14ac:dyDescent="0.25">
      <c r="A30" s="122"/>
      <c r="B30" s="49"/>
      <c r="C30" s="49"/>
      <c r="D30" s="2"/>
      <c r="E30" s="49"/>
      <c r="F30" s="123"/>
      <c r="H30" s="79" t="s">
        <v>42</v>
      </c>
      <c r="I30" s="44"/>
      <c r="J30" s="38"/>
      <c r="K30" s="50" t="s">
        <v>45</v>
      </c>
      <c r="L30" s="78"/>
      <c r="N30" s="34"/>
      <c r="O30"/>
      <c r="P30" s="5"/>
      <c r="Q30" s="5"/>
      <c r="R30" s="5"/>
      <c r="T30" s="7"/>
    </row>
    <row r="31" spans="1:21" x14ac:dyDescent="0.2">
      <c r="A31" s="122"/>
      <c r="B31" s="49"/>
      <c r="C31" s="54" t="s">
        <v>146</v>
      </c>
      <c r="D31" s="2">
        <f>SUM(D27:D29)</f>
        <v>-94945.450000047684</v>
      </c>
      <c r="E31" s="49"/>
      <c r="F31" s="123"/>
      <c r="H31" s="80" t="s">
        <v>38</v>
      </c>
      <c r="I31" s="38"/>
      <c r="J31" s="90">
        <f>-M8</f>
        <v>0</v>
      </c>
      <c r="K31" s="26" t="s">
        <v>10</v>
      </c>
      <c r="L31" s="91">
        <f>M8</f>
        <v>0</v>
      </c>
      <c r="P31" s="5"/>
      <c r="Q31" s="5"/>
      <c r="R31" s="5"/>
      <c r="T31" s="7"/>
    </row>
    <row r="32" spans="1:21" x14ac:dyDescent="0.2">
      <c r="A32" s="122"/>
      <c r="B32" s="49"/>
      <c r="C32" s="54"/>
      <c r="D32" s="2"/>
      <c r="E32" s="49"/>
      <c r="F32" s="123"/>
      <c r="H32" s="80" t="s">
        <v>38</v>
      </c>
      <c r="I32" s="43"/>
      <c r="J32" s="42">
        <f>-M9</f>
        <v>0</v>
      </c>
      <c r="K32" s="26" t="s">
        <v>11</v>
      </c>
      <c r="L32" s="78">
        <f>M9</f>
        <v>0</v>
      </c>
      <c r="P32" s="5"/>
      <c r="Q32" s="5"/>
      <c r="R32" s="5"/>
      <c r="T32" s="7"/>
    </row>
    <row r="33" spans="1:20" x14ac:dyDescent="0.2">
      <c r="A33" s="49"/>
      <c r="B33" s="49"/>
      <c r="C33" s="131" t="s">
        <v>171</v>
      </c>
      <c r="D33" s="130">
        <v>94425</v>
      </c>
      <c r="E33" s="49"/>
      <c r="F33" s="2"/>
      <c r="H33" s="81" t="s">
        <v>15</v>
      </c>
      <c r="I33" s="43"/>
      <c r="J33" s="42">
        <f t="shared" ref="J33:J43" si="7">-M11</f>
        <v>0</v>
      </c>
      <c r="K33" s="26" t="s">
        <v>13</v>
      </c>
      <c r="L33" s="78">
        <f t="shared" ref="L33:L43" si="8">M11</f>
        <v>0</v>
      </c>
      <c r="P33" s="94"/>
      <c r="Q33" s="5"/>
      <c r="R33" s="5"/>
      <c r="T33" s="7"/>
    </row>
    <row r="34" spans="1:20" x14ac:dyDescent="0.2">
      <c r="A34" s="118"/>
      <c r="B34" s="49"/>
      <c r="C34" s="18"/>
      <c r="D34" s="119"/>
      <c r="E34" s="119"/>
      <c r="F34" s="119"/>
      <c r="H34" s="81" t="s">
        <v>15</v>
      </c>
      <c r="I34" s="38"/>
      <c r="J34" s="42">
        <f t="shared" si="7"/>
        <v>0</v>
      </c>
      <c r="K34" s="26" t="s">
        <v>12</v>
      </c>
      <c r="L34" s="78">
        <f t="shared" si="8"/>
        <v>0</v>
      </c>
      <c r="O34" s="93"/>
      <c r="P34" s="94"/>
      <c r="Q34" s="5"/>
      <c r="R34" s="5"/>
      <c r="T34" s="7"/>
    </row>
    <row r="35" spans="1:20" ht="13.5" thickBot="1" x14ac:dyDescent="0.25">
      <c r="A35" s="49"/>
      <c r="B35" s="49"/>
      <c r="C35" s="135" t="s">
        <v>160</v>
      </c>
      <c r="D35" s="133">
        <f>SUM(D31:D33)</f>
        <v>-520.45000004768372</v>
      </c>
      <c r="E35" s="121"/>
      <c r="F35" s="2" t="s">
        <v>182</v>
      </c>
      <c r="H35" s="81" t="s">
        <v>25</v>
      </c>
      <c r="I35" s="38"/>
      <c r="J35" s="42">
        <f t="shared" si="7"/>
        <v>0</v>
      </c>
      <c r="K35" s="26" t="s">
        <v>14</v>
      </c>
      <c r="L35" s="78">
        <f t="shared" si="8"/>
        <v>0</v>
      </c>
      <c r="O35" s="93"/>
      <c r="P35" s="94"/>
      <c r="Q35" s="5"/>
      <c r="R35" s="5"/>
      <c r="T35" s="7"/>
    </row>
    <row r="36" spans="1:20" x14ac:dyDescent="0.2">
      <c r="A36" s="49"/>
      <c r="B36" s="49"/>
      <c r="C36" s="93"/>
      <c r="D36" s="94"/>
      <c r="E36" s="121"/>
      <c r="F36" s="2"/>
      <c r="H36" s="81" t="s">
        <v>41</v>
      </c>
      <c r="I36" s="38"/>
      <c r="J36" s="42">
        <f t="shared" si="7"/>
        <v>0</v>
      </c>
      <c r="K36" s="26" t="s">
        <v>20</v>
      </c>
      <c r="L36" s="78">
        <f t="shared" si="8"/>
        <v>0</v>
      </c>
      <c r="O36" s="93"/>
      <c r="P36" s="94"/>
      <c r="Q36" s="5"/>
      <c r="R36" s="5"/>
      <c r="T36" s="7"/>
    </row>
    <row r="37" spans="1:20" x14ac:dyDescent="0.2">
      <c r="A37" s="49"/>
      <c r="B37" s="49"/>
      <c r="C37" s="93"/>
      <c r="D37" s="94"/>
      <c r="E37" s="121"/>
      <c r="F37" s="2"/>
      <c r="H37" s="81" t="s">
        <v>41</v>
      </c>
      <c r="I37" s="43"/>
      <c r="J37" s="42">
        <f t="shared" si="7"/>
        <v>0</v>
      </c>
      <c r="K37" s="26" t="s">
        <v>22</v>
      </c>
      <c r="L37" s="78">
        <f t="shared" si="8"/>
        <v>0</v>
      </c>
      <c r="O37" s="93"/>
      <c r="P37" s="94"/>
      <c r="Q37" s="5"/>
      <c r="R37" s="5"/>
      <c r="T37" s="7"/>
    </row>
    <row r="38" spans="1:20" x14ac:dyDescent="0.2">
      <c r="A38" s="49"/>
      <c r="B38" s="49"/>
      <c r="C38" s="136"/>
      <c r="D38" s="94"/>
      <c r="E38" s="121"/>
      <c r="F38" s="2"/>
      <c r="H38" s="81" t="s">
        <v>41</v>
      </c>
      <c r="I38" s="38"/>
      <c r="J38" s="42">
        <f t="shared" si="7"/>
        <v>0</v>
      </c>
      <c r="K38" s="26" t="s">
        <v>21</v>
      </c>
      <c r="L38" s="78">
        <f t="shared" si="8"/>
        <v>0</v>
      </c>
      <c r="O38" s="93"/>
      <c r="P38" s="94"/>
      <c r="Q38" s="5"/>
      <c r="R38" s="5"/>
      <c r="T38" s="7"/>
    </row>
    <row r="39" spans="1:20" x14ac:dyDescent="0.2">
      <c r="A39" s="49"/>
      <c r="B39" s="49"/>
      <c r="C39" s="137"/>
      <c r="D39" s="94"/>
      <c r="E39" s="124"/>
      <c r="F39" s="2"/>
      <c r="H39" s="80" t="s">
        <v>36</v>
      </c>
      <c r="I39" s="38"/>
      <c r="J39" s="42">
        <f t="shared" si="7"/>
        <v>0</v>
      </c>
      <c r="K39" s="26" t="s">
        <v>17</v>
      </c>
      <c r="L39" s="78">
        <f t="shared" si="8"/>
        <v>0</v>
      </c>
      <c r="O39" s="93"/>
      <c r="P39" s="94"/>
      <c r="Q39" s="5"/>
      <c r="R39" s="5"/>
      <c r="T39" s="7"/>
    </row>
    <row r="40" spans="1:20" x14ac:dyDescent="0.2">
      <c r="A40" s="49"/>
      <c r="B40" s="49"/>
      <c r="C40" s="40"/>
      <c r="D40" s="94"/>
      <c r="E40" s="94"/>
      <c r="H40" s="80" t="s">
        <v>37</v>
      </c>
      <c r="I40" s="38"/>
      <c r="J40" s="42">
        <f t="shared" si="7"/>
        <v>0</v>
      </c>
      <c r="K40" s="26" t="s">
        <v>18</v>
      </c>
      <c r="L40" s="78">
        <f t="shared" si="8"/>
        <v>0</v>
      </c>
      <c r="O40" s="29"/>
      <c r="P40" s="94"/>
      <c r="Q40" s="5"/>
      <c r="R40" s="5"/>
      <c r="T40" s="7"/>
    </row>
    <row r="41" spans="1:20" x14ac:dyDescent="0.2">
      <c r="A41" s="49"/>
      <c r="B41" s="49"/>
      <c r="C41" s="40"/>
      <c r="D41" s="94"/>
      <c r="E41" s="94"/>
      <c r="H41" s="82" t="s">
        <v>38</v>
      </c>
      <c r="I41" s="38"/>
      <c r="J41" s="42">
        <f t="shared" si="7"/>
        <v>0</v>
      </c>
      <c r="K41" s="32" t="s">
        <v>16</v>
      </c>
      <c r="L41" s="78">
        <f t="shared" si="8"/>
        <v>0</v>
      </c>
      <c r="O41" s="29"/>
      <c r="P41" s="94"/>
      <c r="Q41" s="5"/>
      <c r="R41" s="5"/>
      <c r="T41" s="7"/>
    </row>
    <row r="42" spans="1:20" x14ac:dyDescent="0.2">
      <c r="A42" s="49"/>
      <c r="B42" s="49"/>
      <c r="C42" s="40"/>
      <c r="D42" s="94"/>
      <c r="E42" s="94"/>
      <c r="H42" s="83" t="s">
        <v>39</v>
      </c>
      <c r="I42" s="33"/>
      <c r="J42" s="42">
        <f t="shared" si="7"/>
        <v>0</v>
      </c>
      <c r="K42" s="84" t="s">
        <v>19</v>
      </c>
      <c r="L42" s="78">
        <f t="shared" si="8"/>
        <v>0</v>
      </c>
      <c r="O42" s="4"/>
      <c r="P42" s="116"/>
      <c r="Q42" s="5"/>
      <c r="R42" s="5"/>
      <c r="T42" s="7"/>
    </row>
    <row r="43" spans="1:20" ht="13.5" thickBot="1" x14ac:dyDescent="0.25">
      <c r="A43" s="49"/>
      <c r="B43" s="49"/>
      <c r="C43" s="40"/>
      <c r="D43" s="124"/>
      <c r="E43" s="94"/>
      <c r="H43" s="85" t="s">
        <v>40</v>
      </c>
      <c r="I43" s="86"/>
      <c r="J43" s="87">
        <f t="shared" si="7"/>
        <v>0</v>
      </c>
      <c r="K43" s="88" t="s">
        <v>24</v>
      </c>
      <c r="L43" s="89">
        <f t="shared" si="8"/>
        <v>0</v>
      </c>
      <c r="P43" s="5"/>
      <c r="Q43" s="5"/>
      <c r="R43" s="5"/>
      <c r="T43" s="7"/>
    </row>
    <row r="44" spans="1:20" x14ac:dyDescent="0.2">
      <c r="A44" s="49"/>
      <c r="B44" s="49"/>
      <c r="C44" s="138"/>
      <c r="D44" s="124"/>
      <c r="E44" s="94"/>
      <c r="H44" s="73" t="s">
        <v>51</v>
      </c>
      <c r="I44" s="37"/>
      <c r="J44" s="74">
        <f>SUM(J31:J43)+SUM(L31:L43)</f>
        <v>0</v>
      </c>
      <c r="L44" s="5">
        <f>SUM(L31:L43)</f>
        <v>0</v>
      </c>
      <c r="P44" s="5"/>
      <c r="Q44" s="5"/>
      <c r="R44" s="5"/>
      <c r="T44" s="7"/>
    </row>
    <row r="45" spans="1:20" x14ac:dyDescent="0.2">
      <c r="A45" s="49"/>
      <c r="B45" s="49"/>
      <c r="C45" s="139"/>
      <c r="D45" s="124"/>
      <c r="E45" s="94"/>
      <c r="H45" s="38"/>
      <c r="I45" s="38"/>
      <c r="P45" s="5"/>
      <c r="Q45" s="5"/>
      <c r="R45" s="5"/>
      <c r="T45" s="7"/>
    </row>
    <row r="46" spans="1:20" ht="13.5" thickBot="1" x14ac:dyDescent="0.25">
      <c r="A46" s="49"/>
      <c r="B46" s="49"/>
      <c r="C46" s="49"/>
      <c r="D46" s="124"/>
      <c r="E46" s="94"/>
      <c r="H46" s="38"/>
      <c r="I46" s="38"/>
      <c r="P46" s="5"/>
      <c r="Q46" s="5"/>
      <c r="R46" s="5"/>
      <c r="S46" s="7"/>
    </row>
    <row r="47" spans="1:20" ht="13.5" thickBot="1" x14ac:dyDescent="0.25">
      <c r="A47" s="49"/>
      <c r="B47" s="49"/>
      <c r="C47" s="42"/>
      <c r="D47" s="42"/>
      <c r="E47" s="94"/>
      <c r="H47" s="200" t="s">
        <v>181</v>
      </c>
      <c r="I47" s="201"/>
      <c r="J47" s="201"/>
      <c r="K47" s="201"/>
      <c r="L47" s="202"/>
      <c r="P47" s="5"/>
      <c r="Q47" s="5"/>
      <c r="R47" s="5"/>
      <c r="S47" s="7"/>
    </row>
    <row r="48" spans="1:20" ht="13.5" thickBot="1" x14ac:dyDescent="0.25">
      <c r="A48" s="49"/>
      <c r="B48" s="49"/>
      <c r="C48" s="42"/>
      <c r="D48" s="9"/>
      <c r="E48" s="94"/>
      <c r="H48" s="200" t="s">
        <v>180</v>
      </c>
      <c r="I48" s="201"/>
      <c r="J48" s="201"/>
      <c r="K48" s="201"/>
      <c r="L48" s="202"/>
      <c r="P48" s="5"/>
      <c r="Q48" s="5"/>
      <c r="R48" s="5"/>
      <c r="S48" s="7"/>
    </row>
    <row r="49" spans="1:14" x14ac:dyDescent="0.2">
      <c r="A49" s="49"/>
      <c r="B49" s="49"/>
      <c r="C49" s="9"/>
      <c r="D49" s="9"/>
      <c r="E49" s="29"/>
      <c r="H49" s="75"/>
      <c r="I49" s="18"/>
      <c r="J49" s="18"/>
      <c r="K49" s="18"/>
      <c r="L49" s="76"/>
    </row>
    <row r="50" spans="1:14" x14ac:dyDescent="0.2">
      <c r="A50" s="49"/>
      <c r="B50" s="49"/>
      <c r="C50" s="9"/>
      <c r="D50" s="9"/>
      <c r="E50" s="29"/>
      <c r="H50" s="77" t="s">
        <v>35</v>
      </c>
      <c r="I50" s="38"/>
      <c r="J50" s="38"/>
      <c r="K50" s="20" t="s">
        <v>44</v>
      </c>
      <c r="L50" s="78"/>
    </row>
    <row r="51" spans="1:14" ht="13.5" thickBot="1" x14ac:dyDescent="0.25">
      <c r="A51" s="9"/>
      <c r="B51" s="9"/>
      <c r="C51" s="6"/>
      <c r="D51" s="42"/>
      <c r="H51" s="79" t="s">
        <v>42</v>
      </c>
      <c r="I51" s="44"/>
      <c r="J51" s="38"/>
      <c r="K51" s="50" t="s">
        <v>45</v>
      </c>
      <c r="L51" s="78"/>
    </row>
    <row r="52" spans="1:14" x14ac:dyDescent="0.2">
      <c r="A52" s="49"/>
      <c r="B52" s="49"/>
      <c r="C52" s="6"/>
      <c r="D52" s="42"/>
      <c r="H52" s="80" t="s">
        <v>38</v>
      </c>
      <c r="I52" s="38"/>
      <c r="J52" s="90">
        <f>-K8</f>
        <v>0</v>
      </c>
      <c r="K52" s="26" t="s">
        <v>10</v>
      </c>
      <c r="L52" s="91">
        <f>K8</f>
        <v>0</v>
      </c>
    </row>
    <row r="53" spans="1:14" x14ac:dyDescent="0.2">
      <c r="A53" s="9"/>
      <c r="B53" s="9"/>
      <c r="C53" s="6"/>
      <c r="D53" s="9"/>
      <c r="H53" s="80" t="s">
        <v>38</v>
      </c>
      <c r="I53" s="43"/>
      <c r="J53" s="42">
        <f>-K9</f>
        <v>0</v>
      </c>
      <c r="K53" s="26" t="s">
        <v>11</v>
      </c>
      <c r="L53" s="78">
        <f>K9</f>
        <v>0</v>
      </c>
    </row>
    <row r="54" spans="1:14" x14ac:dyDescent="0.2">
      <c r="A54" s="49"/>
      <c r="B54" s="49"/>
      <c r="C54" s="9"/>
      <c r="D54" s="9"/>
      <c r="H54" s="81" t="s">
        <v>15</v>
      </c>
      <c r="I54" s="43"/>
      <c r="J54" s="42">
        <f>-K11</f>
        <v>0</v>
      </c>
      <c r="K54" s="26" t="s">
        <v>13</v>
      </c>
      <c r="L54" s="78">
        <f>K11</f>
        <v>0</v>
      </c>
    </row>
    <row r="55" spans="1:14" x14ac:dyDescent="0.2">
      <c r="A55" s="9"/>
      <c r="B55" s="9"/>
      <c r="C55" s="42"/>
      <c r="D55" s="9"/>
      <c r="H55" s="81" t="s">
        <v>15</v>
      </c>
      <c r="I55" s="38"/>
      <c r="J55" s="42">
        <f t="shared" ref="J55:J64" si="9">-K12</f>
        <v>0</v>
      </c>
      <c r="K55" s="26" t="s">
        <v>12</v>
      </c>
      <c r="L55" s="78">
        <f t="shared" ref="L55:L64" si="10">K12</f>
        <v>0</v>
      </c>
    </row>
    <row r="56" spans="1:14" x14ac:dyDescent="0.2">
      <c r="A56" s="9"/>
      <c r="B56" s="9"/>
      <c r="C56" s="9"/>
      <c r="D56" s="9"/>
      <c r="H56" s="81" t="s">
        <v>25</v>
      </c>
      <c r="I56" s="38"/>
      <c r="J56" s="42">
        <f t="shared" si="9"/>
        <v>0</v>
      </c>
      <c r="K56" s="26" t="s">
        <v>14</v>
      </c>
      <c r="L56" s="78">
        <f t="shared" si="10"/>
        <v>0</v>
      </c>
    </row>
    <row r="57" spans="1:14" x14ac:dyDescent="0.2">
      <c r="A57" s="9"/>
      <c r="B57" s="9"/>
      <c r="C57" s="6"/>
      <c r="D57" s="9"/>
      <c r="H57" s="81" t="s">
        <v>41</v>
      </c>
      <c r="I57" s="38"/>
      <c r="J57" s="42">
        <f t="shared" si="9"/>
        <v>0</v>
      </c>
      <c r="K57" s="26" t="s">
        <v>20</v>
      </c>
      <c r="L57" s="78">
        <f t="shared" si="10"/>
        <v>0</v>
      </c>
      <c r="N57" s="5">
        <v>-63773.47</v>
      </c>
    </row>
    <row r="58" spans="1:14" x14ac:dyDescent="0.2">
      <c r="H58" s="81" t="s">
        <v>41</v>
      </c>
      <c r="I58" s="43"/>
      <c r="J58" s="42">
        <f t="shared" si="9"/>
        <v>0</v>
      </c>
      <c r="K58" s="26" t="s">
        <v>22</v>
      </c>
      <c r="L58" s="78">
        <f t="shared" si="10"/>
        <v>0</v>
      </c>
    </row>
    <row r="59" spans="1:14" x14ac:dyDescent="0.2">
      <c r="H59" s="81" t="s">
        <v>41</v>
      </c>
      <c r="I59" s="38"/>
      <c r="J59" s="42">
        <f t="shared" si="9"/>
        <v>0</v>
      </c>
      <c r="K59" s="26" t="s">
        <v>21</v>
      </c>
      <c r="L59" s="78">
        <f t="shared" si="10"/>
        <v>0</v>
      </c>
    </row>
    <row r="60" spans="1:14" x14ac:dyDescent="0.2">
      <c r="H60" s="80" t="s">
        <v>36</v>
      </c>
      <c r="I60" s="38"/>
      <c r="J60" s="42">
        <f t="shared" si="9"/>
        <v>-1190843</v>
      </c>
      <c r="K60" s="26" t="s">
        <v>17</v>
      </c>
      <c r="L60" s="78">
        <f t="shared" si="10"/>
        <v>1190843</v>
      </c>
    </row>
    <row r="61" spans="1:14" x14ac:dyDescent="0.2">
      <c r="H61" s="80" t="s">
        <v>37</v>
      </c>
      <c r="I61" s="38"/>
      <c r="J61" s="42">
        <f t="shared" si="9"/>
        <v>0</v>
      </c>
      <c r="K61" s="26" t="s">
        <v>18</v>
      </c>
      <c r="L61" s="78">
        <f t="shared" si="10"/>
        <v>0</v>
      </c>
    </row>
    <row r="62" spans="1:14" x14ac:dyDescent="0.2">
      <c r="H62" s="82" t="s">
        <v>38</v>
      </c>
      <c r="I62" s="38"/>
      <c r="J62" s="42">
        <f>-K19-520</f>
        <v>1465964</v>
      </c>
      <c r="K62" s="32" t="s">
        <v>16</v>
      </c>
      <c r="L62" s="78">
        <f>K19+520</f>
        <v>-1465964</v>
      </c>
    </row>
    <row r="63" spans="1:14" x14ac:dyDescent="0.2">
      <c r="H63" s="83" t="s">
        <v>39</v>
      </c>
      <c r="I63" s="33"/>
      <c r="J63" s="42">
        <f t="shared" si="9"/>
        <v>-430690</v>
      </c>
      <c r="K63" s="84" t="s">
        <v>19</v>
      </c>
      <c r="L63" s="78">
        <f t="shared" si="10"/>
        <v>430690</v>
      </c>
    </row>
    <row r="64" spans="1:14" ht="13.5" thickBot="1" x14ac:dyDescent="0.25">
      <c r="H64" s="85" t="s">
        <v>40</v>
      </c>
      <c r="I64" s="86"/>
      <c r="J64" s="87">
        <f t="shared" si="9"/>
        <v>-252117</v>
      </c>
      <c r="K64" s="88" t="s">
        <v>24</v>
      </c>
      <c r="L64" s="89">
        <f t="shared" si="10"/>
        <v>252117</v>
      </c>
    </row>
    <row r="65" spans="8:12" x14ac:dyDescent="0.2">
      <c r="H65" s="73" t="s">
        <v>51</v>
      </c>
      <c r="I65" s="37"/>
      <c r="J65" s="74">
        <f>SUM(J52:J64)+SUM(L52:L64)</f>
        <v>0</v>
      </c>
      <c r="L65" s="5">
        <f>SUM(L52:L64)</f>
        <v>407686</v>
      </c>
    </row>
  </sheetData>
  <mergeCells count="4">
    <mergeCell ref="H26:L26"/>
    <mergeCell ref="H27:L27"/>
    <mergeCell ref="H47:L47"/>
    <mergeCell ref="H48:L48"/>
  </mergeCells>
  <conditionalFormatting sqref="M24 H24">
    <cfRule type="cellIs" dxfId="11" priority="1" stopIfTrue="1" operator="notBetween">
      <formula>-1</formula>
      <formula>1</formula>
    </cfRule>
  </conditionalFormatting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65"/>
  <sheetViews>
    <sheetView zoomScaleNormal="100" workbookViewId="0">
      <pane xSplit="3" topLeftCell="D1" activePane="topRight" state="frozenSplit"/>
      <selection pane="topRight" activeCell="Q35" sqref="Q35"/>
    </sheetView>
  </sheetViews>
  <sheetFormatPr defaultRowHeight="12.75" x14ac:dyDescent="0.2"/>
  <cols>
    <col min="1" max="1" width="23" style="4" customWidth="1"/>
    <col min="2" max="2" width="1.5703125" style="4" customWidth="1"/>
    <col min="3" max="3" width="15" style="4" bestFit="1" customWidth="1"/>
    <col min="4" max="4" width="16.42578125" style="4" bestFit="1" customWidth="1"/>
    <col min="5" max="5" width="0.85546875" style="4" customWidth="1"/>
    <col min="6" max="6" width="13.85546875" style="5" customWidth="1"/>
    <col min="7" max="7" width="7.28515625" style="5" customWidth="1"/>
    <col min="8" max="8" width="15.28515625" style="5" customWidth="1"/>
    <col min="9" max="9" width="0.85546875" style="2" customWidth="1"/>
    <col min="10" max="10" width="13.7109375" style="5" customWidth="1"/>
    <col min="11" max="11" width="13.5703125" style="5" customWidth="1"/>
    <col min="12" max="12" width="11.85546875" style="5" customWidth="1"/>
    <col min="13" max="13" width="11" style="5" customWidth="1"/>
    <col min="14" max="14" width="2.42578125" style="5" customWidth="1"/>
    <col min="15" max="15" width="16.85546875" style="5" bestFit="1" customWidth="1"/>
    <col min="16" max="16" width="12.28515625" style="6" customWidth="1"/>
    <col min="17" max="18" width="14.7109375" style="6" customWidth="1"/>
    <col min="19" max="19" width="11.7109375" style="6" bestFit="1" customWidth="1"/>
    <col min="20" max="20" width="10.28515625" style="6" bestFit="1" customWidth="1"/>
    <col min="21" max="21" width="11.28515625" style="6" customWidth="1"/>
    <col min="22" max="16384" width="9.140625" style="4"/>
  </cols>
  <sheetData>
    <row r="1" spans="1:21" ht="14.25" thickBot="1" x14ac:dyDescent="0.3">
      <c r="A1" s="3" t="s">
        <v>168</v>
      </c>
      <c r="E1" s="49"/>
      <c r="M1" s="7"/>
      <c r="N1" s="6"/>
      <c r="O1" s="6"/>
      <c r="P1" s="13" t="s">
        <v>82</v>
      </c>
      <c r="Q1" s="117">
        <v>201512</v>
      </c>
      <c r="R1" s="8"/>
      <c r="S1" s="8"/>
      <c r="T1" s="9"/>
      <c r="U1" s="4"/>
    </row>
    <row r="2" spans="1:21" ht="13.5" thickBot="1" x14ac:dyDescent="0.25">
      <c r="A2" s="41" t="s">
        <v>167</v>
      </c>
      <c r="B2" s="10"/>
      <c r="C2" s="11"/>
      <c r="D2" s="11"/>
      <c r="E2" s="54"/>
      <c r="F2" s="23"/>
      <c r="G2" s="23"/>
      <c r="H2" s="23"/>
      <c r="I2" s="23"/>
      <c r="J2" s="4"/>
      <c r="L2" s="4"/>
      <c r="M2" s="4"/>
      <c r="N2" s="12"/>
      <c r="O2" s="114" t="s">
        <v>129</v>
      </c>
      <c r="Q2" s="12"/>
      <c r="R2" s="13" t="s">
        <v>82</v>
      </c>
      <c r="S2" s="14"/>
      <c r="T2" s="15"/>
      <c r="U2" s="16"/>
    </row>
    <row r="3" spans="1:21" s="29" customFormat="1" ht="14.25" thickBot="1" x14ac:dyDescent="0.3">
      <c r="A3" s="92"/>
      <c r="B3" s="53"/>
      <c r="C3" s="54"/>
      <c r="D3" s="117">
        <v>201512</v>
      </c>
      <c r="E3" s="54"/>
      <c r="F3" s="23"/>
      <c r="G3" s="23"/>
      <c r="H3" s="23" t="s">
        <v>48</v>
      </c>
      <c r="I3" s="23"/>
      <c r="J3" s="128" t="s">
        <v>161</v>
      </c>
      <c r="K3" s="101" t="s">
        <v>161</v>
      </c>
      <c r="L3" s="18"/>
      <c r="M3" s="96"/>
      <c r="N3" s="39"/>
      <c r="O3" s="96">
        <v>41639</v>
      </c>
      <c r="P3" s="101" t="s">
        <v>162</v>
      </c>
      <c r="Q3" s="96" t="s">
        <v>164</v>
      </c>
      <c r="R3" s="18" t="s">
        <v>83</v>
      </c>
      <c r="S3" s="55"/>
      <c r="T3" s="54"/>
      <c r="U3" s="53"/>
    </row>
    <row r="4" spans="1:21" ht="13.5" thickBot="1" x14ac:dyDescent="0.25">
      <c r="A4" s="98" t="s">
        <v>46</v>
      </c>
      <c r="B4" s="17"/>
      <c r="C4" s="20" t="s">
        <v>44</v>
      </c>
      <c r="D4" s="71">
        <v>42369</v>
      </c>
      <c r="E4" s="71"/>
      <c r="F4" s="18" t="s">
        <v>65</v>
      </c>
      <c r="G4" s="18" t="s">
        <v>32</v>
      </c>
      <c r="H4" s="18" t="s">
        <v>34</v>
      </c>
      <c r="I4" s="18"/>
      <c r="J4" s="18" t="s">
        <v>140</v>
      </c>
      <c r="K4" s="18" t="s">
        <v>62</v>
      </c>
      <c r="L4" s="18"/>
      <c r="M4" s="48"/>
      <c r="N4" s="19"/>
      <c r="O4" s="18" t="s">
        <v>130</v>
      </c>
      <c r="P4" s="18" t="s">
        <v>163</v>
      </c>
      <c r="Q4" s="18" t="s">
        <v>119</v>
      </c>
      <c r="R4" s="71">
        <v>41274</v>
      </c>
      <c r="S4" s="17"/>
      <c r="T4" s="17"/>
      <c r="U4" s="17"/>
    </row>
    <row r="5" spans="1:21" ht="13.5" thickBot="1" x14ac:dyDescent="0.25">
      <c r="A5" s="21"/>
      <c r="B5" s="21"/>
      <c r="C5" s="50" t="s">
        <v>45</v>
      </c>
      <c r="D5" s="99" t="s">
        <v>53</v>
      </c>
      <c r="E5" s="71"/>
      <c r="F5" s="51" t="s">
        <v>4</v>
      </c>
      <c r="G5" s="51" t="s">
        <v>33</v>
      </c>
      <c r="H5" s="51" t="s">
        <v>65</v>
      </c>
      <c r="I5" s="18"/>
      <c r="J5" s="51" t="s">
        <v>7</v>
      </c>
      <c r="K5" s="51" t="s">
        <v>63</v>
      </c>
      <c r="L5" s="51"/>
      <c r="M5" s="52"/>
      <c r="N5" s="22"/>
      <c r="O5" s="51" t="s">
        <v>132</v>
      </c>
      <c r="P5" s="51" t="s">
        <v>62</v>
      </c>
      <c r="Q5" s="51" t="s">
        <v>56</v>
      </c>
      <c r="R5" s="99" t="s">
        <v>53</v>
      </c>
      <c r="S5" s="21"/>
      <c r="T5" s="21"/>
      <c r="U5" s="21"/>
    </row>
    <row r="6" spans="1:21" ht="5.25" customHeight="1" x14ac:dyDescent="0.2">
      <c r="E6" s="49"/>
      <c r="F6" s="23"/>
      <c r="G6" s="23"/>
      <c r="H6" s="23"/>
      <c r="I6" s="23"/>
      <c r="J6" s="23"/>
      <c r="L6" s="23"/>
      <c r="M6" s="7"/>
      <c r="N6" s="8"/>
      <c r="O6" s="9"/>
      <c r="P6" s="9"/>
      <c r="Q6" s="9"/>
      <c r="R6" s="9"/>
      <c r="S6" s="4"/>
      <c r="T6" s="4"/>
      <c r="U6" s="4"/>
    </row>
    <row r="7" spans="1:21" x14ac:dyDescent="0.2">
      <c r="A7" s="25" t="s">
        <v>49</v>
      </c>
      <c r="B7" s="25"/>
      <c r="C7" s="70"/>
      <c r="D7" s="28"/>
      <c r="E7" s="1"/>
      <c r="F7" s="27">
        <v>0</v>
      </c>
      <c r="G7" s="2"/>
      <c r="H7" s="2"/>
      <c r="J7" s="2"/>
      <c r="L7" s="2"/>
      <c r="M7" s="2"/>
      <c r="N7" s="32"/>
      <c r="O7" s="32"/>
      <c r="Q7" s="32"/>
      <c r="S7" s="31"/>
      <c r="T7" s="31"/>
      <c r="U7" s="31"/>
    </row>
    <row r="8" spans="1:21" x14ac:dyDescent="0.2">
      <c r="A8" s="25" t="s">
        <v>9</v>
      </c>
      <c r="B8" s="25"/>
      <c r="C8" s="25" t="s">
        <v>10</v>
      </c>
      <c r="D8" s="2">
        <v>0</v>
      </c>
      <c r="E8" s="1"/>
      <c r="F8"/>
      <c r="G8" s="69"/>
      <c r="H8" s="2">
        <f>-SUM(F8:G8)</f>
        <v>0</v>
      </c>
      <c r="J8"/>
      <c r="K8"/>
      <c r="L8" s="2">
        <f>H8-J8-K8</f>
        <v>0</v>
      </c>
      <c r="M8" s="2">
        <f>L8/(13-MONTH($M$3))</f>
        <v>0</v>
      </c>
      <c r="N8" s="32"/>
      <c r="O8" s="112"/>
      <c r="P8" s="26"/>
      <c r="Q8" s="112"/>
      <c r="R8" s="26"/>
      <c r="S8" s="31"/>
      <c r="T8" s="31"/>
      <c r="U8" s="31"/>
    </row>
    <row r="9" spans="1:21" x14ac:dyDescent="0.2">
      <c r="A9" s="25" t="s">
        <v>9</v>
      </c>
      <c r="B9" s="25"/>
      <c r="C9" s="25" t="s">
        <v>11</v>
      </c>
      <c r="D9" s="2">
        <v>0</v>
      </c>
      <c r="E9" s="1"/>
      <c r="F9"/>
      <c r="G9" s="69"/>
      <c r="H9" s="2">
        <f>-SUM(F9:G9)</f>
        <v>0</v>
      </c>
      <c r="J9"/>
      <c r="K9"/>
      <c r="L9" s="2">
        <f t="shared" ref="L9:L21" si="0">H9-J9-K9</f>
        <v>0</v>
      </c>
      <c r="M9" s="2">
        <f t="shared" ref="M9:M21" si="1">L9/(13-MONTH($M$3))</f>
        <v>0</v>
      </c>
      <c r="N9" s="2"/>
      <c r="O9" s="30"/>
      <c r="P9" s="26"/>
      <c r="Q9" s="30"/>
      <c r="R9" s="26"/>
      <c r="S9" s="25"/>
      <c r="T9" s="25"/>
      <c r="U9" s="25"/>
    </row>
    <row r="10" spans="1:21" x14ac:dyDescent="0.2">
      <c r="A10" s="25" t="s">
        <v>50</v>
      </c>
      <c r="B10" s="25"/>
      <c r="C10" s="70"/>
      <c r="D10" s="2">
        <v>0</v>
      </c>
      <c r="E10" s="1"/>
      <c r="F10"/>
      <c r="G10" s="2"/>
      <c r="H10" s="2"/>
      <c r="J10"/>
      <c r="K10"/>
      <c r="L10" s="2">
        <f t="shared" si="0"/>
        <v>0</v>
      </c>
      <c r="M10" s="2">
        <f t="shared" si="1"/>
        <v>0</v>
      </c>
      <c r="N10" s="32"/>
      <c r="O10" s="112"/>
      <c r="P10" s="26"/>
      <c r="Q10" s="112"/>
      <c r="R10" s="26"/>
      <c r="S10" s="31"/>
      <c r="T10" s="31"/>
      <c r="U10" s="31"/>
    </row>
    <row r="11" spans="1:21" x14ac:dyDescent="0.2">
      <c r="A11" s="25" t="s">
        <v>9</v>
      </c>
      <c r="B11" s="25"/>
      <c r="C11" s="25" t="s">
        <v>13</v>
      </c>
      <c r="D11" s="2">
        <v>0</v>
      </c>
      <c r="E11" s="1"/>
      <c r="F11"/>
      <c r="G11" s="69"/>
      <c r="H11" s="2">
        <f t="shared" ref="H11:H13" si="2">-SUM(F11:G11)</f>
        <v>0</v>
      </c>
      <c r="J11"/>
      <c r="K11"/>
      <c r="L11" s="2">
        <f t="shared" si="0"/>
        <v>0</v>
      </c>
      <c r="M11" s="2">
        <f t="shared" si="1"/>
        <v>0</v>
      </c>
      <c r="N11" s="26"/>
      <c r="O11" s="113"/>
      <c r="P11" s="26"/>
      <c r="Q11" s="113"/>
      <c r="R11" s="26"/>
      <c r="S11" s="25"/>
      <c r="T11" s="25"/>
      <c r="U11" s="25"/>
    </row>
    <row r="12" spans="1:21" x14ac:dyDescent="0.2">
      <c r="A12" s="25" t="s">
        <v>9</v>
      </c>
      <c r="B12" s="25"/>
      <c r="C12" s="25" t="s">
        <v>12</v>
      </c>
      <c r="D12" s="2">
        <v>0</v>
      </c>
      <c r="E12" s="1"/>
      <c r="F12"/>
      <c r="G12" s="69"/>
      <c r="H12" s="2">
        <f t="shared" si="2"/>
        <v>0</v>
      </c>
      <c r="J12"/>
      <c r="K12"/>
      <c r="L12" s="2">
        <f t="shared" si="0"/>
        <v>0</v>
      </c>
      <c r="M12" s="2">
        <f t="shared" si="1"/>
        <v>0</v>
      </c>
      <c r="N12" s="26"/>
      <c r="O12" s="26"/>
      <c r="P12" s="26"/>
      <c r="Q12" s="26"/>
      <c r="R12" s="26"/>
      <c r="S12" s="25"/>
      <c r="T12" s="25"/>
      <c r="U12" s="25"/>
    </row>
    <row r="13" spans="1:21" x14ac:dyDescent="0.2">
      <c r="A13" s="25" t="s">
        <v>9</v>
      </c>
      <c r="B13" s="25"/>
      <c r="C13" s="25" t="s">
        <v>14</v>
      </c>
      <c r="D13" s="2">
        <v>0</v>
      </c>
      <c r="E13" s="1"/>
      <c r="F13" s="27">
        <v>0</v>
      </c>
      <c r="G13" s="2"/>
      <c r="H13" s="2">
        <f t="shared" si="2"/>
        <v>0</v>
      </c>
      <c r="J13"/>
      <c r="K13"/>
      <c r="L13" s="2">
        <f t="shared" si="0"/>
        <v>0</v>
      </c>
      <c r="M13" s="2">
        <f t="shared" si="1"/>
        <v>0</v>
      </c>
      <c r="N13" s="26"/>
      <c r="O13" s="26"/>
      <c r="P13" s="26"/>
      <c r="Q13" s="26"/>
      <c r="R13" s="26"/>
      <c r="S13" s="25"/>
      <c r="T13" s="25"/>
      <c r="U13" s="25"/>
    </row>
    <row r="14" spans="1:21" x14ac:dyDescent="0.2">
      <c r="A14" s="25" t="s">
        <v>2</v>
      </c>
      <c r="B14" s="25"/>
      <c r="C14" s="25" t="s">
        <v>20</v>
      </c>
      <c r="D14" s="94">
        <v>-0.47</v>
      </c>
      <c r="E14" s="1"/>
      <c r="F14" s="27">
        <v>0</v>
      </c>
      <c r="G14" s="2"/>
      <c r="H14" s="2">
        <f>-SUM(F14:G14)</f>
        <v>0</v>
      </c>
      <c r="J14" s="27">
        <f>O14-D14</f>
        <v>0</v>
      </c>
      <c r="K14" s="5">
        <f>H14-J14</f>
        <v>0</v>
      </c>
      <c r="L14" s="2">
        <f>H14-J14-K14</f>
        <v>0</v>
      </c>
      <c r="M14" s="2">
        <f t="shared" si="1"/>
        <v>0</v>
      </c>
      <c r="N14" s="2"/>
      <c r="O14" s="1">
        <f>Q14-P14</f>
        <v>-0.47</v>
      </c>
      <c r="P14" s="26">
        <v>0</v>
      </c>
      <c r="Q14" s="94">
        <v>-0.47</v>
      </c>
      <c r="R14" s="26"/>
      <c r="S14" s="25"/>
      <c r="T14" s="25"/>
      <c r="U14" s="25"/>
    </row>
    <row r="15" spans="1:21" x14ac:dyDescent="0.2">
      <c r="A15" s="25" t="s">
        <v>5</v>
      </c>
      <c r="B15" s="25"/>
      <c r="C15" s="25" t="s">
        <v>22</v>
      </c>
      <c r="D15" s="94">
        <v>0.11</v>
      </c>
      <c r="E15" s="1"/>
      <c r="F15" s="27">
        <v>0</v>
      </c>
      <c r="G15" s="2"/>
      <c r="H15" s="2">
        <f>-SUM(F15:G15)</f>
        <v>0</v>
      </c>
      <c r="J15" s="27">
        <v>0</v>
      </c>
      <c r="K15" s="5">
        <f>H15-J15</f>
        <v>0</v>
      </c>
      <c r="L15" s="2">
        <f t="shared" si="0"/>
        <v>0</v>
      </c>
      <c r="M15" s="2">
        <f t="shared" si="1"/>
        <v>0</v>
      </c>
      <c r="N15" s="2"/>
      <c r="O15" s="1">
        <f t="shared" ref="O15:O21" si="3">Q15-P15</f>
        <v>0.11</v>
      </c>
      <c r="P15" s="26">
        <v>0</v>
      </c>
      <c r="Q15" s="94">
        <v>0.11</v>
      </c>
      <c r="R15" s="26"/>
      <c r="S15" s="25"/>
      <c r="T15" s="25"/>
      <c r="U15" s="25"/>
    </row>
    <row r="16" spans="1:21" x14ac:dyDescent="0.2">
      <c r="A16" s="25" t="s">
        <v>52</v>
      </c>
      <c r="B16" s="25"/>
      <c r="C16" s="25" t="s">
        <v>21</v>
      </c>
      <c r="D16" s="94">
        <v>-0.12</v>
      </c>
      <c r="E16" s="1"/>
      <c r="F16" s="27">
        <v>0</v>
      </c>
      <c r="G16" s="2"/>
      <c r="H16" s="2">
        <f t="shared" ref="H16:H21" si="4">-SUM(F16:G16)</f>
        <v>0</v>
      </c>
      <c r="J16" s="27">
        <f t="shared" ref="J16" si="5">O16-D16</f>
        <v>0</v>
      </c>
      <c r="K16" s="5">
        <f t="shared" ref="K16:K21" si="6">H16-J16</f>
        <v>0</v>
      </c>
      <c r="L16" s="2">
        <f t="shared" si="0"/>
        <v>0</v>
      </c>
      <c r="M16" s="2">
        <f t="shared" si="1"/>
        <v>0</v>
      </c>
      <c r="N16" s="2"/>
      <c r="O16" s="1">
        <f t="shared" si="3"/>
        <v>-0.12</v>
      </c>
      <c r="P16" s="26">
        <v>0</v>
      </c>
      <c r="Q16" s="94">
        <v>-0.12</v>
      </c>
      <c r="R16" s="26"/>
      <c r="S16" s="25"/>
      <c r="T16" s="25"/>
      <c r="U16" s="25"/>
    </row>
    <row r="17" spans="1:21" x14ac:dyDescent="0.2">
      <c r="A17" s="28" t="s">
        <v>29</v>
      </c>
      <c r="B17" s="28"/>
      <c r="C17" s="25" t="s">
        <v>17</v>
      </c>
      <c r="D17" s="94">
        <v>-66860310.539999999</v>
      </c>
      <c r="E17" s="1"/>
      <c r="F17" s="27">
        <v>2344071</v>
      </c>
      <c r="G17" s="2"/>
      <c r="H17" s="2">
        <f t="shared" si="4"/>
        <v>-2344071</v>
      </c>
      <c r="J17" s="27">
        <f>-6630173</f>
        <v>-6630173</v>
      </c>
      <c r="K17" s="5">
        <f>H17-J17</f>
        <v>4286102</v>
      </c>
      <c r="L17" s="2">
        <f t="shared" si="0"/>
        <v>0</v>
      </c>
      <c r="M17" s="2">
        <f t="shared" si="1"/>
        <v>0</v>
      </c>
      <c r="N17" s="2"/>
      <c r="O17" s="1">
        <f>Q17-P17</f>
        <v>-66860310.539999999</v>
      </c>
      <c r="P17" s="26">
        <v>0</v>
      </c>
      <c r="Q17" s="94">
        <v>-66860310.539999999</v>
      </c>
      <c r="R17" s="26"/>
      <c r="S17" s="25"/>
      <c r="T17" s="25"/>
      <c r="U17" s="25"/>
    </row>
    <row r="18" spans="1:21" x14ac:dyDescent="0.2">
      <c r="A18" s="28" t="s">
        <v>30</v>
      </c>
      <c r="B18" s="28"/>
      <c r="C18" s="25" t="s">
        <v>18</v>
      </c>
      <c r="D18" s="94">
        <v>-625430.81999999995</v>
      </c>
      <c r="E18" s="1"/>
      <c r="F18" s="27">
        <v>54536</v>
      </c>
      <c r="G18" s="2"/>
      <c r="H18" s="2">
        <f t="shared" si="4"/>
        <v>-54536</v>
      </c>
      <c r="J18" s="27">
        <v>-54536</v>
      </c>
      <c r="K18" s="5">
        <f t="shared" si="6"/>
        <v>0</v>
      </c>
      <c r="L18" s="2">
        <f t="shared" si="0"/>
        <v>0</v>
      </c>
      <c r="M18" s="2">
        <f t="shared" si="1"/>
        <v>0</v>
      </c>
      <c r="N18" s="2"/>
      <c r="O18" s="1">
        <f t="shared" si="3"/>
        <v>-625430.81999999995</v>
      </c>
      <c r="P18" s="26">
        <v>0</v>
      </c>
      <c r="Q18" s="94">
        <v>-625430.81999999995</v>
      </c>
      <c r="R18" s="26"/>
      <c r="S18" s="25"/>
      <c r="T18" s="25"/>
      <c r="U18" s="25"/>
    </row>
    <row r="19" spans="1:21" x14ac:dyDescent="0.2">
      <c r="A19" s="4" t="s">
        <v>28</v>
      </c>
      <c r="B19" s="46"/>
      <c r="C19" s="32" t="s">
        <v>16</v>
      </c>
      <c r="D19" s="94">
        <v>-443772674.11000001</v>
      </c>
      <c r="E19" s="2"/>
      <c r="F19" s="27">
        <f>42652226</f>
        <v>42652226</v>
      </c>
      <c r="G19" s="2"/>
      <c r="H19" s="2">
        <f t="shared" si="4"/>
        <v>-42652226</v>
      </c>
      <c r="J19" s="27">
        <v>-43517796</v>
      </c>
      <c r="K19" s="5">
        <f t="shared" si="6"/>
        <v>865570</v>
      </c>
      <c r="L19" s="2">
        <f t="shared" si="0"/>
        <v>0</v>
      </c>
      <c r="M19" s="2">
        <f t="shared" si="1"/>
        <v>0</v>
      </c>
      <c r="N19" s="2"/>
      <c r="O19" s="1">
        <f>Q19-P19</f>
        <v>-443772674.11000001</v>
      </c>
      <c r="P19" s="26">
        <v>0</v>
      </c>
      <c r="Q19" s="94">
        <v>-443772674.11000001</v>
      </c>
      <c r="R19" s="26"/>
      <c r="S19" s="25"/>
      <c r="T19" s="25"/>
      <c r="U19" s="25"/>
    </row>
    <row r="20" spans="1:21" x14ac:dyDescent="0.2">
      <c r="A20" s="47" t="s">
        <v>26</v>
      </c>
      <c r="B20" s="28"/>
      <c r="C20" s="36" t="s">
        <v>19</v>
      </c>
      <c r="D20" s="94">
        <v>-87666130.870000005</v>
      </c>
      <c r="E20" s="40"/>
      <c r="F20" s="27">
        <v>10886557</v>
      </c>
      <c r="G20" s="2"/>
      <c r="H20" s="2">
        <f t="shared" si="4"/>
        <v>-10886557</v>
      </c>
      <c r="J20" s="27">
        <v>-11692727</v>
      </c>
      <c r="K20" s="5">
        <f t="shared" si="6"/>
        <v>806170</v>
      </c>
      <c r="L20" s="2">
        <f t="shared" si="0"/>
        <v>0</v>
      </c>
      <c r="M20" s="2">
        <f t="shared" si="1"/>
        <v>0</v>
      </c>
      <c r="N20" s="2"/>
      <c r="O20" s="1">
        <f t="shared" si="3"/>
        <v>-87666130.870000005</v>
      </c>
      <c r="P20" s="26">
        <v>0</v>
      </c>
      <c r="Q20" s="94">
        <v>-87666130.870000005</v>
      </c>
      <c r="R20" s="26"/>
      <c r="S20" s="25"/>
      <c r="T20" s="25"/>
      <c r="U20" s="25"/>
    </row>
    <row r="21" spans="1:21" x14ac:dyDescent="0.2">
      <c r="A21" s="26" t="s">
        <v>47</v>
      </c>
      <c r="B21" s="26"/>
      <c r="C21" s="26" t="s">
        <v>24</v>
      </c>
      <c r="D21" s="94">
        <v>-47945819.090000004</v>
      </c>
      <c r="E21" s="1"/>
      <c r="F21" s="27">
        <v>6246999</v>
      </c>
      <c r="G21" s="2"/>
      <c r="H21" s="2">
        <f t="shared" si="4"/>
        <v>-6246999</v>
      </c>
      <c r="J21" s="27">
        <v>-5778075</v>
      </c>
      <c r="K21" s="5">
        <f t="shared" si="6"/>
        <v>-468924</v>
      </c>
      <c r="L21" s="2">
        <f t="shared" si="0"/>
        <v>0</v>
      </c>
      <c r="M21" s="2">
        <f t="shared" si="1"/>
        <v>0</v>
      </c>
      <c r="N21" s="2"/>
      <c r="O21" s="1">
        <f t="shared" si="3"/>
        <v>-47945819.090000004</v>
      </c>
      <c r="P21" s="26">
        <v>0</v>
      </c>
      <c r="Q21" s="94">
        <v>-47945819.090000004</v>
      </c>
      <c r="R21" s="26"/>
      <c r="S21" s="25"/>
      <c r="T21" s="25"/>
      <c r="U21" s="25"/>
    </row>
    <row r="22" spans="1:21" x14ac:dyDescent="0.2">
      <c r="A22" s="25"/>
      <c r="B22" s="25"/>
      <c r="C22" s="35"/>
      <c r="D22" s="2"/>
      <c r="E22" s="72"/>
      <c r="F22" s="2"/>
      <c r="G22" s="2"/>
      <c r="H22" s="2"/>
      <c r="J22" s="2"/>
      <c r="L22" s="2"/>
      <c r="M22" s="2"/>
      <c r="N22" s="26"/>
      <c r="O22" s="129"/>
      <c r="P22" s="26"/>
      <c r="Q22" s="26"/>
      <c r="R22" s="26"/>
      <c r="S22" s="25"/>
      <c r="U22" s="25"/>
    </row>
    <row r="23" spans="1:21" x14ac:dyDescent="0.2">
      <c r="A23" s="25" t="s">
        <v>6</v>
      </c>
      <c r="B23" s="26"/>
      <c r="C23" s="26"/>
      <c r="D23" s="45">
        <f>SUM(D8:D22)</f>
        <v>-646870365.90999997</v>
      </c>
      <c r="E23" s="2"/>
      <c r="F23" s="45">
        <f>SUM(F7:F22)-F7-F10</f>
        <v>62184389</v>
      </c>
      <c r="G23" s="45"/>
      <c r="H23" s="45">
        <f>SUM(H8:H22)</f>
        <v>-62184389</v>
      </c>
      <c r="J23" s="45">
        <f>SUM(J8:J22)</f>
        <v>-67673307</v>
      </c>
      <c r="K23" s="45">
        <f>SUM(K8:K22)</f>
        <v>5488918</v>
      </c>
      <c r="L23" s="45">
        <f>SUM(L8:L22)</f>
        <v>0</v>
      </c>
      <c r="M23" s="45">
        <f>SUM(M8:M22)</f>
        <v>0</v>
      </c>
      <c r="N23" s="26"/>
      <c r="O23" s="26">
        <f>SUM(O14:O22)</f>
        <v>-646870365.90999997</v>
      </c>
      <c r="P23" s="115"/>
      <c r="Q23" s="115"/>
      <c r="R23" s="45">
        <f>SUM(R8:R22)</f>
        <v>0</v>
      </c>
      <c r="S23" s="25"/>
      <c r="U23" s="25"/>
    </row>
    <row r="24" spans="1:21" x14ac:dyDescent="0.2">
      <c r="A24" s="24" t="s">
        <v>135</v>
      </c>
      <c r="D24" s="26">
        <v>641286502.38999999</v>
      </c>
      <c r="E24" s="1"/>
      <c r="F24" s="56">
        <v>62184389</v>
      </c>
      <c r="H24" s="5">
        <f>ROUND(F24+H23,0)</f>
        <v>0</v>
      </c>
      <c r="L24" s="7">
        <f>J23+K23+L23-H23</f>
        <v>0</v>
      </c>
      <c r="M24" s="6">
        <f>(M23*(13-MONTH($M$3))-L23)</f>
        <v>0</v>
      </c>
      <c r="N24" s="6"/>
      <c r="O24" s="26"/>
      <c r="P24" s="2">
        <f>SUM(P8:P22)</f>
        <v>0</v>
      </c>
      <c r="Q24" s="26">
        <f>SUM(Q14:Q22)</f>
        <v>-646870365.90999997</v>
      </c>
      <c r="R24" s="8"/>
      <c r="S24" s="9"/>
      <c r="U24" s="4"/>
    </row>
    <row r="25" spans="1:21" ht="13.5" thickBot="1" x14ac:dyDescent="0.25">
      <c r="A25" s="24"/>
      <c r="D25" s="26"/>
      <c r="K25" s="7"/>
      <c r="L25" s="6"/>
      <c r="M25" s="6"/>
      <c r="N25" s="6"/>
      <c r="O25" s="8"/>
      <c r="P25" s="8"/>
      <c r="Q25" s="8"/>
      <c r="R25" s="8"/>
      <c r="S25" s="9"/>
      <c r="T25" s="25"/>
      <c r="U25" s="4"/>
    </row>
    <row r="26" spans="1:21" ht="13.5" thickBot="1" x14ac:dyDescent="0.25">
      <c r="A26" s="24"/>
      <c r="H26" s="200" t="s">
        <v>172</v>
      </c>
      <c r="I26" s="201"/>
      <c r="J26" s="201"/>
      <c r="K26" s="201"/>
      <c r="L26" s="202"/>
      <c r="M26" s="6"/>
      <c r="O26" s="6"/>
      <c r="S26" s="8"/>
      <c r="T26" s="25"/>
      <c r="U26" s="9"/>
    </row>
    <row r="27" spans="1:21" ht="13.5" thickBot="1" x14ac:dyDescent="0.25">
      <c r="A27" s="24"/>
      <c r="C27" s="127" t="s">
        <v>165</v>
      </c>
      <c r="D27" s="116">
        <f>SUM(D23:D24)</f>
        <v>-5583863.5199999809</v>
      </c>
      <c r="H27" s="200" t="s">
        <v>173</v>
      </c>
      <c r="I27" s="201"/>
      <c r="J27" s="201"/>
      <c r="K27" s="201"/>
      <c r="L27" s="202"/>
      <c r="M27" s="7"/>
      <c r="N27" s="6"/>
      <c r="O27"/>
      <c r="S27" s="8"/>
      <c r="T27" s="25"/>
      <c r="U27" s="9"/>
    </row>
    <row r="28" spans="1:21" x14ac:dyDescent="0.2">
      <c r="A28" s="24"/>
      <c r="D28" s="116"/>
      <c r="H28" s="75"/>
      <c r="I28" s="18"/>
      <c r="J28" s="18"/>
      <c r="K28" s="18"/>
      <c r="L28" s="76"/>
      <c r="N28" s="6"/>
      <c r="O28"/>
      <c r="T28" s="8"/>
      <c r="U28" s="8"/>
    </row>
    <row r="29" spans="1:21" x14ac:dyDescent="0.2">
      <c r="A29" s="49"/>
      <c r="B29" s="49"/>
      <c r="C29" s="131" t="s">
        <v>166</v>
      </c>
      <c r="D29" s="130">
        <f>+K23</f>
        <v>5488918</v>
      </c>
      <c r="E29" s="49"/>
      <c r="F29" s="2"/>
      <c r="H29" s="77" t="s">
        <v>35</v>
      </c>
      <c r="I29" s="38"/>
      <c r="J29" s="38"/>
      <c r="K29" s="20" t="s">
        <v>44</v>
      </c>
      <c r="L29" s="78"/>
      <c r="O29"/>
    </row>
    <row r="30" spans="1:21" ht="13.5" thickBot="1" x14ac:dyDescent="0.25">
      <c r="A30" s="122"/>
      <c r="B30" s="49"/>
      <c r="C30" s="49"/>
      <c r="D30" s="2"/>
      <c r="E30" s="49"/>
      <c r="F30" s="123"/>
      <c r="H30" s="79" t="s">
        <v>42</v>
      </c>
      <c r="I30" s="44"/>
      <c r="J30" s="38"/>
      <c r="K30" s="50" t="s">
        <v>45</v>
      </c>
      <c r="L30" s="78"/>
      <c r="N30" s="34"/>
      <c r="O30"/>
      <c r="P30" s="5"/>
      <c r="Q30" s="5"/>
      <c r="R30" s="5"/>
      <c r="T30" s="7"/>
    </row>
    <row r="31" spans="1:21" x14ac:dyDescent="0.2">
      <c r="A31" s="122"/>
      <c r="B31" s="49"/>
      <c r="C31" s="54" t="s">
        <v>146</v>
      </c>
      <c r="D31" s="2">
        <f>SUM(D27:D29)</f>
        <v>-94945.519999980927</v>
      </c>
      <c r="E31" s="49"/>
      <c r="F31" s="123"/>
      <c r="H31" s="80" t="s">
        <v>38</v>
      </c>
      <c r="I31" s="38"/>
      <c r="J31" s="90">
        <f>-M8</f>
        <v>0</v>
      </c>
      <c r="K31" s="26" t="s">
        <v>10</v>
      </c>
      <c r="L31" s="91">
        <f>M8</f>
        <v>0</v>
      </c>
      <c r="P31" s="5"/>
      <c r="Q31" s="5"/>
      <c r="R31" s="5"/>
      <c r="T31" s="7"/>
    </row>
    <row r="32" spans="1:21" x14ac:dyDescent="0.2">
      <c r="A32" s="122"/>
      <c r="B32" s="49"/>
      <c r="C32" s="54"/>
      <c r="D32" s="2"/>
      <c r="E32" s="49"/>
      <c r="F32" s="123"/>
      <c r="H32" s="80" t="s">
        <v>38</v>
      </c>
      <c r="I32" s="43"/>
      <c r="J32" s="42">
        <f>-M9</f>
        <v>0</v>
      </c>
      <c r="K32" s="26" t="s">
        <v>11</v>
      </c>
      <c r="L32" s="78">
        <f>M9</f>
        <v>0</v>
      </c>
      <c r="P32" s="5"/>
      <c r="Q32" s="5"/>
      <c r="R32" s="5"/>
      <c r="T32" s="7"/>
    </row>
    <row r="33" spans="1:20" x14ac:dyDescent="0.2">
      <c r="A33" s="49"/>
      <c r="B33" s="49"/>
      <c r="C33" s="131" t="s">
        <v>171</v>
      </c>
      <c r="D33" s="130">
        <v>94425</v>
      </c>
      <c r="E33" s="49"/>
      <c r="F33" s="2"/>
      <c r="H33" s="81" t="s">
        <v>15</v>
      </c>
      <c r="I33" s="43"/>
      <c r="J33" s="42">
        <f t="shared" ref="J33:J43" si="7">-M11</f>
        <v>0</v>
      </c>
      <c r="K33" s="26" t="s">
        <v>13</v>
      </c>
      <c r="L33" s="78">
        <f t="shared" ref="L33:L43" si="8">M11</f>
        <v>0</v>
      </c>
      <c r="P33" s="94"/>
      <c r="Q33" s="5"/>
      <c r="R33" s="5"/>
      <c r="T33" s="7"/>
    </row>
    <row r="34" spans="1:20" x14ac:dyDescent="0.2">
      <c r="A34" s="118"/>
      <c r="B34" s="49"/>
      <c r="C34" s="18"/>
      <c r="D34" s="119"/>
      <c r="E34" s="119"/>
      <c r="F34" s="119"/>
      <c r="H34" s="81" t="s">
        <v>15</v>
      </c>
      <c r="I34" s="38"/>
      <c r="J34" s="42">
        <f t="shared" si="7"/>
        <v>0</v>
      </c>
      <c r="K34" s="26" t="s">
        <v>12</v>
      </c>
      <c r="L34" s="78">
        <f t="shared" si="8"/>
        <v>0</v>
      </c>
      <c r="O34" s="93"/>
      <c r="P34" s="94"/>
      <c r="Q34" s="5"/>
      <c r="R34" s="5"/>
      <c r="T34" s="7"/>
    </row>
    <row r="35" spans="1:20" ht="13.5" thickBot="1" x14ac:dyDescent="0.25">
      <c r="A35" s="49"/>
      <c r="B35" s="49"/>
      <c r="C35" s="135" t="s">
        <v>160</v>
      </c>
      <c r="D35" s="133">
        <f>SUM(D31:D33)</f>
        <v>-520.51999998092651</v>
      </c>
      <c r="E35" s="121"/>
      <c r="F35" s="2"/>
      <c r="H35" s="81" t="s">
        <v>25</v>
      </c>
      <c r="I35" s="38"/>
      <c r="J35" s="42">
        <f t="shared" si="7"/>
        <v>0</v>
      </c>
      <c r="K35" s="26" t="s">
        <v>14</v>
      </c>
      <c r="L35" s="78">
        <f t="shared" si="8"/>
        <v>0</v>
      </c>
      <c r="O35" s="93"/>
      <c r="P35" s="94"/>
      <c r="Q35" s="5"/>
      <c r="R35" s="5"/>
      <c r="T35" s="7"/>
    </row>
    <row r="36" spans="1:20" x14ac:dyDescent="0.2">
      <c r="A36" s="49"/>
      <c r="B36" s="49"/>
      <c r="C36" s="93"/>
      <c r="D36" s="94"/>
      <c r="E36" s="121"/>
      <c r="F36" s="2"/>
      <c r="H36" s="81" t="s">
        <v>41</v>
      </c>
      <c r="I36" s="38"/>
      <c r="J36" s="42">
        <f t="shared" si="7"/>
        <v>0</v>
      </c>
      <c r="K36" s="26" t="s">
        <v>20</v>
      </c>
      <c r="L36" s="78">
        <f t="shared" si="8"/>
        <v>0</v>
      </c>
      <c r="O36" s="93"/>
      <c r="P36" s="94"/>
      <c r="Q36" s="5"/>
      <c r="R36" s="5"/>
      <c r="T36" s="7"/>
    </row>
    <row r="37" spans="1:20" x14ac:dyDescent="0.2">
      <c r="A37" s="49"/>
      <c r="B37" s="49"/>
      <c r="C37" s="93"/>
      <c r="D37" s="94"/>
      <c r="E37" s="121"/>
      <c r="F37" s="2"/>
      <c r="H37" s="81" t="s">
        <v>41</v>
      </c>
      <c r="I37" s="43"/>
      <c r="J37" s="42">
        <f t="shared" si="7"/>
        <v>0</v>
      </c>
      <c r="K37" s="26" t="s">
        <v>22</v>
      </c>
      <c r="L37" s="78">
        <f t="shared" si="8"/>
        <v>0</v>
      </c>
      <c r="O37" s="93"/>
      <c r="P37" s="94"/>
      <c r="Q37" s="5"/>
      <c r="R37" s="5"/>
      <c r="T37" s="7"/>
    </row>
    <row r="38" spans="1:20" x14ac:dyDescent="0.2">
      <c r="A38" s="49" t="s">
        <v>169</v>
      </c>
      <c r="B38" s="49"/>
      <c r="C38" s="136">
        <v>582721353</v>
      </c>
      <c r="D38" s="94"/>
      <c r="E38" s="121"/>
      <c r="F38" s="2"/>
      <c r="H38" s="81" t="s">
        <v>41</v>
      </c>
      <c r="I38" s="38"/>
      <c r="J38" s="42">
        <f t="shared" si="7"/>
        <v>0</v>
      </c>
      <c r="K38" s="26" t="s">
        <v>21</v>
      </c>
      <c r="L38" s="78">
        <f t="shared" si="8"/>
        <v>0</v>
      </c>
      <c r="O38" s="93"/>
      <c r="P38" s="94"/>
      <c r="Q38" s="5"/>
      <c r="R38" s="5"/>
      <c r="T38" s="7"/>
    </row>
    <row r="39" spans="1:20" x14ac:dyDescent="0.2">
      <c r="A39" s="49" t="s">
        <v>170</v>
      </c>
      <c r="B39" s="49"/>
      <c r="C39" s="137">
        <v>582721226.13</v>
      </c>
      <c r="D39" s="94"/>
      <c r="E39" s="124"/>
      <c r="F39" s="2"/>
      <c r="H39" s="80" t="s">
        <v>36</v>
      </c>
      <c r="I39" s="38"/>
      <c r="J39" s="42">
        <f t="shared" si="7"/>
        <v>0</v>
      </c>
      <c r="K39" s="26" t="s">
        <v>17</v>
      </c>
      <c r="L39" s="78">
        <f t="shared" si="8"/>
        <v>0</v>
      </c>
      <c r="O39" s="93"/>
      <c r="P39" s="94"/>
      <c r="Q39" s="5"/>
      <c r="R39" s="5"/>
      <c r="T39" s="7"/>
    </row>
    <row r="40" spans="1:20" x14ac:dyDescent="0.2">
      <c r="A40" s="49" t="s">
        <v>146</v>
      </c>
      <c r="B40" s="49"/>
      <c r="C40" s="40">
        <f>+C38-C39</f>
        <v>126.87000000476837</v>
      </c>
      <c r="D40" s="94"/>
      <c r="E40" s="94"/>
      <c r="H40" s="80" t="s">
        <v>37</v>
      </c>
      <c r="I40" s="38"/>
      <c r="J40" s="42">
        <f t="shared" si="7"/>
        <v>0</v>
      </c>
      <c r="K40" s="26" t="s">
        <v>18</v>
      </c>
      <c r="L40" s="78">
        <f t="shared" si="8"/>
        <v>0</v>
      </c>
      <c r="O40" s="29"/>
      <c r="P40" s="94"/>
      <c r="Q40" s="5"/>
      <c r="R40" s="5"/>
      <c r="T40" s="7"/>
    </row>
    <row r="41" spans="1:20" x14ac:dyDescent="0.2">
      <c r="A41" s="49"/>
      <c r="B41" s="49"/>
      <c r="C41" s="40"/>
      <c r="D41" s="94"/>
      <c r="E41" s="94"/>
      <c r="H41" s="82" t="s">
        <v>38</v>
      </c>
      <c r="I41" s="38"/>
      <c r="J41" s="42">
        <f t="shared" si="7"/>
        <v>0</v>
      </c>
      <c r="K41" s="32" t="s">
        <v>16</v>
      </c>
      <c r="L41" s="78">
        <f t="shared" si="8"/>
        <v>0</v>
      </c>
      <c r="O41" s="29"/>
      <c r="P41" s="94"/>
      <c r="Q41" s="5"/>
      <c r="R41" s="5"/>
      <c r="T41" s="7"/>
    </row>
    <row r="42" spans="1:20" x14ac:dyDescent="0.2">
      <c r="A42" s="49"/>
      <c r="B42" s="49"/>
      <c r="C42" s="40"/>
      <c r="D42" s="94"/>
      <c r="E42" s="94"/>
      <c r="H42" s="83" t="s">
        <v>39</v>
      </c>
      <c r="I42" s="33"/>
      <c r="J42" s="42">
        <f t="shared" si="7"/>
        <v>0</v>
      </c>
      <c r="K42" s="84" t="s">
        <v>19</v>
      </c>
      <c r="L42" s="78">
        <f t="shared" si="8"/>
        <v>0</v>
      </c>
      <c r="O42" s="4"/>
      <c r="P42" s="116"/>
      <c r="Q42" s="5"/>
      <c r="R42" s="5"/>
      <c r="T42" s="7"/>
    </row>
    <row r="43" spans="1:20" ht="13.5" thickBot="1" x14ac:dyDescent="0.25">
      <c r="A43" s="49"/>
      <c r="B43" s="49"/>
      <c r="C43" s="40"/>
      <c r="D43" s="124"/>
      <c r="E43" s="94"/>
      <c r="H43" s="85" t="s">
        <v>40</v>
      </c>
      <c r="I43" s="86"/>
      <c r="J43" s="87">
        <f t="shared" si="7"/>
        <v>0</v>
      </c>
      <c r="K43" s="88" t="s">
        <v>24</v>
      </c>
      <c r="L43" s="89">
        <f t="shared" si="8"/>
        <v>0</v>
      </c>
      <c r="P43" s="5"/>
      <c r="Q43" s="5"/>
      <c r="R43" s="5"/>
      <c r="T43" s="7"/>
    </row>
    <row r="44" spans="1:20" x14ac:dyDescent="0.2">
      <c r="A44" s="49"/>
      <c r="B44" s="49"/>
      <c r="C44" s="138"/>
      <c r="D44" s="124"/>
      <c r="E44" s="94"/>
      <c r="H44" s="73" t="s">
        <v>51</v>
      </c>
      <c r="I44" s="37"/>
      <c r="J44" s="74">
        <f>SUM(J31:J43)+SUM(L31:L43)</f>
        <v>0</v>
      </c>
      <c r="L44" s="5">
        <f>SUM(L31:L43)</f>
        <v>0</v>
      </c>
      <c r="P44" s="5"/>
      <c r="Q44" s="5"/>
      <c r="R44" s="5"/>
      <c r="T44" s="7"/>
    </row>
    <row r="45" spans="1:20" x14ac:dyDescent="0.2">
      <c r="A45" s="49"/>
      <c r="B45" s="49"/>
      <c r="C45" s="139"/>
      <c r="D45" s="124"/>
      <c r="E45" s="94"/>
      <c r="H45" s="38"/>
      <c r="I45" s="38"/>
      <c r="P45" s="5"/>
      <c r="Q45" s="5"/>
      <c r="R45" s="5"/>
      <c r="T45" s="7"/>
    </row>
    <row r="46" spans="1:20" ht="13.5" thickBot="1" x14ac:dyDescent="0.25">
      <c r="A46" s="49"/>
      <c r="B46" s="49"/>
      <c r="C46" s="49"/>
      <c r="D46" s="124"/>
      <c r="E46" s="94"/>
      <c r="H46" s="38"/>
      <c r="I46" s="38"/>
      <c r="P46" s="5"/>
      <c r="Q46" s="5"/>
      <c r="R46" s="5"/>
      <c r="S46" s="7"/>
    </row>
    <row r="47" spans="1:20" ht="13.5" thickBot="1" x14ac:dyDescent="0.25">
      <c r="A47" s="49"/>
      <c r="B47" s="49"/>
      <c r="C47" s="42"/>
      <c r="D47" s="42"/>
      <c r="E47" s="94"/>
      <c r="H47" s="200" t="s">
        <v>174</v>
      </c>
      <c r="I47" s="201"/>
      <c r="J47" s="201"/>
      <c r="K47" s="201"/>
      <c r="L47" s="202"/>
      <c r="P47" s="5"/>
      <c r="Q47" s="5"/>
      <c r="R47" s="5"/>
      <c r="S47" s="7"/>
    </row>
    <row r="48" spans="1:20" ht="13.5" thickBot="1" x14ac:dyDescent="0.25">
      <c r="A48" s="49"/>
      <c r="B48" s="49"/>
      <c r="C48" s="42"/>
      <c r="D48" s="9"/>
      <c r="E48" s="94"/>
      <c r="H48" s="200" t="s">
        <v>173</v>
      </c>
      <c r="I48" s="201"/>
      <c r="J48" s="201"/>
      <c r="K48" s="201"/>
      <c r="L48" s="202"/>
      <c r="P48" s="5"/>
      <c r="Q48" s="5"/>
      <c r="R48" s="5"/>
      <c r="S48" s="7"/>
    </row>
    <row r="49" spans="1:14" x14ac:dyDescent="0.2">
      <c r="A49" s="49"/>
      <c r="B49" s="49"/>
      <c r="C49" s="9"/>
      <c r="D49" s="9"/>
      <c r="E49" s="29"/>
      <c r="H49" s="75"/>
      <c r="I49" s="18"/>
      <c r="J49" s="18"/>
      <c r="K49" s="18"/>
      <c r="L49" s="76"/>
    </row>
    <row r="50" spans="1:14" x14ac:dyDescent="0.2">
      <c r="A50" s="49"/>
      <c r="B50" s="49"/>
      <c r="C50" s="9"/>
      <c r="D50" s="9"/>
      <c r="E50" s="29"/>
      <c r="H50" s="77" t="s">
        <v>35</v>
      </c>
      <c r="I50" s="38"/>
      <c r="J50" s="38"/>
      <c r="K50" s="20" t="s">
        <v>44</v>
      </c>
      <c r="L50" s="78"/>
    </row>
    <row r="51" spans="1:14" ht="13.5" thickBot="1" x14ac:dyDescent="0.25">
      <c r="A51" s="9"/>
      <c r="B51" s="9"/>
      <c r="C51" s="6"/>
      <c r="D51" s="42"/>
      <c r="H51" s="79" t="s">
        <v>42</v>
      </c>
      <c r="I51" s="44"/>
      <c r="J51" s="38"/>
      <c r="K51" s="50" t="s">
        <v>45</v>
      </c>
      <c r="L51" s="78"/>
    </row>
    <row r="52" spans="1:14" x14ac:dyDescent="0.2">
      <c r="A52" s="49"/>
      <c r="B52" s="49"/>
      <c r="C52" s="6"/>
      <c r="D52" s="42"/>
      <c r="H52" s="80" t="s">
        <v>38</v>
      </c>
      <c r="I52" s="38"/>
      <c r="J52" s="90">
        <f>-K8</f>
        <v>0</v>
      </c>
      <c r="K52" s="26" t="s">
        <v>10</v>
      </c>
      <c r="L52" s="91">
        <f>K8</f>
        <v>0</v>
      </c>
    </row>
    <row r="53" spans="1:14" x14ac:dyDescent="0.2">
      <c r="A53" s="9"/>
      <c r="B53" s="9"/>
      <c r="C53" s="6"/>
      <c r="D53" s="9"/>
      <c r="H53" s="80" t="s">
        <v>38</v>
      </c>
      <c r="I53" s="43"/>
      <c r="J53" s="42">
        <f>-K9</f>
        <v>0</v>
      </c>
      <c r="K53" s="26" t="s">
        <v>11</v>
      </c>
      <c r="L53" s="78">
        <f>K9</f>
        <v>0</v>
      </c>
    </row>
    <row r="54" spans="1:14" x14ac:dyDescent="0.2">
      <c r="A54" s="49"/>
      <c r="B54" s="49"/>
      <c r="C54" s="9"/>
      <c r="D54" s="9"/>
      <c r="H54" s="81" t="s">
        <v>15</v>
      </c>
      <c r="I54" s="43"/>
      <c r="J54" s="42">
        <f>-K11</f>
        <v>0</v>
      </c>
      <c r="K54" s="26" t="s">
        <v>13</v>
      </c>
      <c r="L54" s="78">
        <f>K11</f>
        <v>0</v>
      </c>
    </row>
    <row r="55" spans="1:14" x14ac:dyDescent="0.2">
      <c r="A55" s="9"/>
      <c r="B55" s="9"/>
      <c r="C55" s="42"/>
      <c r="D55" s="9"/>
      <c r="H55" s="81" t="s">
        <v>15</v>
      </c>
      <c r="I55" s="38"/>
      <c r="J55" s="42">
        <f t="shared" ref="J55:J64" si="9">-K12</f>
        <v>0</v>
      </c>
      <c r="K55" s="26" t="s">
        <v>12</v>
      </c>
      <c r="L55" s="78">
        <f t="shared" ref="L55:L64" si="10">K12</f>
        <v>0</v>
      </c>
    </row>
    <row r="56" spans="1:14" x14ac:dyDescent="0.2">
      <c r="A56" s="9"/>
      <c r="B56" s="9"/>
      <c r="C56" s="9"/>
      <c r="D56" s="9"/>
      <c r="H56" s="81" t="s">
        <v>25</v>
      </c>
      <c r="I56" s="38"/>
      <c r="J56" s="42">
        <f t="shared" si="9"/>
        <v>0</v>
      </c>
      <c r="K56" s="26" t="s">
        <v>14</v>
      </c>
      <c r="L56" s="78">
        <f t="shared" si="10"/>
        <v>0</v>
      </c>
    </row>
    <row r="57" spans="1:14" x14ac:dyDescent="0.2">
      <c r="A57" s="9"/>
      <c r="B57" s="9"/>
      <c r="C57" s="6"/>
      <c r="D57" s="9"/>
      <c r="H57" s="81" t="s">
        <v>41</v>
      </c>
      <c r="I57" s="38"/>
      <c r="J57" s="42">
        <f t="shared" si="9"/>
        <v>0</v>
      </c>
      <c r="K57" s="26" t="s">
        <v>20</v>
      </c>
      <c r="L57" s="78">
        <f t="shared" si="10"/>
        <v>0</v>
      </c>
      <c r="N57" s="5">
        <v>-63773.47</v>
      </c>
    </row>
    <row r="58" spans="1:14" x14ac:dyDescent="0.2">
      <c r="H58" s="81" t="s">
        <v>41</v>
      </c>
      <c r="I58" s="43"/>
      <c r="J58" s="42">
        <f t="shared" si="9"/>
        <v>0</v>
      </c>
      <c r="K58" s="26" t="s">
        <v>22</v>
      </c>
      <c r="L58" s="78">
        <f t="shared" si="10"/>
        <v>0</v>
      </c>
    </row>
    <row r="59" spans="1:14" x14ac:dyDescent="0.2">
      <c r="H59" s="81" t="s">
        <v>41</v>
      </c>
      <c r="I59" s="38"/>
      <c r="J59" s="42">
        <f t="shared" si="9"/>
        <v>0</v>
      </c>
      <c r="K59" s="26" t="s">
        <v>21</v>
      </c>
      <c r="L59" s="78">
        <f t="shared" si="10"/>
        <v>0</v>
      </c>
    </row>
    <row r="60" spans="1:14" x14ac:dyDescent="0.2">
      <c r="H60" s="80" t="s">
        <v>36</v>
      </c>
      <c r="I60" s="38"/>
      <c r="J60" s="42">
        <f t="shared" si="9"/>
        <v>-4286102</v>
      </c>
      <c r="K60" s="26" t="s">
        <v>17</v>
      </c>
      <c r="L60" s="78">
        <f t="shared" si="10"/>
        <v>4286102</v>
      </c>
    </row>
    <row r="61" spans="1:14" x14ac:dyDescent="0.2">
      <c r="H61" s="80" t="s">
        <v>37</v>
      </c>
      <c r="I61" s="38"/>
      <c r="J61" s="42">
        <f t="shared" si="9"/>
        <v>0</v>
      </c>
      <c r="K61" s="26" t="s">
        <v>18</v>
      </c>
      <c r="L61" s="78">
        <f t="shared" si="10"/>
        <v>0</v>
      </c>
    </row>
    <row r="62" spans="1:14" x14ac:dyDescent="0.2">
      <c r="H62" s="82" t="s">
        <v>38</v>
      </c>
      <c r="I62" s="38"/>
      <c r="J62" s="42">
        <f t="shared" si="9"/>
        <v>-865570</v>
      </c>
      <c r="K62" s="32" t="s">
        <v>16</v>
      </c>
      <c r="L62" s="78">
        <f t="shared" si="10"/>
        <v>865570</v>
      </c>
    </row>
    <row r="63" spans="1:14" x14ac:dyDescent="0.2">
      <c r="H63" s="83" t="s">
        <v>39</v>
      </c>
      <c r="I63" s="33"/>
      <c r="J63" s="42">
        <f t="shared" si="9"/>
        <v>-806170</v>
      </c>
      <c r="K63" s="84" t="s">
        <v>19</v>
      </c>
      <c r="L63" s="78">
        <f t="shared" si="10"/>
        <v>806170</v>
      </c>
    </row>
    <row r="64" spans="1:14" ht="13.5" thickBot="1" x14ac:dyDescent="0.25">
      <c r="H64" s="85" t="s">
        <v>40</v>
      </c>
      <c r="I64" s="86"/>
      <c r="J64" s="87">
        <f t="shared" si="9"/>
        <v>468924</v>
      </c>
      <c r="K64" s="88" t="s">
        <v>24</v>
      </c>
      <c r="L64" s="89">
        <f t="shared" si="10"/>
        <v>-468924</v>
      </c>
    </row>
    <row r="65" spans="8:12" x14ac:dyDescent="0.2">
      <c r="H65" s="73" t="s">
        <v>51</v>
      </c>
      <c r="I65" s="37"/>
      <c r="J65" s="74">
        <f>SUM(J52:J64)+SUM(L52:L64)</f>
        <v>0</v>
      </c>
      <c r="L65" s="5">
        <f>SUM(L52:L64)</f>
        <v>5488918</v>
      </c>
    </row>
  </sheetData>
  <mergeCells count="4">
    <mergeCell ref="H26:L26"/>
    <mergeCell ref="H27:L27"/>
    <mergeCell ref="H47:L47"/>
    <mergeCell ref="H48:L48"/>
  </mergeCells>
  <conditionalFormatting sqref="M24 H24">
    <cfRule type="cellIs" dxfId="10" priority="1" stopIfTrue="1" operator="notBetween">
      <formula>-1</formula>
      <formula>1</formula>
    </cfRule>
  </conditionalFormatting>
  <pageMargins left="0.7" right="0.7" top="0.75" bottom="0.75" header="0.3" footer="0.3"/>
  <pageSetup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65"/>
  <sheetViews>
    <sheetView zoomScaleNormal="100" workbookViewId="0">
      <pane xSplit="3" topLeftCell="D1" activePane="topRight" state="frozenSplit"/>
      <selection pane="topRight" activeCell="C37" sqref="C37"/>
    </sheetView>
  </sheetViews>
  <sheetFormatPr defaultRowHeight="12.75" x14ac:dyDescent="0.2"/>
  <cols>
    <col min="1" max="1" width="23" style="4" customWidth="1"/>
    <col min="2" max="2" width="1.140625" style="4" customWidth="1"/>
    <col min="3" max="3" width="15" style="4" bestFit="1" customWidth="1"/>
    <col min="4" max="4" width="16.42578125" style="4" bestFit="1" customWidth="1"/>
    <col min="5" max="5" width="0.85546875" style="4" customWidth="1"/>
    <col min="6" max="6" width="13.85546875" style="5" customWidth="1"/>
    <col min="7" max="7" width="7.28515625" style="5" customWidth="1"/>
    <col min="8" max="8" width="15.28515625" style="5" customWidth="1"/>
    <col min="9" max="9" width="0.85546875" style="2" customWidth="1"/>
    <col min="10" max="10" width="13.7109375" style="5" customWidth="1"/>
    <col min="11" max="11" width="13.5703125" style="5" customWidth="1"/>
    <col min="12" max="12" width="11.85546875" style="5" customWidth="1"/>
    <col min="13" max="13" width="11" style="5" customWidth="1"/>
    <col min="14" max="14" width="2.42578125" style="5" customWidth="1"/>
    <col min="15" max="15" width="16.85546875" style="5" bestFit="1" customWidth="1"/>
    <col min="16" max="16" width="12.28515625" style="6" customWidth="1"/>
    <col min="17" max="18" width="14.7109375" style="6" customWidth="1"/>
    <col min="19" max="19" width="11.7109375" style="6" bestFit="1" customWidth="1"/>
    <col min="20" max="20" width="10.28515625" style="6" bestFit="1" customWidth="1"/>
    <col min="21" max="21" width="11.28515625" style="6" customWidth="1"/>
    <col min="22" max="16384" width="9.140625" style="4"/>
  </cols>
  <sheetData>
    <row r="1" spans="1:21" ht="14.25" thickBot="1" x14ac:dyDescent="0.3">
      <c r="A1" s="3" t="s">
        <v>133</v>
      </c>
      <c r="E1" s="49"/>
      <c r="M1" s="7"/>
      <c r="N1" s="6"/>
      <c r="O1" s="6"/>
      <c r="P1" s="13" t="s">
        <v>82</v>
      </c>
      <c r="Q1" s="117">
        <v>201412</v>
      </c>
      <c r="R1" s="8"/>
      <c r="S1" s="8"/>
      <c r="T1" s="9"/>
      <c r="U1" s="4"/>
    </row>
    <row r="2" spans="1:21" ht="13.5" thickBot="1" x14ac:dyDescent="0.25">
      <c r="A2" s="41" t="s">
        <v>150</v>
      </c>
      <c r="B2" s="10"/>
      <c r="C2" s="11"/>
      <c r="D2" s="11"/>
      <c r="E2" s="54"/>
      <c r="F2" s="23"/>
      <c r="G2" s="23"/>
      <c r="H2" s="23"/>
      <c r="I2" s="23"/>
      <c r="J2" s="4"/>
      <c r="L2" s="4"/>
      <c r="M2" s="4"/>
      <c r="N2" s="12"/>
      <c r="O2" s="114" t="s">
        <v>129</v>
      </c>
      <c r="Q2" s="12"/>
      <c r="R2" s="13" t="s">
        <v>82</v>
      </c>
      <c r="S2" s="14"/>
      <c r="T2" s="15"/>
      <c r="U2" s="16"/>
    </row>
    <row r="3" spans="1:21" s="29" customFormat="1" ht="14.25" thickBot="1" x14ac:dyDescent="0.3">
      <c r="A3" s="92"/>
      <c r="B3" s="53"/>
      <c r="C3" s="54"/>
      <c r="D3" s="117">
        <v>201412</v>
      </c>
      <c r="E3" s="54"/>
      <c r="F3" s="23"/>
      <c r="G3" s="23"/>
      <c r="H3" s="23" t="s">
        <v>48</v>
      </c>
      <c r="I3" s="23"/>
      <c r="J3" s="128" t="s">
        <v>151</v>
      </c>
      <c r="K3" s="101" t="s">
        <v>151</v>
      </c>
      <c r="L3" s="18"/>
      <c r="M3" s="96"/>
      <c r="N3" s="39"/>
      <c r="O3" s="96">
        <v>41639</v>
      </c>
      <c r="P3" s="101" t="s">
        <v>153</v>
      </c>
      <c r="Q3" s="96" t="s">
        <v>152</v>
      </c>
      <c r="R3" s="18" t="s">
        <v>83</v>
      </c>
      <c r="S3" s="55"/>
      <c r="T3" s="54"/>
      <c r="U3" s="53"/>
    </row>
    <row r="4" spans="1:21" ht="13.5" thickBot="1" x14ac:dyDescent="0.25">
      <c r="A4" s="98" t="s">
        <v>46</v>
      </c>
      <c r="B4" s="17"/>
      <c r="C4" s="20" t="s">
        <v>44</v>
      </c>
      <c r="D4" s="71">
        <v>42004</v>
      </c>
      <c r="E4" s="71"/>
      <c r="F4" s="18" t="s">
        <v>65</v>
      </c>
      <c r="G4" s="18" t="s">
        <v>32</v>
      </c>
      <c r="H4" s="18" t="s">
        <v>34</v>
      </c>
      <c r="I4" s="18"/>
      <c r="J4" s="18" t="s">
        <v>140</v>
      </c>
      <c r="K4" s="18" t="s">
        <v>62</v>
      </c>
      <c r="L4" s="18"/>
      <c r="M4" s="48"/>
      <c r="N4" s="19"/>
      <c r="O4" s="18" t="s">
        <v>130</v>
      </c>
      <c r="P4" s="18" t="s">
        <v>154</v>
      </c>
      <c r="Q4" s="18" t="s">
        <v>119</v>
      </c>
      <c r="R4" s="71">
        <v>41274</v>
      </c>
      <c r="S4" s="17"/>
      <c r="T4" s="17"/>
      <c r="U4" s="17"/>
    </row>
    <row r="5" spans="1:21" ht="13.5" thickBot="1" x14ac:dyDescent="0.25">
      <c r="A5" s="21"/>
      <c r="B5" s="21"/>
      <c r="C5" s="50" t="s">
        <v>45</v>
      </c>
      <c r="D5" s="99" t="s">
        <v>53</v>
      </c>
      <c r="E5" s="71"/>
      <c r="F5" s="51" t="s">
        <v>4</v>
      </c>
      <c r="G5" s="51" t="s">
        <v>33</v>
      </c>
      <c r="H5" s="51" t="s">
        <v>65</v>
      </c>
      <c r="I5" s="18"/>
      <c r="J5" s="51" t="s">
        <v>7</v>
      </c>
      <c r="K5" s="51" t="s">
        <v>63</v>
      </c>
      <c r="L5" s="51"/>
      <c r="M5" s="52"/>
      <c r="N5" s="22"/>
      <c r="O5" s="51" t="s">
        <v>132</v>
      </c>
      <c r="P5" s="51" t="s">
        <v>62</v>
      </c>
      <c r="Q5" s="51" t="s">
        <v>56</v>
      </c>
      <c r="R5" s="99" t="s">
        <v>53</v>
      </c>
      <c r="S5" s="21"/>
      <c r="T5" s="21"/>
      <c r="U5" s="21"/>
    </row>
    <row r="6" spans="1:21" ht="5.25" customHeight="1" x14ac:dyDescent="0.2">
      <c r="E6" s="49"/>
      <c r="F6" s="23"/>
      <c r="G6" s="23"/>
      <c r="H6" s="23"/>
      <c r="I6" s="23"/>
      <c r="J6" s="23"/>
      <c r="L6" s="23"/>
      <c r="M6" s="7"/>
      <c r="N6" s="8"/>
      <c r="O6" s="9"/>
      <c r="P6" s="9"/>
      <c r="Q6" s="9"/>
      <c r="R6" s="9"/>
      <c r="S6" s="4"/>
      <c r="T6" s="4"/>
      <c r="U6" s="4"/>
    </row>
    <row r="7" spans="1:21" x14ac:dyDescent="0.2">
      <c r="A7" s="25" t="s">
        <v>49</v>
      </c>
      <c r="B7" s="25"/>
      <c r="C7" s="70"/>
      <c r="D7" s="28"/>
      <c r="E7" s="1"/>
      <c r="F7" s="27">
        <v>0</v>
      </c>
      <c r="G7" s="2"/>
      <c r="H7" s="2"/>
      <c r="J7" s="2"/>
      <c r="L7" s="2"/>
      <c r="M7" s="2"/>
      <c r="N7" s="32"/>
      <c r="O7" s="32"/>
      <c r="Q7" s="32"/>
      <c r="S7" s="31"/>
      <c r="T7" s="31"/>
      <c r="U7" s="31"/>
    </row>
    <row r="8" spans="1:21" x14ac:dyDescent="0.2">
      <c r="A8" s="25" t="s">
        <v>9</v>
      </c>
      <c r="B8" s="25"/>
      <c r="C8" s="25" t="s">
        <v>10</v>
      </c>
      <c r="D8" s="2">
        <v>0</v>
      </c>
      <c r="E8" s="1"/>
      <c r="F8"/>
      <c r="G8" s="69"/>
      <c r="H8" s="2">
        <f>-SUM(F8:G8)</f>
        <v>0</v>
      </c>
      <c r="J8"/>
      <c r="K8"/>
      <c r="L8" s="2">
        <f>H8-J8-K8</f>
        <v>0</v>
      </c>
      <c r="M8" s="2">
        <f>L8/(13-MONTH($M$3))</f>
        <v>0</v>
      </c>
      <c r="N8" s="32"/>
      <c r="O8" s="112"/>
      <c r="P8" s="26"/>
      <c r="Q8" s="112"/>
      <c r="R8" s="26"/>
      <c r="S8" s="31"/>
      <c r="T8" s="31"/>
      <c r="U8" s="31"/>
    </row>
    <row r="9" spans="1:21" x14ac:dyDescent="0.2">
      <c r="A9" s="25" t="s">
        <v>9</v>
      </c>
      <c r="B9" s="25"/>
      <c r="C9" s="25" t="s">
        <v>11</v>
      </c>
      <c r="D9" s="2">
        <v>0</v>
      </c>
      <c r="E9" s="1"/>
      <c r="F9"/>
      <c r="G9" s="69"/>
      <c r="H9" s="2">
        <f>-SUM(F9:G9)</f>
        <v>0</v>
      </c>
      <c r="J9"/>
      <c r="K9"/>
      <c r="L9" s="2">
        <f t="shared" ref="L9:L21" si="0">H9-J9-K9</f>
        <v>0</v>
      </c>
      <c r="M9" s="2">
        <f t="shared" ref="M9:M21" si="1">L9/(13-MONTH($M$3))</f>
        <v>0</v>
      </c>
      <c r="N9" s="2"/>
      <c r="O9" s="30"/>
      <c r="P9" s="26"/>
      <c r="Q9" s="30"/>
      <c r="R9" s="26"/>
      <c r="S9" s="25"/>
      <c r="T9" s="25"/>
      <c r="U9" s="25"/>
    </row>
    <row r="10" spans="1:21" x14ac:dyDescent="0.2">
      <c r="A10" s="25" t="s">
        <v>50</v>
      </c>
      <c r="B10" s="25"/>
      <c r="C10" s="70"/>
      <c r="D10" s="2">
        <v>0</v>
      </c>
      <c r="E10" s="1"/>
      <c r="F10"/>
      <c r="G10" s="2"/>
      <c r="H10" s="2"/>
      <c r="J10"/>
      <c r="K10"/>
      <c r="L10" s="2">
        <f t="shared" si="0"/>
        <v>0</v>
      </c>
      <c r="M10" s="2">
        <f t="shared" si="1"/>
        <v>0</v>
      </c>
      <c r="N10" s="32"/>
      <c r="O10" s="112"/>
      <c r="P10" s="26"/>
      <c r="Q10" s="112"/>
      <c r="R10" s="26"/>
      <c r="S10" s="31"/>
      <c r="T10" s="31"/>
      <c r="U10" s="31"/>
    </row>
    <row r="11" spans="1:21" x14ac:dyDescent="0.2">
      <c r="A11" s="25" t="s">
        <v>9</v>
      </c>
      <c r="B11" s="25"/>
      <c r="C11" s="25" t="s">
        <v>13</v>
      </c>
      <c r="D11" s="2">
        <v>0</v>
      </c>
      <c r="E11" s="1"/>
      <c r="F11"/>
      <c r="G11" s="69"/>
      <c r="H11" s="2">
        <f t="shared" ref="H11:H13" si="2">-SUM(F11:G11)</f>
        <v>0</v>
      </c>
      <c r="J11"/>
      <c r="K11"/>
      <c r="L11" s="2">
        <f t="shared" si="0"/>
        <v>0</v>
      </c>
      <c r="M11" s="2">
        <f t="shared" si="1"/>
        <v>0</v>
      </c>
      <c r="N11" s="26"/>
      <c r="O11" s="113"/>
      <c r="P11" s="26"/>
      <c r="Q11" s="113"/>
      <c r="R11" s="26"/>
      <c r="S11" s="25"/>
      <c r="T11" s="25"/>
      <c r="U11" s="25"/>
    </row>
    <row r="12" spans="1:21" x14ac:dyDescent="0.2">
      <c r="A12" s="25" t="s">
        <v>9</v>
      </c>
      <c r="B12" s="25"/>
      <c r="C12" s="25" t="s">
        <v>12</v>
      </c>
      <c r="D12" s="2">
        <v>0</v>
      </c>
      <c r="E12" s="1"/>
      <c r="F12"/>
      <c r="G12" s="69"/>
      <c r="H12" s="2">
        <f t="shared" si="2"/>
        <v>0</v>
      </c>
      <c r="J12"/>
      <c r="K12"/>
      <c r="L12" s="2">
        <f t="shared" si="0"/>
        <v>0</v>
      </c>
      <c r="M12" s="2">
        <f t="shared" si="1"/>
        <v>0</v>
      </c>
      <c r="N12" s="26"/>
      <c r="O12" s="26"/>
      <c r="P12" s="26"/>
      <c r="Q12" s="26"/>
      <c r="R12" s="26"/>
      <c r="S12" s="25"/>
      <c r="T12" s="25"/>
      <c r="U12" s="25"/>
    </row>
    <row r="13" spans="1:21" x14ac:dyDescent="0.2">
      <c r="A13" s="25" t="s">
        <v>9</v>
      </c>
      <c r="B13" s="25"/>
      <c r="C13" s="25" t="s">
        <v>14</v>
      </c>
      <c r="D13" s="2">
        <v>0</v>
      </c>
      <c r="E13" s="1"/>
      <c r="F13" s="27">
        <v>0</v>
      </c>
      <c r="G13" s="2"/>
      <c r="H13" s="2">
        <f t="shared" si="2"/>
        <v>0</v>
      </c>
      <c r="J13"/>
      <c r="K13"/>
      <c r="L13" s="2">
        <f t="shared" si="0"/>
        <v>0</v>
      </c>
      <c r="M13" s="2">
        <f t="shared" si="1"/>
        <v>0</v>
      </c>
      <c r="N13" s="26"/>
      <c r="O13" s="26"/>
      <c r="P13" s="26"/>
      <c r="Q13" s="26"/>
      <c r="R13" s="26"/>
      <c r="S13" s="25"/>
      <c r="T13" s="25"/>
      <c r="U13" s="25"/>
    </row>
    <row r="14" spans="1:21" x14ac:dyDescent="0.2">
      <c r="A14" s="25" t="s">
        <v>2</v>
      </c>
      <c r="B14" s="25"/>
      <c r="C14" s="25" t="s">
        <v>20</v>
      </c>
      <c r="D14" s="94">
        <v>-54762.47</v>
      </c>
      <c r="E14" s="1"/>
      <c r="F14" s="27">
        <v>0</v>
      </c>
      <c r="G14" s="2"/>
      <c r="H14" s="2">
        <f>-SUM(F14:G14)</f>
        <v>0</v>
      </c>
      <c r="J14" s="27">
        <f>O14-D14</f>
        <v>0</v>
      </c>
      <c r="K14" s="5">
        <f>H14-J14</f>
        <v>0</v>
      </c>
      <c r="L14" s="2">
        <f>H14-J14-K14</f>
        <v>0</v>
      </c>
      <c r="M14" s="2">
        <f t="shared" si="1"/>
        <v>0</v>
      </c>
      <c r="N14" s="2"/>
      <c r="O14" s="1">
        <f>Q14-P14</f>
        <v>-54762.47</v>
      </c>
      <c r="P14" s="26">
        <v>0</v>
      </c>
      <c r="Q14" s="94">
        <v>-54762.47</v>
      </c>
      <c r="R14" s="26"/>
      <c r="S14" s="25"/>
      <c r="T14" s="25"/>
      <c r="U14" s="25"/>
    </row>
    <row r="15" spans="1:21" x14ac:dyDescent="0.2">
      <c r="A15" s="25" t="s">
        <v>5</v>
      </c>
      <c r="B15" s="25"/>
      <c r="C15" s="25" t="s">
        <v>22</v>
      </c>
      <c r="D15" s="94">
        <v>407639.11</v>
      </c>
      <c r="E15" s="1"/>
      <c r="F15" s="27">
        <v>0</v>
      </c>
      <c r="G15" s="2"/>
      <c r="H15" s="2">
        <f>-SUM(F15:G15)</f>
        <v>0</v>
      </c>
      <c r="J15" s="27">
        <v>0</v>
      </c>
      <c r="K15" s="5">
        <f>H15-J15</f>
        <v>0</v>
      </c>
      <c r="L15" s="2">
        <f t="shared" si="0"/>
        <v>0</v>
      </c>
      <c r="M15" s="2">
        <f t="shared" si="1"/>
        <v>0</v>
      </c>
      <c r="N15" s="2"/>
      <c r="O15" s="1">
        <f t="shared" ref="O15:O21" si="3">Q15-P15</f>
        <v>407639.11</v>
      </c>
      <c r="P15" s="26">
        <v>0</v>
      </c>
      <c r="Q15" s="94">
        <v>407639.11</v>
      </c>
      <c r="R15" s="26"/>
      <c r="S15" s="25"/>
      <c r="T15" s="25"/>
      <c r="U15" s="25"/>
    </row>
    <row r="16" spans="1:21" x14ac:dyDescent="0.2">
      <c r="A16" s="25" t="s">
        <v>52</v>
      </c>
      <c r="B16" s="25"/>
      <c r="C16" s="25" t="s">
        <v>21</v>
      </c>
      <c r="D16" s="94">
        <v>-858783.12</v>
      </c>
      <c r="E16" s="1"/>
      <c r="F16" s="27">
        <v>0</v>
      </c>
      <c r="G16" s="2"/>
      <c r="H16" s="2">
        <f t="shared" ref="H16:H21" si="4">-SUM(F16:G16)</f>
        <v>0</v>
      </c>
      <c r="J16" s="27">
        <f t="shared" ref="J16" si="5">O16-D16</f>
        <v>0</v>
      </c>
      <c r="K16" s="5">
        <f t="shared" ref="K16:K21" si="6">H16-J16</f>
        <v>0</v>
      </c>
      <c r="L16" s="2">
        <f t="shared" si="0"/>
        <v>0</v>
      </c>
      <c r="M16" s="2">
        <f t="shared" si="1"/>
        <v>0</v>
      </c>
      <c r="N16" s="2"/>
      <c r="O16" s="1">
        <f t="shared" si="3"/>
        <v>-858783.12</v>
      </c>
      <c r="P16" s="26">
        <v>0</v>
      </c>
      <c r="Q16" s="94">
        <v>-858783.12</v>
      </c>
      <c r="R16" s="26"/>
      <c r="S16" s="25"/>
      <c r="T16" s="25"/>
      <c r="U16" s="25"/>
    </row>
    <row r="17" spans="1:21" x14ac:dyDescent="0.2">
      <c r="A17" s="28" t="s">
        <v>29</v>
      </c>
      <c r="B17" s="28"/>
      <c r="C17" s="25" t="s">
        <v>17</v>
      </c>
      <c r="D17" s="94">
        <v>-49809914.689999998</v>
      </c>
      <c r="E17" s="1"/>
      <c r="F17" s="27">
        <v>6550137</v>
      </c>
      <c r="G17" s="2"/>
      <c r="H17" s="2">
        <f t="shared" si="4"/>
        <v>-6550137</v>
      </c>
      <c r="J17" s="27">
        <v>-4485019</v>
      </c>
      <c r="K17" s="5">
        <f>H17-J17</f>
        <v>-2065118</v>
      </c>
      <c r="L17" s="2">
        <f t="shared" si="0"/>
        <v>0</v>
      </c>
      <c r="M17" s="2">
        <f t="shared" si="1"/>
        <v>0</v>
      </c>
      <c r="N17" s="2"/>
      <c r="O17" s="1">
        <f t="shared" si="3"/>
        <v>-49809914.689999998</v>
      </c>
      <c r="P17" s="26">
        <v>0</v>
      </c>
      <c r="Q17" s="94">
        <v>-49809914.689999998</v>
      </c>
      <c r="R17" s="26"/>
      <c r="S17" s="25"/>
      <c r="T17" s="25"/>
      <c r="U17" s="25"/>
    </row>
    <row r="18" spans="1:21" x14ac:dyDescent="0.2">
      <c r="A18" s="28" t="s">
        <v>30</v>
      </c>
      <c r="B18" s="28"/>
      <c r="C18" s="25" t="s">
        <v>18</v>
      </c>
      <c r="D18" s="94">
        <v>-2020863.82</v>
      </c>
      <c r="E18" s="1"/>
      <c r="F18" s="27">
        <v>57830</v>
      </c>
      <c r="G18" s="2"/>
      <c r="H18" s="2">
        <f t="shared" si="4"/>
        <v>-57830</v>
      </c>
      <c r="J18" s="27">
        <v>-57830</v>
      </c>
      <c r="K18" s="5">
        <f t="shared" si="6"/>
        <v>0</v>
      </c>
      <c r="L18" s="2">
        <f t="shared" si="0"/>
        <v>0</v>
      </c>
      <c r="M18" s="2">
        <f t="shared" si="1"/>
        <v>0</v>
      </c>
      <c r="N18" s="2"/>
      <c r="O18" s="1">
        <f t="shared" si="3"/>
        <v>-2020863.82</v>
      </c>
      <c r="P18" s="26">
        <v>0</v>
      </c>
      <c r="Q18" s="94">
        <v>-2020863.82</v>
      </c>
      <c r="R18" s="26"/>
      <c r="S18" s="25"/>
      <c r="T18" s="25"/>
      <c r="U18" s="25"/>
    </row>
    <row r="19" spans="1:21" x14ac:dyDescent="0.2">
      <c r="A19" s="4" t="s">
        <v>28</v>
      </c>
      <c r="B19" s="46"/>
      <c r="C19" s="32" t="s">
        <v>16</v>
      </c>
      <c r="D19" s="94">
        <v>-389834133.11000001</v>
      </c>
      <c r="E19" s="2"/>
      <c r="F19" s="27">
        <v>76847444</v>
      </c>
      <c r="G19" s="2"/>
      <c r="H19" s="2">
        <f t="shared" si="4"/>
        <v>-76847444</v>
      </c>
      <c r="J19" s="27">
        <f>-31806884+74715</f>
        <v>-31732169</v>
      </c>
      <c r="K19" s="5">
        <f t="shared" si="6"/>
        <v>-45115275</v>
      </c>
      <c r="L19" s="2">
        <f t="shared" si="0"/>
        <v>0</v>
      </c>
      <c r="M19" s="2">
        <f t="shared" si="1"/>
        <v>0</v>
      </c>
      <c r="N19" s="2"/>
      <c r="O19" s="1">
        <f>Q19-P19</f>
        <v>-389834133.11000001</v>
      </c>
      <c r="P19" s="26">
        <v>0</v>
      </c>
      <c r="Q19" s="94">
        <v>-389834133.11000001</v>
      </c>
      <c r="R19" s="26"/>
      <c r="S19" s="25"/>
      <c r="T19" s="25"/>
      <c r="U19" s="25"/>
    </row>
    <row r="20" spans="1:21" x14ac:dyDescent="0.2">
      <c r="A20" s="47" t="s">
        <v>26</v>
      </c>
      <c r="B20" s="28"/>
      <c r="C20" s="36" t="s">
        <v>19</v>
      </c>
      <c r="D20" s="94">
        <v>-90260063.870000005</v>
      </c>
      <c r="E20" s="40"/>
      <c r="F20" s="27">
        <v>12572340</v>
      </c>
      <c r="G20" s="2"/>
      <c r="H20" s="2">
        <f t="shared" si="4"/>
        <v>-12572340</v>
      </c>
      <c r="J20" s="27">
        <v>-8700253</v>
      </c>
      <c r="K20" s="5">
        <f t="shared" si="6"/>
        <v>-3872087</v>
      </c>
      <c r="L20" s="2">
        <f t="shared" si="0"/>
        <v>0</v>
      </c>
      <c r="M20" s="2">
        <f t="shared" si="1"/>
        <v>0</v>
      </c>
      <c r="N20" s="2"/>
      <c r="O20" s="1">
        <f t="shared" si="3"/>
        <v>-90260063.870000005</v>
      </c>
      <c r="P20" s="26">
        <v>0</v>
      </c>
      <c r="Q20" s="94">
        <v>-90260063.870000005</v>
      </c>
      <c r="R20" s="26"/>
      <c r="S20" s="25"/>
      <c r="T20" s="25"/>
      <c r="U20" s="25"/>
    </row>
    <row r="21" spans="1:21" x14ac:dyDescent="0.2">
      <c r="A21" s="26" t="s">
        <v>47</v>
      </c>
      <c r="B21" s="26"/>
      <c r="C21" s="26" t="s">
        <v>24</v>
      </c>
      <c r="D21" s="94">
        <v>-50290471.090000004</v>
      </c>
      <c r="E21" s="1"/>
      <c r="F21" s="27">
        <v>8278805</v>
      </c>
      <c r="G21" s="2"/>
      <c r="H21" s="2">
        <f t="shared" si="4"/>
        <v>-8278805</v>
      </c>
      <c r="J21" s="27">
        <v>-4997099</v>
      </c>
      <c r="K21" s="5">
        <f t="shared" si="6"/>
        <v>-3281706</v>
      </c>
      <c r="L21" s="2">
        <f t="shared" si="0"/>
        <v>0</v>
      </c>
      <c r="M21" s="2">
        <f t="shared" si="1"/>
        <v>0</v>
      </c>
      <c r="N21" s="2"/>
      <c r="O21" s="1">
        <f t="shared" si="3"/>
        <v>-50290471.090000004</v>
      </c>
      <c r="P21" s="26">
        <v>0</v>
      </c>
      <c r="Q21" s="94">
        <v>-50290471.090000004</v>
      </c>
      <c r="R21" s="26"/>
      <c r="S21" s="25"/>
      <c r="T21" s="25"/>
      <c r="U21" s="25"/>
    </row>
    <row r="22" spans="1:21" x14ac:dyDescent="0.2">
      <c r="A22" s="25"/>
      <c r="B22" s="25"/>
      <c r="C22" s="35"/>
      <c r="D22" s="2"/>
      <c r="E22" s="72"/>
      <c r="F22" s="2"/>
      <c r="G22" s="2"/>
      <c r="H22" s="2"/>
      <c r="J22" s="2"/>
      <c r="L22" s="2"/>
      <c r="M22" s="2"/>
      <c r="N22" s="26"/>
      <c r="O22" s="129"/>
      <c r="P22" s="26"/>
      <c r="Q22" s="26"/>
      <c r="R22" s="26"/>
      <c r="S22" s="25"/>
      <c r="U22" s="25"/>
    </row>
    <row r="23" spans="1:21" x14ac:dyDescent="0.2">
      <c r="A23" s="25" t="s">
        <v>6</v>
      </c>
      <c r="B23" s="26"/>
      <c r="C23" s="26"/>
      <c r="D23" s="45">
        <f>SUM(D8:D22)</f>
        <v>-582721353.06000006</v>
      </c>
      <c r="E23" s="2"/>
      <c r="F23" s="45">
        <f>SUM(F7:F22)-F7-F10</f>
        <v>104306556</v>
      </c>
      <c r="G23" s="45"/>
      <c r="H23" s="45">
        <f>SUM(H8:H22)</f>
        <v>-104306556</v>
      </c>
      <c r="J23" s="45">
        <f>SUM(J8:J22)</f>
        <v>-49972370</v>
      </c>
      <c r="K23" s="45">
        <f>SUM(K8:K22)</f>
        <v>-54334186</v>
      </c>
      <c r="L23" s="45">
        <f>SUM(L8:L22)</f>
        <v>0</v>
      </c>
      <c r="M23" s="45">
        <f>SUM(M8:M22)</f>
        <v>0</v>
      </c>
      <c r="N23" s="26"/>
      <c r="O23" s="26">
        <f>SUM(O14:O22)</f>
        <v>-582721353.06000006</v>
      </c>
      <c r="P23" s="115"/>
      <c r="Q23" s="115"/>
      <c r="R23" s="45">
        <f>SUM(R8:R22)</f>
        <v>0</v>
      </c>
      <c r="S23" s="25"/>
      <c r="U23" s="25"/>
    </row>
    <row r="24" spans="1:21" x14ac:dyDescent="0.2">
      <c r="A24" s="24" t="s">
        <v>135</v>
      </c>
      <c r="D24" s="26">
        <v>582721226.13</v>
      </c>
      <c r="E24" s="1"/>
      <c r="F24" s="56">
        <v>104306555.8</v>
      </c>
      <c r="H24" s="5">
        <f>ROUND(F24+H23,0)</f>
        <v>0</v>
      </c>
      <c r="L24" s="7">
        <f>J23+K23+L23-H23</f>
        <v>0</v>
      </c>
      <c r="M24" s="6">
        <f>(M23*(13-MONTH($M$3))-L23)</f>
        <v>0</v>
      </c>
      <c r="N24" s="6"/>
      <c r="O24" s="26"/>
      <c r="P24" s="2">
        <f>SUM(P8:P22)</f>
        <v>0</v>
      </c>
      <c r="Q24" s="26">
        <f>SUM(Q14:Q22)</f>
        <v>-582721353.06000006</v>
      </c>
      <c r="R24" s="8"/>
      <c r="S24" s="9"/>
      <c r="U24" s="4"/>
    </row>
    <row r="25" spans="1:21" ht="13.5" thickBot="1" x14ac:dyDescent="0.25">
      <c r="A25" s="24"/>
      <c r="D25" s="26"/>
      <c r="K25" s="7"/>
      <c r="L25" s="6"/>
      <c r="M25" s="6"/>
      <c r="N25" s="6"/>
      <c r="O25" s="8"/>
      <c r="P25" s="8"/>
      <c r="Q25" s="8"/>
      <c r="R25" s="8"/>
      <c r="S25" s="9"/>
      <c r="T25" s="25">
        <v>-11075201.25999999</v>
      </c>
      <c r="U25" s="4"/>
    </row>
    <row r="26" spans="1:21" ht="13.5" thickBot="1" x14ac:dyDescent="0.25">
      <c r="A26" s="24"/>
      <c r="H26" s="200" t="s">
        <v>155</v>
      </c>
      <c r="I26" s="201"/>
      <c r="J26" s="201"/>
      <c r="K26" s="201"/>
      <c r="L26" s="202"/>
      <c r="M26" s="6"/>
      <c r="O26" s="6"/>
      <c r="S26" s="8"/>
      <c r="T26" s="25">
        <v>-2951950.549999997</v>
      </c>
      <c r="U26" s="9"/>
    </row>
    <row r="27" spans="1:21" ht="13.5" thickBot="1" x14ac:dyDescent="0.25">
      <c r="A27" s="24"/>
      <c r="C27" s="127" t="s">
        <v>148</v>
      </c>
      <c r="D27" s="116">
        <f>SUM(D23:D24)</f>
        <v>-126.9300000667572</v>
      </c>
      <c r="H27" s="200" t="s">
        <v>156</v>
      </c>
      <c r="I27" s="201"/>
      <c r="J27" s="201"/>
      <c r="K27" s="201"/>
      <c r="L27" s="202"/>
      <c r="M27" s="7"/>
      <c r="N27" s="6"/>
      <c r="O27"/>
      <c r="S27" s="8"/>
      <c r="T27" s="25">
        <v>-1363621.129999999</v>
      </c>
      <c r="U27" s="9"/>
    </row>
    <row r="28" spans="1:21" x14ac:dyDescent="0.2">
      <c r="A28" s="24"/>
      <c r="D28" s="116"/>
      <c r="H28" s="75"/>
      <c r="I28" s="18"/>
      <c r="J28" s="18"/>
      <c r="K28" s="18"/>
      <c r="L28" s="76"/>
      <c r="N28" s="6"/>
      <c r="O28"/>
      <c r="T28" s="8"/>
      <c r="U28" s="8"/>
    </row>
    <row r="29" spans="1:21" x14ac:dyDescent="0.2">
      <c r="A29" s="49"/>
      <c r="B29" s="49"/>
      <c r="C29" s="131" t="s">
        <v>149</v>
      </c>
      <c r="D29" s="130">
        <f>K23</f>
        <v>-54334186</v>
      </c>
      <c r="E29" s="49"/>
      <c r="F29" s="2"/>
      <c r="H29" s="77" t="s">
        <v>35</v>
      </c>
      <c r="I29" s="38"/>
      <c r="J29" s="38"/>
      <c r="K29" s="20" t="s">
        <v>44</v>
      </c>
      <c r="L29" s="78"/>
      <c r="O29"/>
    </row>
    <row r="30" spans="1:21" ht="13.5" thickBot="1" x14ac:dyDescent="0.25">
      <c r="A30" s="122"/>
      <c r="B30" s="49"/>
      <c r="C30" s="49"/>
      <c r="D30" s="2"/>
      <c r="E30" s="49"/>
      <c r="F30" s="123"/>
      <c r="H30" s="79" t="s">
        <v>42</v>
      </c>
      <c r="I30" s="44"/>
      <c r="J30" s="38"/>
      <c r="K30" s="50" t="s">
        <v>45</v>
      </c>
      <c r="L30" s="78"/>
      <c r="N30" s="34"/>
      <c r="O30"/>
      <c r="P30" s="5"/>
      <c r="Q30" s="5"/>
      <c r="R30" s="5"/>
      <c r="T30" s="7"/>
    </row>
    <row r="31" spans="1:21" x14ac:dyDescent="0.2">
      <c r="A31" s="122"/>
      <c r="B31" s="49"/>
      <c r="C31" s="54" t="s">
        <v>146</v>
      </c>
      <c r="D31" s="2">
        <f>SUM(D27:D29)</f>
        <v>-54334312.930000067</v>
      </c>
      <c r="E31" s="49"/>
      <c r="F31" s="123"/>
      <c r="H31" s="80" t="s">
        <v>38</v>
      </c>
      <c r="I31" s="38"/>
      <c r="J31" s="90">
        <f>-M8</f>
        <v>0</v>
      </c>
      <c r="K31" s="26" t="s">
        <v>10</v>
      </c>
      <c r="L31" s="91">
        <f>M8</f>
        <v>0</v>
      </c>
      <c r="P31" s="5"/>
      <c r="Q31" s="5"/>
      <c r="R31" s="5"/>
      <c r="T31" s="7"/>
    </row>
    <row r="32" spans="1:21" x14ac:dyDescent="0.2">
      <c r="A32" s="122"/>
      <c r="B32" s="49"/>
      <c r="C32" s="54"/>
      <c r="D32" s="2"/>
      <c r="E32" s="49"/>
      <c r="F32" s="123"/>
      <c r="H32" s="80" t="s">
        <v>38</v>
      </c>
      <c r="I32" s="43"/>
      <c r="J32" s="42">
        <f>-M9</f>
        <v>0</v>
      </c>
      <c r="K32" s="26" t="s">
        <v>11</v>
      </c>
      <c r="L32" s="78">
        <f>M9</f>
        <v>0</v>
      </c>
      <c r="P32" s="5"/>
      <c r="Q32" s="5"/>
      <c r="R32" s="5"/>
      <c r="T32" s="7"/>
    </row>
    <row r="33" spans="1:20" x14ac:dyDescent="0.2">
      <c r="A33" s="49"/>
      <c r="B33" s="49"/>
      <c r="C33" s="131" t="s">
        <v>158</v>
      </c>
      <c r="D33" s="130">
        <f>40524918+9313955+4237164</f>
        <v>54076037</v>
      </c>
      <c r="E33" s="49"/>
      <c r="F33" s="2"/>
      <c r="H33" s="81" t="s">
        <v>15</v>
      </c>
      <c r="I33" s="43"/>
      <c r="J33" s="42">
        <f t="shared" ref="J33:J43" si="7">-M11</f>
        <v>0</v>
      </c>
      <c r="K33" s="26" t="s">
        <v>13</v>
      </c>
      <c r="L33" s="78">
        <f t="shared" ref="L33:L43" si="8">M11</f>
        <v>0</v>
      </c>
      <c r="P33" s="94"/>
      <c r="Q33" s="5"/>
      <c r="R33" s="5"/>
      <c r="T33" s="7"/>
    </row>
    <row r="34" spans="1:20" x14ac:dyDescent="0.2">
      <c r="A34" s="118"/>
      <c r="B34" s="49"/>
      <c r="C34" s="18"/>
      <c r="D34" s="119"/>
      <c r="E34" s="119"/>
      <c r="F34" s="119"/>
      <c r="H34" s="81" t="s">
        <v>15</v>
      </c>
      <c r="I34" s="38"/>
      <c r="J34" s="42">
        <f t="shared" si="7"/>
        <v>0</v>
      </c>
      <c r="K34" s="26" t="s">
        <v>12</v>
      </c>
      <c r="L34" s="78">
        <f t="shared" si="8"/>
        <v>0</v>
      </c>
      <c r="O34" s="93"/>
      <c r="P34" s="94"/>
      <c r="Q34" s="5"/>
      <c r="R34" s="5"/>
      <c r="T34" s="7"/>
    </row>
    <row r="35" spans="1:20" x14ac:dyDescent="0.2">
      <c r="A35" s="49"/>
      <c r="B35" s="49"/>
      <c r="C35" s="54" t="s">
        <v>146</v>
      </c>
      <c r="D35" s="124">
        <f>SUM(D31:D33)</f>
        <v>-258275.93000006676</v>
      </c>
      <c r="E35" s="121"/>
      <c r="F35" s="2"/>
      <c r="H35" s="81" t="s">
        <v>25</v>
      </c>
      <c r="I35" s="38"/>
      <c r="J35" s="42">
        <f t="shared" si="7"/>
        <v>0</v>
      </c>
      <c r="K35" s="26" t="s">
        <v>14</v>
      </c>
      <c r="L35" s="78">
        <f t="shared" si="8"/>
        <v>0</v>
      </c>
      <c r="O35" s="93"/>
      <c r="P35" s="94"/>
      <c r="Q35" s="5"/>
      <c r="R35" s="5"/>
      <c r="T35" s="7"/>
    </row>
    <row r="36" spans="1:20" x14ac:dyDescent="0.2">
      <c r="A36" s="49"/>
      <c r="B36" s="49"/>
      <c r="D36" s="124"/>
      <c r="E36" s="121"/>
      <c r="F36" s="2"/>
      <c r="H36" s="81" t="s">
        <v>41</v>
      </c>
      <c r="I36" s="38"/>
      <c r="J36" s="42">
        <f t="shared" si="7"/>
        <v>0</v>
      </c>
      <c r="K36" s="26" t="s">
        <v>20</v>
      </c>
      <c r="L36" s="78">
        <f t="shared" si="8"/>
        <v>0</v>
      </c>
      <c r="O36" s="93"/>
      <c r="P36" s="94"/>
      <c r="Q36" s="5"/>
      <c r="R36" s="5"/>
      <c r="T36" s="7"/>
    </row>
    <row r="37" spans="1:20" x14ac:dyDescent="0.2">
      <c r="A37" s="49"/>
      <c r="B37" s="49"/>
      <c r="C37" s="120" t="s">
        <v>159</v>
      </c>
      <c r="D37" s="124">
        <f>129138+129138</f>
        <v>258276</v>
      </c>
      <c r="E37" s="121"/>
      <c r="F37" s="2"/>
      <c r="H37" s="81" t="s">
        <v>41</v>
      </c>
      <c r="I37" s="43"/>
      <c r="J37" s="42">
        <f t="shared" si="7"/>
        <v>0</v>
      </c>
      <c r="K37" s="26" t="s">
        <v>22</v>
      </c>
      <c r="L37" s="78">
        <f t="shared" si="8"/>
        <v>0</v>
      </c>
      <c r="O37" s="93"/>
      <c r="P37" s="94"/>
      <c r="Q37" s="5"/>
      <c r="R37" s="5"/>
      <c r="T37" s="7"/>
    </row>
    <row r="38" spans="1:20" x14ac:dyDescent="0.2">
      <c r="A38" s="49"/>
      <c r="B38" s="49"/>
      <c r="C38" s="134"/>
      <c r="D38" s="132"/>
      <c r="E38" s="121"/>
      <c r="F38" s="2"/>
      <c r="H38" s="81" t="s">
        <v>41</v>
      </c>
      <c r="I38" s="38"/>
      <c r="J38" s="42">
        <f t="shared" si="7"/>
        <v>0</v>
      </c>
      <c r="K38" s="26" t="s">
        <v>21</v>
      </c>
      <c r="L38" s="78">
        <f t="shared" si="8"/>
        <v>0</v>
      </c>
      <c r="O38" s="93"/>
      <c r="P38" s="94"/>
      <c r="Q38" s="5"/>
      <c r="R38" s="5"/>
      <c r="T38" s="7"/>
    </row>
    <row r="39" spans="1:20" ht="13.5" thickBot="1" x14ac:dyDescent="0.25">
      <c r="A39" s="49"/>
      <c r="B39" s="49"/>
      <c r="C39" s="135" t="s">
        <v>160</v>
      </c>
      <c r="D39" s="133">
        <f>SUM(D35:D37)</f>
        <v>6.9999933242797852E-2</v>
      </c>
      <c r="E39" s="124"/>
      <c r="F39" s="2"/>
      <c r="H39" s="80" t="s">
        <v>36</v>
      </c>
      <c r="I39" s="38"/>
      <c r="J39" s="42">
        <f t="shared" si="7"/>
        <v>0</v>
      </c>
      <c r="K39" s="26" t="s">
        <v>17</v>
      </c>
      <c r="L39" s="78">
        <f t="shared" si="8"/>
        <v>0</v>
      </c>
      <c r="O39" s="93"/>
      <c r="P39" s="94"/>
      <c r="Q39" s="5"/>
      <c r="R39" s="5"/>
      <c r="T39" s="7"/>
    </row>
    <row r="40" spans="1:20" x14ac:dyDescent="0.2">
      <c r="A40" s="49"/>
      <c r="B40" s="49"/>
      <c r="C40" s="93"/>
      <c r="D40" s="94"/>
      <c r="E40" s="94"/>
      <c r="H40" s="80" t="s">
        <v>37</v>
      </c>
      <c r="I40" s="38"/>
      <c r="J40" s="42">
        <f t="shared" si="7"/>
        <v>0</v>
      </c>
      <c r="K40" s="26" t="s">
        <v>18</v>
      </c>
      <c r="L40" s="78">
        <f t="shared" si="8"/>
        <v>0</v>
      </c>
      <c r="O40" s="29"/>
      <c r="P40" s="94"/>
      <c r="Q40" s="5"/>
      <c r="R40" s="5"/>
      <c r="T40" s="7"/>
    </row>
    <row r="41" spans="1:20" x14ac:dyDescent="0.2">
      <c r="A41" s="49"/>
      <c r="B41" s="49"/>
      <c r="C41" s="93"/>
      <c r="D41" s="94"/>
      <c r="E41" s="94"/>
      <c r="H41" s="82" t="s">
        <v>38</v>
      </c>
      <c r="I41" s="38"/>
      <c r="J41" s="42">
        <f t="shared" si="7"/>
        <v>0</v>
      </c>
      <c r="K41" s="32" t="s">
        <v>16</v>
      </c>
      <c r="L41" s="78">
        <f t="shared" si="8"/>
        <v>0</v>
      </c>
      <c r="O41" s="29"/>
      <c r="P41" s="94"/>
      <c r="Q41" s="5"/>
      <c r="R41" s="5"/>
      <c r="T41" s="7"/>
    </row>
    <row r="42" spans="1:20" x14ac:dyDescent="0.2">
      <c r="A42" s="49"/>
      <c r="B42" s="49"/>
      <c r="D42" s="94"/>
      <c r="E42" s="94"/>
      <c r="H42" s="83" t="s">
        <v>39</v>
      </c>
      <c r="I42" s="33"/>
      <c r="J42" s="42">
        <f t="shared" si="7"/>
        <v>0</v>
      </c>
      <c r="K42" s="84" t="s">
        <v>19</v>
      </c>
      <c r="L42" s="78">
        <f t="shared" si="8"/>
        <v>0</v>
      </c>
      <c r="O42" s="4"/>
      <c r="P42" s="116"/>
      <c r="Q42" s="5"/>
      <c r="R42" s="5"/>
      <c r="T42" s="7"/>
    </row>
    <row r="43" spans="1:20" ht="13.5" thickBot="1" x14ac:dyDescent="0.25">
      <c r="A43" s="49"/>
      <c r="B43" s="49"/>
      <c r="C43" s="93"/>
      <c r="D43" s="94"/>
      <c r="E43" s="94"/>
      <c r="H43" s="85" t="s">
        <v>40</v>
      </c>
      <c r="I43" s="86"/>
      <c r="J43" s="87">
        <f t="shared" si="7"/>
        <v>0</v>
      </c>
      <c r="K43" s="88" t="s">
        <v>24</v>
      </c>
      <c r="L43" s="89">
        <f t="shared" si="8"/>
        <v>0</v>
      </c>
      <c r="P43" s="5"/>
      <c r="Q43" s="5"/>
      <c r="R43" s="5"/>
      <c r="T43" s="7"/>
    </row>
    <row r="44" spans="1:20" x14ac:dyDescent="0.2">
      <c r="A44" s="49"/>
      <c r="B44" s="49"/>
      <c r="C44" s="93"/>
      <c r="D44" s="94"/>
      <c r="E44" s="94"/>
      <c r="H44" s="73" t="s">
        <v>51</v>
      </c>
      <c r="I44" s="37"/>
      <c r="J44" s="74">
        <f>SUM(J31:J43)+SUM(L31:L43)</f>
        <v>0</v>
      </c>
      <c r="L44" s="5">
        <f>SUM(L31:L43)</f>
        <v>0</v>
      </c>
      <c r="P44" s="5"/>
      <c r="Q44" s="5"/>
      <c r="R44" s="5"/>
      <c r="T44" s="7"/>
    </row>
    <row r="45" spans="1:20" x14ac:dyDescent="0.2">
      <c r="A45" s="49"/>
      <c r="B45" s="49"/>
      <c r="C45" s="93"/>
      <c r="D45" s="94"/>
      <c r="E45" s="94"/>
      <c r="H45" s="38"/>
      <c r="I45" s="38"/>
      <c r="P45" s="5"/>
      <c r="Q45" s="5"/>
      <c r="R45" s="5"/>
      <c r="T45" s="7"/>
    </row>
    <row r="46" spans="1:20" ht="13.5" thickBot="1" x14ac:dyDescent="0.25">
      <c r="A46" s="49"/>
      <c r="B46" s="49"/>
      <c r="C46" s="93"/>
      <c r="D46" s="94"/>
      <c r="E46" s="94"/>
      <c r="H46" s="38"/>
      <c r="I46" s="38"/>
      <c r="P46" s="5"/>
      <c r="Q46" s="5"/>
      <c r="R46" s="5"/>
      <c r="S46" s="7"/>
    </row>
    <row r="47" spans="1:20" ht="13.5" thickBot="1" x14ac:dyDescent="0.25">
      <c r="A47" s="49"/>
      <c r="B47" s="49"/>
      <c r="C47" s="93"/>
      <c r="D47" s="94"/>
      <c r="E47" s="94"/>
      <c r="H47" s="200" t="s">
        <v>157</v>
      </c>
      <c r="I47" s="201"/>
      <c r="J47" s="201"/>
      <c r="K47" s="201"/>
      <c r="L47" s="202"/>
      <c r="P47" s="5"/>
      <c r="Q47" s="5"/>
      <c r="R47" s="5"/>
      <c r="S47" s="7"/>
    </row>
    <row r="48" spans="1:20" ht="13.5" thickBot="1" x14ac:dyDescent="0.25">
      <c r="A48" s="49"/>
      <c r="B48" s="49"/>
      <c r="C48" s="93"/>
      <c r="D48" s="94"/>
      <c r="E48" s="94"/>
      <c r="H48" s="200" t="s">
        <v>156</v>
      </c>
      <c r="I48" s="201"/>
      <c r="J48" s="201"/>
      <c r="K48" s="201"/>
      <c r="L48" s="202"/>
      <c r="P48" s="5"/>
      <c r="Q48" s="5"/>
      <c r="R48" s="5"/>
      <c r="S48" s="7"/>
    </row>
    <row r="49" spans="1:14" x14ac:dyDescent="0.2">
      <c r="A49" s="29"/>
      <c r="B49" s="29"/>
      <c r="C49" s="29"/>
      <c r="D49" s="94"/>
      <c r="E49" s="29"/>
      <c r="H49" s="75"/>
      <c r="I49" s="18"/>
      <c r="J49" s="18"/>
      <c r="K49" s="18"/>
      <c r="L49" s="76"/>
    </row>
    <row r="50" spans="1:14" x14ac:dyDescent="0.2">
      <c r="A50" s="29"/>
      <c r="B50" s="29"/>
      <c r="C50" s="29"/>
      <c r="D50" s="94"/>
      <c r="E50" s="29"/>
      <c r="H50" s="77" t="s">
        <v>35</v>
      </c>
      <c r="I50" s="38"/>
      <c r="J50" s="38"/>
      <c r="K50" s="20" t="s">
        <v>44</v>
      </c>
      <c r="L50" s="78"/>
    </row>
    <row r="51" spans="1:14" ht="13.5" thickBot="1" x14ac:dyDescent="0.25">
      <c r="D51" s="116"/>
      <c r="H51" s="79" t="s">
        <v>42</v>
      </c>
      <c r="I51" s="44"/>
      <c r="J51" s="38"/>
      <c r="K51" s="50" t="s">
        <v>45</v>
      </c>
      <c r="L51" s="78"/>
    </row>
    <row r="52" spans="1:14" x14ac:dyDescent="0.2">
      <c r="A52" s="29"/>
      <c r="B52" s="29"/>
      <c r="H52" s="80" t="s">
        <v>38</v>
      </c>
      <c r="I52" s="38"/>
      <c r="J52" s="90">
        <f>-K8</f>
        <v>0</v>
      </c>
      <c r="K52" s="26" t="s">
        <v>10</v>
      </c>
      <c r="L52" s="91">
        <f>K8</f>
        <v>0</v>
      </c>
    </row>
    <row r="53" spans="1:14" x14ac:dyDescent="0.2">
      <c r="H53" s="80" t="s">
        <v>38</v>
      </c>
      <c r="I53" s="43"/>
      <c r="J53" s="42">
        <f>-K9</f>
        <v>0</v>
      </c>
      <c r="K53" s="26" t="s">
        <v>11</v>
      </c>
      <c r="L53" s="78">
        <f>K9</f>
        <v>0</v>
      </c>
    </row>
    <row r="54" spans="1:14" x14ac:dyDescent="0.2">
      <c r="A54" s="29"/>
      <c r="B54" s="29"/>
      <c r="H54" s="81" t="s">
        <v>15</v>
      </c>
      <c r="I54" s="43"/>
      <c r="J54" s="42">
        <f>-K11</f>
        <v>0</v>
      </c>
      <c r="K54" s="26" t="s">
        <v>13</v>
      </c>
      <c r="L54" s="78">
        <f>K11</f>
        <v>0</v>
      </c>
    </row>
    <row r="55" spans="1:14" x14ac:dyDescent="0.2">
      <c r="H55" s="81" t="s">
        <v>15</v>
      </c>
      <c r="I55" s="38"/>
      <c r="J55" s="42">
        <f t="shared" ref="J55:J64" si="9">-K12</f>
        <v>0</v>
      </c>
      <c r="K55" s="26" t="s">
        <v>12</v>
      </c>
      <c r="L55" s="78">
        <f t="shared" ref="L55:L64" si="10">K12</f>
        <v>0</v>
      </c>
    </row>
    <row r="56" spans="1:14" x14ac:dyDescent="0.2">
      <c r="H56" s="81" t="s">
        <v>25</v>
      </c>
      <c r="I56" s="38"/>
      <c r="J56" s="42">
        <f t="shared" si="9"/>
        <v>0</v>
      </c>
      <c r="K56" s="26" t="s">
        <v>14</v>
      </c>
      <c r="L56" s="78">
        <f t="shared" si="10"/>
        <v>0</v>
      </c>
    </row>
    <row r="57" spans="1:14" x14ac:dyDescent="0.2">
      <c r="H57" s="81" t="s">
        <v>41</v>
      </c>
      <c r="I57" s="38"/>
      <c r="J57" s="42">
        <f t="shared" si="9"/>
        <v>0</v>
      </c>
      <c r="K57" s="26" t="s">
        <v>20</v>
      </c>
      <c r="L57" s="78">
        <f t="shared" si="10"/>
        <v>0</v>
      </c>
      <c r="N57" s="5">
        <v>-63773.47</v>
      </c>
    </row>
    <row r="58" spans="1:14" x14ac:dyDescent="0.2">
      <c r="H58" s="81" t="s">
        <v>41</v>
      </c>
      <c r="I58" s="43"/>
      <c r="J58" s="42">
        <f t="shared" si="9"/>
        <v>0</v>
      </c>
      <c r="K58" s="26" t="s">
        <v>22</v>
      </c>
      <c r="L58" s="78">
        <f t="shared" si="10"/>
        <v>0</v>
      </c>
    </row>
    <row r="59" spans="1:14" x14ac:dyDescent="0.2">
      <c r="H59" s="81" t="s">
        <v>41</v>
      </c>
      <c r="I59" s="38"/>
      <c r="J59" s="42">
        <f t="shared" si="9"/>
        <v>0</v>
      </c>
      <c r="K59" s="26" t="s">
        <v>21</v>
      </c>
      <c r="L59" s="78">
        <f t="shared" si="10"/>
        <v>0</v>
      </c>
    </row>
    <row r="60" spans="1:14" x14ac:dyDescent="0.2">
      <c r="H60" s="80" t="s">
        <v>36</v>
      </c>
      <c r="I60" s="38"/>
      <c r="J60" s="42">
        <f t="shared" si="9"/>
        <v>2065118</v>
      </c>
      <c r="K60" s="26" t="s">
        <v>17</v>
      </c>
      <c r="L60" s="78">
        <f t="shared" si="10"/>
        <v>-2065118</v>
      </c>
    </row>
    <row r="61" spans="1:14" x14ac:dyDescent="0.2">
      <c r="H61" s="80" t="s">
        <v>37</v>
      </c>
      <c r="I61" s="38"/>
      <c r="J61" s="42">
        <f t="shared" si="9"/>
        <v>0</v>
      </c>
      <c r="K61" s="26" t="s">
        <v>18</v>
      </c>
      <c r="L61" s="78">
        <f t="shared" si="10"/>
        <v>0</v>
      </c>
    </row>
    <row r="62" spans="1:14" x14ac:dyDescent="0.2">
      <c r="H62" s="82" t="s">
        <v>38</v>
      </c>
      <c r="I62" s="38"/>
      <c r="J62" s="42">
        <f t="shared" si="9"/>
        <v>45115275</v>
      </c>
      <c r="K62" s="32" t="s">
        <v>16</v>
      </c>
      <c r="L62" s="78">
        <f t="shared" si="10"/>
        <v>-45115275</v>
      </c>
    </row>
    <row r="63" spans="1:14" x14ac:dyDescent="0.2">
      <c r="H63" s="83" t="s">
        <v>39</v>
      </c>
      <c r="I63" s="33"/>
      <c r="J63" s="42">
        <f t="shared" si="9"/>
        <v>3872087</v>
      </c>
      <c r="K63" s="84" t="s">
        <v>19</v>
      </c>
      <c r="L63" s="78">
        <f t="shared" si="10"/>
        <v>-3872087</v>
      </c>
    </row>
    <row r="64" spans="1:14" ht="13.5" thickBot="1" x14ac:dyDescent="0.25">
      <c r="H64" s="85" t="s">
        <v>40</v>
      </c>
      <c r="I64" s="86"/>
      <c r="J64" s="87">
        <f t="shared" si="9"/>
        <v>3281706</v>
      </c>
      <c r="K64" s="88" t="s">
        <v>24</v>
      </c>
      <c r="L64" s="89">
        <f t="shared" si="10"/>
        <v>-3281706</v>
      </c>
    </row>
    <row r="65" spans="8:12" x14ac:dyDescent="0.2">
      <c r="H65" s="73" t="s">
        <v>51</v>
      </c>
      <c r="I65" s="37"/>
      <c r="J65" s="74">
        <f>SUM(J52:J64)+SUM(L52:L64)</f>
        <v>0</v>
      </c>
      <c r="L65" s="5">
        <f>SUM(L52:L64)</f>
        <v>-54334186</v>
      </c>
    </row>
  </sheetData>
  <mergeCells count="4">
    <mergeCell ref="H26:L26"/>
    <mergeCell ref="H27:L27"/>
    <mergeCell ref="H47:L47"/>
    <mergeCell ref="H48:L48"/>
  </mergeCells>
  <conditionalFormatting sqref="M24 H24">
    <cfRule type="cellIs" dxfId="9" priority="1" stopIfTrue="1" operator="notBetween">
      <formula>-1</formula>
      <formula>1</formula>
    </cfRule>
  </conditionalFormatting>
  <pageMargins left="0.7" right="0.7" top="0.75" bottom="0.75" header="0.3" footer="0.3"/>
  <pageSetup scale="6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65"/>
  <sheetViews>
    <sheetView zoomScaleNormal="100" workbookViewId="0">
      <pane xSplit="3" topLeftCell="D1" activePane="topRight" state="frozenSplit"/>
      <selection pane="topRight" activeCell="F37" sqref="F37"/>
    </sheetView>
  </sheetViews>
  <sheetFormatPr defaultRowHeight="12.75" x14ac:dyDescent="0.2"/>
  <cols>
    <col min="1" max="1" width="23" style="4" customWidth="1"/>
    <col min="2" max="2" width="1.140625" style="4" customWidth="1"/>
    <col min="3" max="3" width="15" style="4" bestFit="1" customWidth="1"/>
    <col min="4" max="4" width="16.42578125" style="4" bestFit="1" customWidth="1"/>
    <col min="5" max="5" width="0.85546875" style="4" customWidth="1"/>
    <col min="6" max="6" width="13.85546875" style="5" customWidth="1"/>
    <col min="7" max="7" width="7.28515625" style="5" customWidth="1"/>
    <col min="8" max="8" width="15.28515625" style="5" customWidth="1"/>
    <col min="9" max="9" width="0.85546875" style="2" customWidth="1"/>
    <col min="10" max="10" width="13.7109375" style="5" customWidth="1"/>
    <col min="11" max="11" width="13.5703125" style="5" customWidth="1"/>
    <col min="12" max="12" width="11.85546875" style="5" customWidth="1"/>
    <col min="13" max="13" width="11" style="5" customWidth="1"/>
    <col min="14" max="14" width="2.42578125" style="5" customWidth="1"/>
    <col min="15" max="15" width="16.85546875" style="5" bestFit="1" customWidth="1"/>
    <col min="16" max="16" width="12.28515625" style="6" customWidth="1"/>
    <col min="17" max="18" width="14.7109375" style="6" customWidth="1"/>
    <col min="19" max="19" width="11.7109375" style="6" bestFit="1" customWidth="1"/>
    <col min="20" max="20" width="10.28515625" style="6" bestFit="1" customWidth="1"/>
    <col min="21" max="21" width="11.28515625" style="6" customWidth="1"/>
    <col min="22" max="16384" width="9.140625" style="4"/>
  </cols>
  <sheetData>
    <row r="1" spans="1:21" ht="14.25" thickBot="1" x14ac:dyDescent="0.3">
      <c r="A1" s="3" t="s">
        <v>133</v>
      </c>
      <c r="E1" s="49"/>
      <c r="M1" s="7"/>
      <c r="N1" s="6"/>
      <c r="O1" s="6"/>
      <c r="P1" s="13" t="s">
        <v>82</v>
      </c>
      <c r="Q1" s="117">
        <v>201312</v>
      </c>
      <c r="R1" s="8"/>
      <c r="S1" s="8"/>
      <c r="T1" s="9"/>
      <c r="U1" s="4"/>
    </row>
    <row r="2" spans="1:21" ht="13.5" thickBot="1" x14ac:dyDescent="0.25">
      <c r="A2" s="41" t="s">
        <v>143</v>
      </c>
      <c r="B2" s="10"/>
      <c r="C2" s="11"/>
      <c r="D2" s="11"/>
      <c r="E2" s="54"/>
      <c r="F2" s="23"/>
      <c r="G2" s="23"/>
      <c r="H2" s="23"/>
      <c r="I2" s="23"/>
      <c r="J2" s="4"/>
      <c r="L2" s="4"/>
      <c r="M2" s="4"/>
      <c r="N2" s="12"/>
      <c r="O2" s="114" t="s">
        <v>129</v>
      </c>
      <c r="Q2" s="12"/>
      <c r="R2" s="13" t="s">
        <v>82</v>
      </c>
      <c r="S2" s="14"/>
      <c r="T2" s="15"/>
      <c r="U2" s="16"/>
    </row>
    <row r="3" spans="1:21" s="29" customFormat="1" ht="14.25" thickBot="1" x14ac:dyDescent="0.3">
      <c r="A3" s="92"/>
      <c r="B3" s="53"/>
      <c r="C3" s="54"/>
      <c r="D3" s="117">
        <v>201312</v>
      </c>
      <c r="E3" s="54"/>
      <c r="F3" s="23"/>
      <c r="G3" s="23"/>
      <c r="H3" s="23" t="s">
        <v>48</v>
      </c>
      <c r="I3" s="23"/>
      <c r="J3" s="128" t="s">
        <v>139</v>
      </c>
      <c r="K3" s="101" t="s">
        <v>139</v>
      </c>
      <c r="L3" s="18"/>
      <c r="M3" s="96"/>
      <c r="N3" s="39"/>
      <c r="O3" s="96">
        <v>41639</v>
      </c>
      <c r="P3" s="101" t="s">
        <v>136</v>
      </c>
      <c r="Q3" s="96" t="s">
        <v>141</v>
      </c>
      <c r="R3" s="18" t="s">
        <v>83</v>
      </c>
      <c r="S3" s="55"/>
      <c r="T3" s="54"/>
      <c r="U3" s="53"/>
    </row>
    <row r="4" spans="1:21" ht="13.5" thickBot="1" x14ac:dyDescent="0.25">
      <c r="A4" s="98" t="s">
        <v>46</v>
      </c>
      <c r="B4" s="17"/>
      <c r="C4" s="20" t="s">
        <v>44</v>
      </c>
      <c r="D4" s="71">
        <v>41274</v>
      </c>
      <c r="E4" s="71"/>
      <c r="F4" s="18" t="s">
        <v>65</v>
      </c>
      <c r="G4" s="18" t="s">
        <v>32</v>
      </c>
      <c r="H4" s="18" t="s">
        <v>34</v>
      </c>
      <c r="I4" s="18"/>
      <c r="J4" s="18" t="s">
        <v>140</v>
      </c>
      <c r="K4" s="18" t="s">
        <v>62</v>
      </c>
      <c r="L4" s="18"/>
      <c r="M4" s="48"/>
      <c r="N4" s="19"/>
      <c r="O4" s="18" t="s">
        <v>130</v>
      </c>
      <c r="P4" s="18" t="s">
        <v>137</v>
      </c>
      <c r="Q4" s="18" t="s">
        <v>119</v>
      </c>
      <c r="R4" s="71">
        <v>41274</v>
      </c>
      <c r="S4" s="17"/>
      <c r="T4" s="17"/>
      <c r="U4" s="17"/>
    </row>
    <row r="5" spans="1:21" ht="13.5" thickBot="1" x14ac:dyDescent="0.25">
      <c r="A5" s="21"/>
      <c r="B5" s="21"/>
      <c r="C5" s="50" t="s">
        <v>45</v>
      </c>
      <c r="D5" s="99" t="s">
        <v>53</v>
      </c>
      <c r="E5" s="71"/>
      <c r="F5" s="51" t="s">
        <v>4</v>
      </c>
      <c r="G5" s="51" t="s">
        <v>33</v>
      </c>
      <c r="H5" s="51" t="s">
        <v>65</v>
      </c>
      <c r="I5" s="18"/>
      <c r="J5" s="51" t="s">
        <v>7</v>
      </c>
      <c r="K5" s="51" t="s">
        <v>63</v>
      </c>
      <c r="L5" s="51"/>
      <c r="M5" s="52"/>
      <c r="N5" s="22"/>
      <c r="O5" s="51" t="s">
        <v>132</v>
      </c>
      <c r="P5" s="51" t="s">
        <v>62</v>
      </c>
      <c r="Q5" s="51" t="s">
        <v>56</v>
      </c>
      <c r="R5" s="99" t="s">
        <v>53</v>
      </c>
      <c r="S5" s="21"/>
      <c r="T5" s="21"/>
      <c r="U5" s="21"/>
    </row>
    <row r="6" spans="1:21" ht="5.25" customHeight="1" x14ac:dyDescent="0.2">
      <c r="E6" s="49"/>
      <c r="F6" s="23"/>
      <c r="G6" s="23"/>
      <c r="H6" s="23"/>
      <c r="I6" s="23"/>
      <c r="J6" s="23"/>
      <c r="L6" s="23"/>
      <c r="M6" s="7"/>
      <c r="N6" s="8"/>
      <c r="O6" s="9"/>
      <c r="P6" s="9"/>
      <c r="Q6" s="9"/>
      <c r="R6" s="9"/>
      <c r="S6" s="4"/>
      <c r="T6" s="4"/>
      <c r="U6" s="4"/>
    </row>
    <row r="7" spans="1:21" x14ac:dyDescent="0.2">
      <c r="A7" s="25" t="s">
        <v>49</v>
      </c>
      <c r="B7" s="25"/>
      <c r="C7" s="70"/>
      <c r="D7" s="28"/>
      <c r="E7" s="1"/>
      <c r="F7" s="27">
        <v>0</v>
      </c>
      <c r="G7" s="2"/>
      <c r="H7" s="2"/>
      <c r="J7" s="2"/>
      <c r="L7" s="2"/>
      <c r="M7" s="2"/>
      <c r="N7" s="32"/>
      <c r="O7" s="32"/>
      <c r="Q7" s="32"/>
      <c r="S7" s="31"/>
      <c r="T7" s="31"/>
      <c r="U7" s="31"/>
    </row>
    <row r="8" spans="1:21" x14ac:dyDescent="0.2">
      <c r="A8" s="25" t="s">
        <v>9</v>
      </c>
      <c r="B8" s="25"/>
      <c r="C8" s="25" t="s">
        <v>10</v>
      </c>
      <c r="D8" s="2">
        <v>0</v>
      </c>
      <c r="E8" s="1"/>
      <c r="F8"/>
      <c r="G8" s="69"/>
      <c r="H8" s="2">
        <f>-SUM(F8:G8)</f>
        <v>0</v>
      </c>
      <c r="J8"/>
      <c r="K8"/>
      <c r="L8" s="2">
        <f>H8-J8-K8</f>
        <v>0</v>
      </c>
      <c r="M8" s="2">
        <f>L8/(13-MONTH($M$3))</f>
        <v>0</v>
      </c>
      <c r="N8" s="32"/>
      <c r="O8" s="112"/>
      <c r="P8" s="26"/>
      <c r="Q8" s="112"/>
      <c r="R8" s="26"/>
      <c r="S8" s="31"/>
      <c r="T8" s="31"/>
      <c r="U8" s="31"/>
    </row>
    <row r="9" spans="1:21" x14ac:dyDescent="0.2">
      <c r="A9" s="25" t="s">
        <v>9</v>
      </c>
      <c r="B9" s="25"/>
      <c r="C9" s="25" t="s">
        <v>11</v>
      </c>
      <c r="D9" s="2">
        <v>0</v>
      </c>
      <c r="E9" s="1"/>
      <c r="F9"/>
      <c r="G9" s="69"/>
      <c r="H9" s="2">
        <f>-SUM(F9:G9)</f>
        <v>0</v>
      </c>
      <c r="J9"/>
      <c r="K9"/>
      <c r="L9" s="2">
        <f t="shared" ref="L9:L21" si="0">H9-J9-K9</f>
        <v>0</v>
      </c>
      <c r="M9" s="2">
        <f t="shared" ref="M9:M21" si="1">L9/(13-MONTH($M$3))</f>
        <v>0</v>
      </c>
      <c r="N9" s="2"/>
      <c r="O9" s="30"/>
      <c r="P9" s="26"/>
      <c r="Q9" s="30"/>
      <c r="R9" s="26"/>
      <c r="S9" s="25"/>
      <c r="T9" s="25"/>
      <c r="U9" s="25"/>
    </row>
    <row r="10" spans="1:21" x14ac:dyDescent="0.2">
      <c r="A10" s="25" t="s">
        <v>50</v>
      </c>
      <c r="B10" s="25"/>
      <c r="C10" s="70"/>
      <c r="D10" s="2">
        <v>0</v>
      </c>
      <c r="E10" s="1"/>
      <c r="F10"/>
      <c r="G10" s="2"/>
      <c r="H10" s="2"/>
      <c r="J10"/>
      <c r="K10"/>
      <c r="L10" s="2">
        <f t="shared" si="0"/>
        <v>0</v>
      </c>
      <c r="M10" s="2">
        <f t="shared" si="1"/>
        <v>0</v>
      </c>
      <c r="N10" s="32"/>
      <c r="O10" s="112"/>
      <c r="P10" s="26"/>
      <c r="Q10" s="112"/>
      <c r="R10" s="26"/>
      <c r="S10" s="31"/>
      <c r="T10" s="31"/>
      <c r="U10" s="31"/>
    </row>
    <row r="11" spans="1:21" x14ac:dyDescent="0.2">
      <c r="A11" s="25" t="s">
        <v>9</v>
      </c>
      <c r="B11" s="25"/>
      <c r="C11" s="25" t="s">
        <v>13</v>
      </c>
      <c r="D11" s="2">
        <v>0</v>
      </c>
      <c r="E11" s="1"/>
      <c r="F11"/>
      <c r="G11" s="69"/>
      <c r="H11" s="2">
        <f t="shared" ref="H11:H13" si="2">-SUM(F11:G11)</f>
        <v>0</v>
      </c>
      <c r="J11"/>
      <c r="K11"/>
      <c r="L11" s="2">
        <f t="shared" si="0"/>
        <v>0</v>
      </c>
      <c r="M11" s="2">
        <f t="shared" si="1"/>
        <v>0</v>
      </c>
      <c r="N11" s="26"/>
      <c r="O11" s="113"/>
      <c r="P11" s="26"/>
      <c r="Q11" s="113"/>
      <c r="R11" s="26"/>
      <c r="S11" s="25"/>
      <c r="T11" s="25"/>
      <c r="U11" s="25"/>
    </row>
    <row r="12" spans="1:21" x14ac:dyDescent="0.2">
      <c r="A12" s="25" t="s">
        <v>9</v>
      </c>
      <c r="B12" s="25"/>
      <c r="C12" s="25" t="s">
        <v>12</v>
      </c>
      <c r="D12" s="2">
        <v>0</v>
      </c>
      <c r="E12" s="1"/>
      <c r="F12"/>
      <c r="G12" s="69"/>
      <c r="H12" s="2">
        <f t="shared" si="2"/>
        <v>0</v>
      </c>
      <c r="J12"/>
      <c r="K12"/>
      <c r="L12" s="2">
        <f t="shared" si="0"/>
        <v>0</v>
      </c>
      <c r="M12" s="2">
        <f t="shared" si="1"/>
        <v>0</v>
      </c>
      <c r="N12" s="26"/>
      <c r="O12" s="26"/>
      <c r="P12" s="26"/>
      <c r="Q12" s="26"/>
      <c r="R12" s="26"/>
      <c r="S12" s="25"/>
      <c r="T12" s="25"/>
      <c r="U12" s="25"/>
    </row>
    <row r="13" spans="1:21" x14ac:dyDescent="0.2">
      <c r="A13" s="25" t="s">
        <v>9</v>
      </c>
      <c r="B13" s="25"/>
      <c r="C13" s="25" t="s">
        <v>14</v>
      </c>
      <c r="D13" s="2">
        <v>0</v>
      </c>
      <c r="E13" s="1"/>
      <c r="F13" s="27">
        <v>0</v>
      </c>
      <c r="G13" s="2"/>
      <c r="H13" s="2">
        <f t="shared" si="2"/>
        <v>0</v>
      </c>
      <c r="J13"/>
      <c r="K13"/>
      <c r="L13" s="2">
        <f t="shared" si="0"/>
        <v>0</v>
      </c>
      <c r="M13" s="2">
        <f t="shared" si="1"/>
        <v>0</v>
      </c>
      <c r="N13" s="26"/>
      <c r="O13" s="26"/>
      <c r="P13" s="26"/>
      <c r="Q13" s="26"/>
      <c r="R13" s="26"/>
      <c r="S13" s="25"/>
      <c r="T13" s="25"/>
      <c r="U13" s="25"/>
    </row>
    <row r="14" spans="1:21" x14ac:dyDescent="0.2">
      <c r="A14" s="25" t="s">
        <v>2</v>
      </c>
      <c r="B14" s="25"/>
      <c r="C14" s="25" t="s">
        <v>20</v>
      </c>
      <c r="D14" s="94">
        <v>-54762.47</v>
      </c>
      <c r="E14" s="1"/>
      <c r="F14" s="27">
        <v>0</v>
      </c>
      <c r="G14" s="2"/>
      <c r="H14" s="2">
        <f>-SUM(F14:G14)</f>
        <v>0</v>
      </c>
      <c r="J14" s="27">
        <f>O14-D14</f>
        <v>0</v>
      </c>
      <c r="K14" s="5">
        <f>H14-J14</f>
        <v>0</v>
      </c>
      <c r="L14" s="2">
        <f>H14-J14-K14</f>
        <v>0</v>
      </c>
      <c r="M14" s="2">
        <f t="shared" si="1"/>
        <v>0</v>
      </c>
      <c r="N14" s="2"/>
      <c r="O14" s="1">
        <f>Q14-P14</f>
        <v>-54762.47</v>
      </c>
      <c r="P14" s="26">
        <v>0</v>
      </c>
      <c r="Q14" s="94">
        <v>-54762.47</v>
      </c>
      <c r="R14" s="26"/>
      <c r="S14" s="25"/>
      <c r="T14" s="25"/>
      <c r="U14" s="25"/>
    </row>
    <row r="15" spans="1:21" x14ac:dyDescent="0.2">
      <c r="A15" s="25" t="s">
        <v>5</v>
      </c>
      <c r="B15" s="25"/>
      <c r="C15" s="25" t="s">
        <v>22</v>
      </c>
      <c r="D15" s="94">
        <v>341849.77</v>
      </c>
      <c r="E15" s="1"/>
      <c r="F15" s="27">
        <v>-62746</v>
      </c>
      <c r="G15" s="2"/>
      <c r="H15" s="2">
        <f>-SUM(F15:G15)</f>
        <v>62746</v>
      </c>
      <c r="J15" s="27">
        <v>71672</v>
      </c>
      <c r="K15" s="5">
        <f>H15-J15</f>
        <v>-8926</v>
      </c>
      <c r="L15" s="2">
        <f t="shared" si="0"/>
        <v>0</v>
      </c>
      <c r="M15" s="2">
        <f t="shared" si="1"/>
        <v>0</v>
      </c>
      <c r="N15" s="2"/>
      <c r="O15" s="1">
        <f t="shared" ref="O15:O21" si="3">Q15-P15</f>
        <v>341849.77</v>
      </c>
      <c r="P15" s="26">
        <v>0</v>
      </c>
      <c r="Q15" s="94">
        <v>341849.77</v>
      </c>
      <c r="R15" s="26"/>
      <c r="S15" s="25"/>
      <c r="T15" s="25"/>
      <c r="U15" s="25"/>
    </row>
    <row r="16" spans="1:21" x14ac:dyDescent="0.2">
      <c r="A16" s="25" t="s">
        <v>52</v>
      </c>
      <c r="B16" s="25"/>
      <c r="C16" s="25" t="s">
        <v>21</v>
      </c>
      <c r="D16" s="94">
        <v>-858783.12</v>
      </c>
      <c r="E16" s="1"/>
      <c r="F16" s="27">
        <v>0</v>
      </c>
      <c r="G16" s="2"/>
      <c r="H16" s="2">
        <f t="shared" ref="H16:H21" si="4">-SUM(F16:G16)</f>
        <v>0</v>
      </c>
      <c r="J16" s="27">
        <f t="shared" ref="J16" si="5">O16-D16</f>
        <v>0</v>
      </c>
      <c r="K16" s="5">
        <f t="shared" ref="K16:K21" si="6">H16-J16</f>
        <v>0</v>
      </c>
      <c r="L16" s="2">
        <f t="shared" si="0"/>
        <v>0</v>
      </c>
      <c r="M16" s="2">
        <f t="shared" si="1"/>
        <v>0</v>
      </c>
      <c r="N16" s="2"/>
      <c r="O16" s="1">
        <f t="shared" si="3"/>
        <v>-858783.12</v>
      </c>
      <c r="P16" s="26">
        <v>0</v>
      </c>
      <c r="Q16" s="94">
        <v>-858783.12</v>
      </c>
      <c r="R16" s="26"/>
      <c r="S16" s="25"/>
      <c r="T16" s="25"/>
      <c r="U16" s="25"/>
    </row>
    <row r="17" spans="1:21" x14ac:dyDescent="0.2">
      <c r="A17" s="28" t="s">
        <v>29</v>
      </c>
      <c r="B17" s="28"/>
      <c r="C17" s="25" t="s">
        <v>17</v>
      </c>
      <c r="D17" s="94">
        <v>-43057166.530000001</v>
      </c>
      <c r="E17" s="1"/>
      <c r="F17" s="27">
        <v>7042524</v>
      </c>
      <c r="G17" s="2"/>
      <c r="H17" s="2">
        <f t="shared" si="4"/>
        <v>-7042524</v>
      </c>
      <c r="J17" s="27">
        <v>-4774795</v>
      </c>
      <c r="K17" s="5">
        <f>H17-J17</f>
        <v>-2267729</v>
      </c>
      <c r="L17" s="2">
        <f t="shared" si="0"/>
        <v>0</v>
      </c>
      <c r="M17" s="2">
        <f t="shared" si="1"/>
        <v>0</v>
      </c>
      <c r="N17" s="2"/>
      <c r="O17" s="1">
        <f t="shared" si="3"/>
        <v>-43057166.530000001</v>
      </c>
      <c r="P17" s="26">
        <v>0</v>
      </c>
      <c r="Q17" s="94">
        <v>-43057166.530000001</v>
      </c>
      <c r="R17" s="26"/>
      <c r="S17" s="25"/>
      <c r="T17" s="25"/>
      <c r="U17" s="25"/>
    </row>
    <row r="18" spans="1:21" x14ac:dyDescent="0.2">
      <c r="A18" s="28" t="s">
        <v>30</v>
      </c>
      <c r="B18" s="28"/>
      <c r="C18" s="25" t="s">
        <v>18</v>
      </c>
      <c r="D18" s="94">
        <v>-1963033.66</v>
      </c>
      <c r="E18" s="1"/>
      <c r="F18" s="27">
        <v>61939</v>
      </c>
      <c r="G18" s="2"/>
      <c r="H18" s="2">
        <f t="shared" si="4"/>
        <v>-61939</v>
      </c>
      <c r="J18" s="27">
        <v>-61939</v>
      </c>
      <c r="K18" s="5">
        <f t="shared" si="6"/>
        <v>0</v>
      </c>
      <c r="L18" s="2">
        <f t="shared" si="0"/>
        <v>0</v>
      </c>
      <c r="M18" s="2">
        <f t="shared" si="1"/>
        <v>0</v>
      </c>
      <c r="N18" s="2"/>
      <c r="O18" s="1">
        <f t="shared" si="3"/>
        <v>-1963033.66</v>
      </c>
      <c r="P18" s="26">
        <v>0</v>
      </c>
      <c r="Q18" s="94">
        <v>-1963033.66</v>
      </c>
      <c r="R18" s="26"/>
      <c r="S18" s="25"/>
      <c r="T18" s="25"/>
      <c r="U18" s="25"/>
    </row>
    <row r="19" spans="1:21" x14ac:dyDescent="0.2">
      <c r="A19" s="4" t="s">
        <v>28</v>
      </c>
      <c r="B19" s="46"/>
      <c r="C19" s="32" t="s">
        <v>16</v>
      </c>
      <c r="D19" s="94">
        <v>-298124104.76999998</v>
      </c>
      <c r="E19" s="2"/>
      <c r="F19" s="27">
        <v>33997970</v>
      </c>
      <c r="G19" s="2"/>
      <c r="H19" s="2">
        <f t="shared" si="4"/>
        <v>-33997970</v>
      </c>
      <c r="J19" s="27">
        <v>-14619452</v>
      </c>
      <c r="K19" s="5">
        <f t="shared" si="6"/>
        <v>-19378518</v>
      </c>
      <c r="L19" s="2">
        <f t="shared" si="0"/>
        <v>0</v>
      </c>
      <c r="M19" s="2">
        <f t="shared" si="1"/>
        <v>0</v>
      </c>
      <c r="N19" s="2"/>
      <c r="O19" s="1">
        <f>Q19-P19</f>
        <v>-298124104.76999998</v>
      </c>
      <c r="P19" s="26">
        <v>0</v>
      </c>
      <c r="Q19" s="94">
        <v>-298124104.76999998</v>
      </c>
      <c r="R19" s="26"/>
      <c r="S19" s="25"/>
      <c r="T19" s="25"/>
      <c r="U19" s="25"/>
    </row>
    <row r="20" spans="1:21" x14ac:dyDescent="0.2">
      <c r="A20" s="47" t="s">
        <v>26</v>
      </c>
      <c r="B20" s="28"/>
      <c r="C20" s="36" t="s">
        <v>19</v>
      </c>
      <c r="D20" s="94">
        <v>-66047311.869999997</v>
      </c>
      <c r="E20" s="40"/>
      <c r="F20" s="27">
        <v>9463810</v>
      </c>
      <c r="G20" s="2"/>
      <c r="H20" s="2">
        <f t="shared" si="4"/>
        <v>-9463810</v>
      </c>
      <c r="J20" s="27">
        <v>-3265266</v>
      </c>
      <c r="K20" s="5">
        <f t="shared" si="6"/>
        <v>-6198544</v>
      </c>
      <c r="L20" s="2">
        <f t="shared" si="0"/>
        <v>0</v>
      </c>
      <c r="M20" s="2">
        <f t="shared" si="1"/>
        <v>0</v>
      </c>
      <c r="N20" s="2"/>
      <c r="O20" s="1">
        <f t="shared" si="3"/>
        <v>-66047311.869999997</v>
      </c>
      <c r="P20" s="26">
        <v>0</v>
      </c>
      <c r="Q20" s="94">
        <v>-66047311.869999997</v>
      </c>
      <c r="R20" s="26"/>
      <c r="S20" s="25"/>
      <c r="T20" s="25"/>
      <c r="U20" s="25"/>
    </row>
    <row r="21" spans="1:21" x14ac:dyDescent="0.2">
      <c r="A21" s="26" t="s">
        <v>47</v>
      </c>
      <c r="B21" s="26"/>
      <c r="C21" s="26" t="s">
        <v>24</v>
      </c>
      <c r="D21" s="94">
        <v>-37336922.25</v>
      </c>
      <c r="E21" s="1"/>
      <c r="F21" s="27">
        <v>6700968</v>
      </c>
      <c r="G21" s="2"/>
      <c r="H21" s="2">
        <f t="shared" si="4"/>
        <v>-6700968</v>
      </c>
      <c r="J21" s="27">
        <v>-2594267</v>
      </c>
      <c r="K21" s="5">
        <f t="shared" si="6"/>
        <v>-4106701</v>
      </c>
      <c r="L21" s="2">
        <f t="shared" si="0"/>
        <v>0</v>
      </c>
      <c r="M21" s="2">
        <f t="shared" si="1"/>
        <v>0</v>
      </c>
      <c r="N21" s="2"/>
      <c r="O21" s="1">
        <f t="shared" si="3"/>
        <v>-37336922.25</v>
      </c>
      <c r="P21" s="26">
        <v>0</v>
      </c>
      <c r="Q21" s="94">
        <v>-37336922.25</v>
      </c>
      <c r="R21" s="26"/>
      <c r="S21" s="25"/>
      <c r="T21" s="25"/>
      <c r="U21" s="25"/>
    </row>
    <row r="22" spans="1:21" x14ac:dyDescent="0.2">
      <c r="A22" s="25"/>
      <c r="B22" s="25"/>
      <c r="C22" s="35"/>
      <c r="D22" s="2"/>
      <c r="E22" s="72"/>
      <c r="F22" s="2"/>
      <c r="G22" s="2"/>
      <c r="H22" s="2"/>
      <c r="J22" s="2"/>
      <c r="L22" s="2"/>
      <c r="M22" s="2"/>
      <c r="N22" s="26"/>
      <c r="O22" s="129"/>
      <c r="P22" s="26"/>
      <c r="Q22" s="26"/>
      <c r="R22" s="26"/>
      <c r="S22" s="25"/>
      <c r="U22" s="25"/>
    </row>
    <row r="23" spans="1:21" x14ac:dyDescent="0.2">
      <c r="A23" s="25" t="s">
        <v>6</v>
      </c>
      <c r="B23" s="26"/>
      <c r="C23" s="26"/>
      <c r="D23" s="45">
        <f>SUM(D8:D22)</f>
        <v>-447100234.89999998</v>
      </c>
      <c r="E23" s="2"/>
      <c r="F23" s="45">
        <f>SUM(F7:F22)-F7-F10</f>
        <v>57204465</v>
      </c>
      <c r="G23" s="45"/>
      <c r="H23" s="45">
        <f>SUM(H8:H22)</f>
        <v>-57204465</v>
      </c>
      <c r="J23" s="45">
        <f>SUM(J8:J22)</f>
        <v>-25244047</v>
      </c>
      <c r="K23" s="45">
        <f>SUM(K8:K22)</f>
        <v>-31960418</v>
      </c>
      <c r="L23" s="45">
        <f>SUM(L8:L22)</f>
        <v>0</v>
      </c>
      <c r="M23" s="45">
        <f>SUM(M8:M22)</f>
        <v>0</v>
      </c>
      <c r="N23" s="26"/>
      <c r="O23" s="26">
        <f>SUM(O14:O22)</f>
        <v>-447100234.89999998</v>
      </c>
      <c r="P23" s="115"/>
      <c r="Q23" s="115"/>
      <c r="R23" s="45">
        <f>SUM(R8:R22)</f>
        <v>0</v>
      </c>
      <c r="S23" s="25"/>
      <c r="U23" s="25"/>
    </row>
    <row r="24" spans="1:21" x14ac:dyDescent="0.2">
      <c r="A24" s="24" t="s">
        <v>135</v>
      </c>
      <c r="D24" s="26">
        <v>478414670.31999999</v>
      </c>
      <c r="E24" s="1"/>
      <c r="F24" s="56">
        <v>57204466.289999999</v>
      </c>
      <c r="H24" s="5">
        <f>ROUND(F24+H23,0)</f>
        <v>1</v>
      </c>
      <c r="L24" s="7">
        <f>J23+K23+L23-H23</f>
        <v>0</v>
      </c>
      <c r="M24" s="6">
        <f>(M23*(13-MONTH($M$3))-L23)</f>
        <v>0</v>
      </c>
      <c r="N24" s="6"/>
      <c r="O24" s="26"/>
      <c r="P24" s="2">
        <f>SUM(P8:P22)</f>
        <v>0</v>
      </c>
      <c r="Q24" s="26">
        <f>SUM(Q14:Q22)</f>
        <v>-447100234.89999998</v>
      </c>
      <c r="R24" s="8"/>
      <c r="S24" s="9"/>
      <c r="U24" s="4"/>
    </row>
    <row r="25" spans="1:21" ht="13.5" thickBot="1" x14ac:dyDescent="0.25">
      <c r="A25" s="24"/>
      <c r="D25" s="26"/>
      <c r="K25" s="7"/>
      <c r="L25" s="6"/>
      <c r="M25" s="6"/>
      <c r="N25" s="6"/>
      <c r="O25" s="8"/>
      <c r="P25" s="8"/>
      <c r="Q25" s="8"/>
      <c r="R25" s="8"/>
      <c r="S25" s="9"/>
      <c r="T25" s="25">
        <v>-11075201.25999999</v>
      </c>
      <c r="U25" s="4"/>
    </row>
    <row r="26" spans="1:21" ht="13.5" thickBot="1" x14ac:dyDescent="0.25">
      <c r="A26" s="24"/>
      <c r="H26" s="200" t="s">
        <v>134</v>
      </c>
      <c r="I26" s="201"/>
      <c r="J26" s="201"/>
      <c r="K26" s="201"/>
      <c r="L26" s="202"/>
      <c r="M26" s="6"/>
      <c r="O26" s="6"/>
      <c r="P26" s="6">
        <f>+D27</f>
        <v>31314435.420000017</v>
      </c>
      <c r="S26" s="8"/>
      <c r="T26" s="25">
        <v>-2951950.549999997</v>
      </c>
      <c r="U26" s="9"/>
    </row>
    <row r="27" spans="1:21" ht="13.5" thickBot="1" x14ac:dyDescent="0.25">
      <c r="A27" s="24"/>
      <c r="C27" s="127" t="s">
        <v>138</v>
      </c>
      <c r="D27" s="116">
        <f>SUM(D23:D25)</f>
        <v>31314435.420000017</v>
      </c>
      <c r="H27" s="200" t="s">
        <v>144</v>
      </c>
      <c r="I27" s="201"/>
      <c r="J27" s="201"/>
      <c r="K27" s="201"/>
      <c r="L27" s="202"/>
      <c r="M27" s="7"/>
      <c r="N27" s="6"/>
      <c r="O27"/>
      <c r="S27" s="8"/>
      <c r="T27" s="25">
        <v>-1363621.129999999</v>
      </c>
      <c r="U27" s="9"/>
    </row>
    <row r="28" spans="1:21" x14ac:dyDescent="0.2">
      <c r="A28" s="24"/>
      <c r="D28" s="116"/>
      <c r="H28" s="75"/>
      <c r="I28" s="18"/>
      <c r="J28" s="18"/>
      <c r="K28" s="18"/>
      <c r="L28" s="76"/>
      <c r="N28" s="6"/>
      <c r="O28"/>
      <c r="P28" s="6">
        <f>SUM(P24:P26)</f>
        <v>31314435.420000017</v>
      </c>
      <c r="T28" s="8"/>
      <c r="U28" s="8"/>
    </row>
    <row r="29" spans="1:21" x14ac:dyDescent="0.2">
      <c r="A29" s="49"/>
      <c r="B29" s="49"/>
      <c r="C29" s="126" t="s">
        <v>145</v>
      </c>
      <c r="D29" s="130">
        <f>-K23</f>
        <v>31960418</v>
      </c>
      <c r="E29" s="49"/>
      <c r="F29" s="2"/>
      <c r="H29" s="77" t="s">
        <v>35</v>
      </c>
      <c r="I29" s="38"/>
      <c r="J29" s="38"/>
      <c r="K29" s="20" t="s">
        <v>44</v>
      </c>
      <c r="L29" s="78"/>
      <c r="O29"/>
    </row>
    <row r="30" spans="1:21" ht="13.5" thickBot="1" x14ac:dyDescent="0.25">
      <c r="A30" s="122"/>
      <c r="B30" s="49"/>
      <c r="C30" s="49"/>
      <c r="D30" s="2"/>
      <c r="E30" s="49"/>
      <c r="F30" s="123"/>
      <c r="H30" s="79" t="s">
        <v>42</v>
      </c>
      <c r="I30" s="44"/>
      <c r="J30" s="38"/>
      <c r="K30" s="50" t="s">
        <v>45</v>
      </c>
      <c r="L30" s="78"/>
      <c r="N30" s="34"/>
      <c r="O30"/>
      <c r="P30" s="5"/>
      <c r="Q30" s="5"/>
      <c r="R30" s="5"/>
      <c r="T30" s="7"/>
    </row>
    <row r="31" spans="1:21" x14ac:dyDescent="0.2">
      <c r="A31" s="122"/>
      <c r="B31" s="49"/>
      <c r="C31" s="49" t="s">
        <v>146</v>
      </c>
      <c r="D31" s="2">
        <f>+D27-D29</f>
        <v>-645982.57999998331</v>
      </c>
      <c r="E31" s="49"/>
      <c r="F31" s="123"/>
      <c r="H31" s="80" t="s">
        <v>38</v>
      </c>
      <c r="I31" s="38"/>
      <c r="J31" s="90">
        <f>-M8</f>
        <v>0</v>
      </c>
      <c r="K31" s="26" t="s">
        <v>10</v>
      </c>
      <c r="L31" s="91">
        <f>M8</f>
        <v>0</v>
      </c>
      <c r="P31" s="5"/>
      <c r="Q31" s="5"/>
      <c r="R31" s="5"/>
      <c r="T31" s="7"/>
    </row>
    <row r="32" spans="1:21" x14ac:dyDescent="0.2">
      <c r="A32" s="122"/>
      <c r="B32" s="49"/>
      <c r="C32" s="49"/>
      <c r="D32" s="2"/>
      <c r="E32" s="49"/>
      <c r="F32" s="123"/>
      <c r="H32" s="80" t="s">
        <v>38</v>
      </c>
      <c r="I32" s="43"/>
      <c r="J32" s="42">
        <f>-M9</f>
        <v>0</v>
      </c>
      <c r="K32" s="26" t="s">
        <v>11</v>
      </c>
      <c r="L32" s="78">
        <f>M9</f>
        <v>0</v>
      </c>
      <c r="P32" s="5"/>
      <c r="Q32" s="5"/>
      <c r="R32" s="5"/>
      <c r="T32" s="7"/>
    </row>
    <row r="33" spans="1:20" x14ac:dyDescent="0.2">
      <c r="A33" s="49"/>
      <c r="B33" s="49"/>
      <c r="C33" s="126" t="s">
        <v>147</v>
      </c>
      <c r="D33" s="130">
        <v>645691</v>
      </c>
      <c r="E33" s="49"/>
      <c r="F33" s="2"/>
      <c r="H33" s="81" t="s">
        <v>15</v>
      </c>
      <c r="I33" s="43"/>
      <c r="J33" s="42">
        <f t="shared" ref="J33:J43" si="7">-M11</f>
        <v>0</v>
      </c>
      <c r="K33" s="26" t="s">
        <v>13</v>
      </c>
      <c r="L33" s="78">
        <f t="shared" ref="L33:L43" si="8">M11</f>
        <v>0</v>
      </c>
      <c r="P33" s="94"/>
      <c r="Q33" s="5"/>
      <c r="R33" s="5"/>
      <c r="T33" s="7"/>
    </row>
    <row r="34" spans="1:20" x14ac:dyDescent="0.2">
      <c r="A34" s="118"/>
      <c r="B34" s="49"/>
      <c r="C34" s="119"/>
      <c r="D34" s="119"/>
      <c r="E34" s="119"/>
      <c r="F34" s="119"/>
      <c r="H34" s="81" t="s">
        <v>15</v>
      </c>
      <c r="I34" s="38"/>
      <c r="J34" s="42">
        <f t="shared" si="7"/>
        <v>0</v>
      </c>
      <c r="K34" s="26" t="s">
        <v>12</v>
      </c>
      <c r="L34" s="78">
        <f t="shared" si="8"/>
        <v>0</v>
      </c>
      <c r="O34" s="93"/>
      <c r="P34" s="94"/>
      <c r="Q34" s="5"/>
      <c r="R34" s="5"/>
      <c r="T34" s="7"/>
    </row>
    <row r="35" spans="1:20" x14ac:dyDescent="0.2">
      <c r="A35" s="49"/>
      <c r="B35" s="49"/>
      <c r="C35" s="49" t="s">
        <v>146</v>
      </c>
      <c r="D35" s="124">
        <f>SUM(D31:D33)</f>
        <v>-291.5799999833107</v>
      </c>
      <c r="E35" s="121"/>
      <c r="F35" s="2"/>
      <c r="H35" s="81" t="s">
        <v>25</v>
      </c>
      <c r="I35" s="38"/>
      <c r="J35" s="42">
        <f t="shared" si="7"/>
        <v>0</v>
      </c>
      <c r="K35" s="26" t="s">
        <v>14</v>
      </c>
      <c r="L35" s="78">
        <f t="shared" si="8"/>
        <v>0</v>
      </c>
      <c r="O35" s="93"/>
      <c r="P35" s="94"/>
      <c r="Q35" s="5"/>
      <c r="R35" s="5"/>
      <c r="T35" s="7"/>
    </row>
    <row r="36" spans="1:20" x14ac:dyDescent="0.2">
      <c r="A36" s="49"/>
      <c r="B36" s="49"/>
      <c r="D36" s="124"/>
      <c r="E36" s="121"/>
      <c r="F36" s="2"/>
      <c r="H36" s="81" t="s">
        <v>41</v>
      </c>
      <c r="I36" s="38"/>
      <c r="J36" s="42">
        <f t="shared" si="7"/>
        <v>0</v>
      </c>
      <c r="K36" s="26" t="s">
        <v>20</v>
      </c>
      <c r="L36" s="78">
        <f t="shared" si="8"/>
        <v>0</v>
      </c>
      <c r="O36" s="93"/>
      <c r="P36" s="94"/>
      <c r="Q36" s="5"/>
      <c r="R36" s="5"/>
      <c r="T36" s="7"/>
    </row>
    <row r="37" spans="1:20" x14ac:dyDescent="0.2">
      <c r="A37" s="49"/>
      <c r="B37" s="49"/>
      <c r="C37" s="120"/>
      <c r="D37" s="124"/>
      <c r="E37" s="121"/>
      <c r="F37" s="2"/>
      <c r="H37" s="81" t="s">
        <v>41</v>
      </c>
      <c r="I37" s="43"/>
      <c r="J37" s="42">
        <f t="shared" si="7"/>
        <v>0</v>
      </c>
      <c r="K37" s="26" t="s">
        <v>22</v>
      </c>
      <c r="L37" s="78">
        <f t="shared" si="8"/>
        <v>0</v>
      </c>
      <c r="O37" s="93"/>
      <c r="P37" s="94"/>
      <c r="Q37" s="5"/>
      <c r="R37" s="5"/>
      <c r="T37" s="7"/>
    </row>
    <row r="38" spans="1:20" x14ac:dyDescent="0.2">
      <c r="A38" s="49"/>
      <c r="B38" s="49"/>
      <c r="C38" s="125"/>
      <c r="D38" s="121"/>
      <c r="E38" s="121"/>
      <c r="F38" s="2"/>
      <c r="H38" s="81" t="s">
        <v>41</v>
      </c>
      <c r="I38" s="38"/>
      <c r="J38" s="42">
        <f t="shared" si="7"/>
        <v>0</v>
      </c>
      <c r="K38" s="26" t="s">
        <v>21</v>
      </c>
      <c r="L38" s="78">
        <f t="shared" si="8"/>
        <v>0</v>
      </c>
      <c r="O38" s="93"/>
      <c r="P38" s="94"/>
      <c r="Q38" s="5"/>
      <c r="R38" s="5"/>
      <c r="T38" s="7"/>
    </row>
    <row r="39" spans="1:20" x14ac:dyDescent="0.2">
      <c r="A39" s="49"/>
      <c r="B39" s="49"/>
      <c r="C39" s="93"/>
      <c r="D39" s="124"/>
      <c r="E39" s="124"/>
      <c r="F39" s="2"/>
      <c r="H39" s="80" t="s">
        <v>36</v>
      </c>
      <c r="I39" s="38"/>
      <c r="J39" s="42">
        <f t="shared" si="7"/>
        <v>0</v>
      </c>
      <c r="K39" s="26" t="s">
        <v>17</v>
      </c>
      <c r="L39" s="78">
        <f t="shared" si="8"/>
        <v>0</v>
      </c>
      <c r="O39" s="93"/>
      <c r="P39" s="94"/>
      <c r="Q39" s="5"/>
      <c r="R39" s="5"/>
      <c r="T39" s="7"/>
    </row>
    <row r="40" spans="1:20" x14ac:dyDescent="0.2">
      <c r="A40" s="49"/>
      <c r="B40" s="49"/>
      <c r="C40" s="93"/>
      <c r="D40" s="94"/>
      <c r="E40" s="94"/>
      <c r="H40" s="80" t="s">
        <v>37</v>
      </c>
      <c r="I40" s="38"/>
      <c r="J40" s="42">
        <f t="shared" si="7"/>
        <v>0</v>
      </c>
      <c r="K40" s="26" t="s">
        <v>18</v>
      </c>
      <c r="L40" s="78">
        <f t="shared" si="8"/>
        <v>0</v>
      </c>
      <c r="O40" s="29"/>
      <c r="P40" s="94"/>
      <c r="Q40" s="5"/>
      <c r="R40" s="5"/>
      <c r="T40" s="7"/>
    </row>
    <row r="41" spans="1:20" x14ac:dyDescent="0.2">
      <c r="A41" s="49"/>
      <c r="B41" s="49"/>
      <c r="C41" s="93"/>
      <c r="D41" s="94"/>
      <c r="E41" s="94"/>
      <c r="H41" s="82" t="s">
        <v>38</v>
      </c>
      <c r="I41" s="38"/>
      <c r="J41" s="42">
        <f t="shared" si="7"/>
        <v>0</v>
      </c>
      <c r="K41" s="32" t="s">
        <v>16</v>
      </c>
      <c r="L41" s="78">
        <f t="shared" si="8"/>
        <v>0</v>
      </c>
      <c r="O41" s="29"/>
      <c r="P41" s="94"/>
      <c r="Q41" s="5"/>
      <c r="R41" s="5"/>
      <c r="T41" s="7"/>
    </row>
    <row r="42" spans="1:20" x14ac:dyDescent="0.2">
      <c r="A42" s="49"/>
      <c r="B42" s="49"/>
      <c r="D42" s="94"/>
      <c r="E42" s="94"/>
      <c r="H42" s="83" t="s">
        <v>39</v>
      </c>
      <c r="I42" s="33"/>
      <c r="J42" s="42">
        <f t="shared" si="7"/>
        <v>0</v>
      </c>
      <c r="K42" s="84" t="s">
        <v>19</v>
      </c>
      <c r="L42" s="78">
        <f t="shared" si="8"/>
        <v>0</v>
      </c>
      <c r="O42" s="4"/>
      <c r="P42" s="116"/>
      <c r="Q42" s="5"/>
      <c r="R42" s="5"/>
      <c r="T42" s="7"/>
    </row>
    <row r="43" spans="1:20" ht="13.5" thickBot="1" x14ac:dyDescent="0.25">
      <c r="A43" s="49"/>
      <c r="B43" s="49"/>
      <c r="C43" s="93"/>
      <c r="D43" s="94"/>
      <c r="E43" s="94"/>
      <c r="H43" s="85" t="s">
        <v>40</v>
      </c>
      <c r="I43" s="86"/>
      <c r="J43" s="87">
        <f t="shared" si="7"/>
        <v>0</v>
      </c>
      <c r="K43" s="88" t="s">
        <v>24</v>
      </c>
      <c r="L43" s="89">
        <f t="shared" si="8"/>
        <v>0</v>
      </c>
      <c r="P43" s="5"/>
      <c r="Q43" s="5"/>
      <c r="R43" s="5"/>
      <c r="T43" s="7"/>
    </row>
    <row r="44" spans="1:20" x14ac:dyDescent="0.2">
      <c r="A44" s="49"/>
      <c r="B44" s="49"/>
      <c r="C44" s="93"/>
      <c r="D44" s="94"/>
      <c r="E44" s="94"/>
      <c r="H44" s="73" t="s">
        <v>51</v>
      </c>
      <c r="I44" s="37"/>
      <c r="J44" s="74">
        <f>SUM(J31:J43)+SUM(L31:L43)</f>
        <v>0</v>
      </c>
      <c r="L44" s="5">
        <f>SUM(L31:L43)</f>
        <v>0</v>
      </c>
      <c r="P44" s="5"/>
      <c r="Q44" s="5"/>
      <c r="R44" s="5"/>
      <c r="T44" s="7"/>
    </row>
    <row r="45" spans="1:20" x14ac:dyDescent="0.2">
      <c r="A45" s="49"/>
      <c r="B45" s="49"/>
      <c r="C45" s="93"/>
      <c r="D45" s="94"/>
      <c r="E45" s="94"/>
      <c r="H45" s="38"/>
      <c r="I45" s="38"/>
      <c r="P45" s="5"/>
      <c r="Q45" s="5"/>
      <c r="R45" s="5"/>
      <c r="T45" s="7"/>
    </row>
    <row r="46" spans="1:20" ht="13.5" thickBot="1" x14ac:dyDescent="0.25">
      <c r="A46" s="49"/>
      <c r="B46" s="49"/>
      <c r="C46" s="93"/>
      <c r="D46" s="94"/>
      <c r="E46" s="94"/>
      <c r="H46" s="38"/>
      <c r="I46" s="38"/>
      <c r="P46" s="5"/>
      <c r="Q46" s="5"/>
      <c r="R46" s="5"/>
      <c r="S46" s="7"/>
    </row>
    <row r="47" spans="1:20" ht="13.5" thickBot="1" x14ac:dyDescent="0.25">
      <c r="A47" s="49"/>
      <c r="B47" s="49"/>
      <c r="C47" s="93"/>
      <c r="D47" s="94"/>
      <c r="E47" s="94"/>
      <c r="H47" s="200" t="s">
        <v>142</v>
      </c>
      <c r="I47" s="201"/>
      <c r="J47" s="201"/>
      <c r="K47" s="201"/>
      <c r="L47" s="202"/>
      <c r="P47" s="5"/>
      <c r="Q47" s="5"/>
      <c r="R47" s="5"/>
      <c r="S47" s="7"/>
    </row>
    <row r="48" spans="1:20" ht="13.5" thickBot="1" x14ac:dyDescent="0.25">
      <c r="A48" s="49"/>
      <c r="B48" s="49"/>
      <c r="C48" s="93"/>
      <c r="D48" s="94"/>
      <c r="E48" s="94"/>
      <c r="H48" s="200" t="s">
        <v>144</v>
      </c>
      <c r="I48" s="201"/>
      <c r="J48" s="201"/>
      <c r="K48" s="201"/>
      <c r="L48" s="202"/>
      <c r="P48" s="5"/>
      <c r="Q48" s="5"/>
      <c r="R48" s="5"/>
      <c r="S48" s="7"/>
    </row>
    <row r="49" spans="1:14" x14ac:dyDescent="0.2">
      <c r="A49" s="29"/>
      <c r="B49" s="29"/>
      <c r="C49" s="29"/>
      <c r="D49" s="94"/>
      <c r="E49" s="29"/>
      <c r="H49" s="75"/>
      <c r="I49" s="18"/>
      <c r="J49" s="18"/>
      <c r="K49" s="18"/>
      <c r="L49" s="76"/>
    </row>
    <row r="50" spans="1:14" x14ac:dyDescent="0.2">
      <c r="A50" s="29"/>
      <c r="B50" s="29"/>
      <c r="C50" s="29"/>
      <c r="D50" s="94"/>
      <c r="E50" s="29"/>
      <c r="H50" s="77" t="s">
        <v>35</v>
      </c>
      <c r="I50" s="38"/>
      <c r="J50" s="38"/>
      <c r="K50" s="20" t="s">
        <v>44</v>
      </c>
      <c r="L50" s="78"/>
    </row>
    <row r="51" spans="1:14" ht="13.5" thickBot="1" x14ac:dyDescent="0.25">
      <c r="D51" s="116"/>
      <c r="H51" s="79" t="s">
        <v>42</v>
      </c>
      <c r="I51" s="44"/>
      <c r="J51" s="38"/>
      <c r="K51" s="50" t="s">
        <v>45</v>
      </c>
      <c r="L51" s="78"/>
    </row>
    <row r="52" spans="1:14" x14ac:dyDescent="0.2">
      <c r="A52" s="29"/>
      <c r="B52" s="29"/>
      <c r="H52" s="80" t="s">
        <v>38</v>
      </c>
      <c r="I52" s="38"/>
      <c r="J52" s="90">
        <f>-K8</f>
        <v>0</v>
      </c>
      <c r="K52" s="26" t="s">
        <v>10</v>
      </c>
      <c r="L52" s="91">
        <f>K8</f>
        <v>0</v>
      </c>
    </row>
    <row r="53" spans="1:14" x14ac:dyDescent="0.2">
      <c r="H53" s="80" t="s">
        <v>38</v>
      </c>
      <c r="I53" s="43"/>
      <c r="J53" s="42">
        <f>-K9</f>
        <v>0</v>
      </c>
      <c r="K53" s="26" t="s">
        <v>11</v>
      </c>
      <c r="L53" s="78">
        <f>K9</f>
        <v>0</v>
      </c>
    </row>
    <row r="54" spans="1:14" x14ac:dyDescent="0.2">
      <c r="A54" s="29"/>
      <c r="B54" s="29"/>
      <c r="H54" s="81" t="s">
        <v>15</v>
      </c>
      <c r="I54" s="43"/>
      <c r="J54" s="42">
        <f>-K11</f>
        <v>0</v>
      </c>
      <c r="K54" s="26" t="s">
        <v>13</v>
      </c>
      <c r="L54" s="78">
        <f>K11</f>
        <v>0</v>
      </c>
    </row>
    <row r="55" spans="1:14" x14ac:dyDescent="0.2">
      <c r="H55" s="81" t="s">
        <v>15</v>
      </c>
      <c r="I55" s="38"/>
      <c r="J55" s="42">
        <f t="shared" ref="J55:J64" si="9">-K12</f>
        <v>0</v>
      </c>
      <c r="K55" s="26" t="s">
        <v>12</v>
      </c>
      <c r="L55" s="78">
        <f t="shared" ref="L55:L64" si="10">K12</f>
        <v>0</v>
      </c>
    </row>
    <row r="56" spans="1:14" x14ac:dyDescent="0.2">
      <c r="H56" s="81" t="s">
        <v>25</v>
      </c>
      <c r="I56" s="38"/>
      <c r="J56" s="42">
        <f t="shared" si="9"/>
        <v>0</v>
      </c>
      <c r="K56" s="26" t="s">
        <v>14</v>
      </c>
      <c r="L56" s="78">
        <f t="shared" si="10"/>
        <v>0</v>
      </c>
    </row>
    <row r="57" spans="1:14" x14ac:dyDescent="0.2">
      <c r="H57" s="81" t="s">
        <v>41</v>
      </c>
      <c r="I57" s="38"/>
      <c r="J57" s="42">
        <f t="shared" si="9"/>
        <v>0</v>
      </c>
      <c r="K57" s="26" t="s">
        <v>20</v>
      </c>
      <c r="L57" s="78">
        <f t="shared" si="10"/>
        <v>0</v>
      </c>
      <c r="N57" s="5">
        <v>-63773.47</v>
      </c>
    </row>
    <row r="58" spans="1:14" x14ac:dyDescent="0.2">
      <c r="H58" s="81" t="s">
        <v>41</v>
      </c>
      <c r="I58" s="43"/>
      <c r="J58" s="42">
        <f t="shared" si="9"/>
        <v>8926</v>
      </c>
      <c r="K58" s="26" t="s">
        <v>22</v>
      </c>
      <c r="L58" s="78">
        <f t="shared" si="10"/>
        <v>-8926</v>
      </c>
    </row>
    <row r="59" spans="1:14" x14ac:dyDescent="0.2">
      <c r="H59" s="81" t="s">
        <v>41</v>
      </c>
      <c r="I59" s="38"/>
      <c r="J59" s="42">
        <f t="shared" si="9"/>
        <v>0</v>
      </c>
      <c r="K59" s="26" t="s">
        <v>21</v>
      </c>
      <c r="L59" s="78">
        <f t="shared" si="10"/>
        <v>0</v>
      </c>
    </row>
    <row r="60" spans="1:14" x14ac:dyDescent="0.2">
      <c r="H60" s="80" t="s">
        <v>36</v>
      </c>
      <c r="I60" s="38"/>
      <c r="J60" s="42">
        <f t="shared" si="9"/>
        <v>2267729</v>
      </c>
      <c r="K60" s="26" t="s">
        <v>17</v>
      </c>
      <c r="L60" s="78">
        <f t="shared" si="10"/>
        <v>-2267729</v>
      </c>
    </row>
    <row r="61" spans="1:14" x14ac:dyDescent="0.2">
      <c r="H61" s="80" t="s">
        <v>37</v>
      </c>
      <c r="I61" s="38"/>
      <c r="J61" s="42">
        <f t="shared" si="9"/>
        <v>0</v>
      </c>
      <c r="K61" s="26" t="s">
        <v>18</v>
      </c>
      <c r="L61" s="78">
        <f t="shared" si="10"/>
        <v>0</v>
      </c>
    </row>
    <row r="62" spans="1:14" x14ac:dyDescent="0.2">
      <c r="H62" s="82" t="s">
        <v>38</v>
      </c>
      <c r="I62" s="38"/>
      <c r="J62" s="42">
        <f t="shared" si="9"/>
        <v>19378518</v>
      </c>
      <c r="K62" s="32" t="s">
        <v>16</v>
      </c>
      <c r="L62" s="78">
        <f t="shared" si="10"/>
        <v>-19378518</v>
      </c>
    </row>
    <row r="63" spans="1:14" x14ac:dyDescent="0.2">
      <c r="H63" s="83" t="s">
        <v>39</v>
      </c>
      <c r="I63" s="33"/>
      <c r="J63" s="42">
        <f t="shared" si="9"/>
        <v>6198544</v>
      </c>
      <c r="K63" s="84" t="s">
        <v>19</v>
      </c>
      <c r="L63" s="78">
        <f t="shared" si="10"/>
        <v>-6198544</v>
      </c>
    </row>
    <row r="64" spans="1:14" ht="13.5" thickBot="1" x14ac:dyDescent="0.25">
      <c r="H64" s="85" t="s">
        <v>40</v>
      </c>
      <c r="I64" s="86"/>
      <c r="J64" s="87">
        <f t="shared" si="9"/>
        <v>4106701</v>
      </c>
      <c r="K64" s="88" t="s">
        <v>24</v>
      </c>
      <c r="L64" s="89">
        <f t="shared" si="10"/>
        <v>-4106701</v>
      </c>
    </row>
    <row r="65" spans="8:12" x14ac:dyDescent="0.2">
      <c r="H65" s="73" t="s">
        <v>51</v>
      </c>
      <c r="I65" s="37"/>
      <c r="J65" s="74">
        <f>SUM(J52:J64)+SUM(L52:L64)</f>
        <v>0</v>
      </c>
      <c r="L65" s="5">
        <f>SUM(L52:L64)</f>
        <v>-31960418</v>
      </c>
    </row>
  </sheetData>
  <mergeCells count="4">
    <mergeCell ref="H26:L26"/>
    <mergeCell ref="H27:L27"/>
    <mergeCell ref="H47:L47"/>
    <mergeCell ref="H48:L48"/>
  </mergeCells>
  <conditionalFormatting sqref="M24 H24">
    <cfRule type="cellIs" dxfId="8" priority="1" stopIfTrue="1" operator="notBetween">
      <formula>-1</formula>
      <formula>1</formula>
    </cfRule>
  </conditionalFormatting>
  <pageMargins left="0.7" right="0.7" top="0.75" bottom="0.75" header="0.3" footer="0.3"/>
  <pageSetup scale="6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65"/>
  <sheetViews>
    <sheetView zoomScale="80" zoomScaleNormal="80" workbookViewId="0">
      <pane xSplit="3" topLeftCell="D1" activePane="topRight" state="frozenSplit"/>
      <selection pane="topRight" activeCell="D49" sqref="D49"/>
    </sheetView>
  </sheetViews>
  <sheetFormatPr defaultRowHeight="12.75" x14ac:dyDescent="0.2"/>
  <cols>
    <col min="1" max="1" width="24.7109375" style="4" customWidth="1"/>
    <col min="2" max="2" width="1.140625" style="4" customWidth="1"/>
    <col min="3" max="3" width="15" style="4" bestFit="1" customWidth="1"/>
    <col min="4" max="4" width="16.42578125" style="4" bestFit="1" customWidth="1"/>
    <col min="5" max="5" width="0.85546875" style="4" customWidth="1"/>
    <col min="6" max="6" width="15.42578125" style="5" bestFit="1" customWidth="1"/>
    <col min="7" max="7" width="10.28515625" style="5" customWidth="1"/>
    <col min="8" max="8" width="15.28515625" style="5" customWidth="1"/>
    <col min="9" max="9" width="0.85546875" style="2" customWidth="1"/>
    <col min="10" max="10" width="13.7109375" style="5" customWidth="1"/>
    <col min="11" max="11" width="15" style="5" bestFit="1" customWidth="1"/>
    <col min="12" max="12" width="13.7109375" style="5" customWidth="1"/>
    <col min="13" max="14" width="15.140625" style="5" bestFit="1" customWidth="1"/>
    <col min="15" max="15" width="18.42578125" style="5" customWidth="1"/>
    <col min="16" max="18" width="14.7109375" style="6" customWidth="1"/>
    <col min="19" max="19" width="11.7109375" style="6" bestFit="1" customWidth="1"/>
    <col min="20" max="20" width="10.28515625" style="6" bestFit="1" customWidth="1"/>
    <col min="21" max="21" width="11.28515625" style="6" customWidth="1"/>
    <col min="22" max="16384" width="9.140625" style="4"/>
  </cols>
  <sheetData>
    <row r="1" spans="1:21" ht="13.5" x14ac:dyDescent="0.25">
      <c r="A1" s="3" t="s">
        <v>123</v>
      </c>
      <c r="E1" s="49"/>
      <c r="M1" s="7"/>
      <c r="N1" s="6"/>
      <c r="O1" s="6"/>
      <c r="P1" s="13" t="s">
        <v>82</v>
      </c>
      <c r="Q1" s="8"/>
      <c r="R1" s="8"/>
      <c r="S1" s="8"/>
      <c r="T1" s="9"/>
      <c r="U1" s="4"/>
    </row>
    <row r="2" spans="1:21" x14ac:dyDescent="0.2">
      <c r="A2" s="41" t="s">
        <v>124</v>
      </c>
      <c r="B2" s="10"/>
      <c r="C2" s="11"/>
      <c r="D2" s="11"/>
      <c r="E2" s="54"/>
      <c r="F2" s="23"/>
      <c r="G2" s="23"/>
      <c r="H2" s="23"/>
      <c r="I2" s="23"/>
      <c r="J2" s="4"/>
      <c r="L2" s="4"/>
      <c r="M2" s="4"/>
      <c r="N2" s="12"/>
      <c r="O2" s="114" t="s">
        <v>129</v>
      </c>
      <c r="P2" s="101" t="s">
        <v>127</v>
      </c>
      <c r="Q2" s="12"/>
      <c r="R2" s="13" t="s">
        <v>82</v>
      </c>
      <c r="S2" s="14"/>
      <c r="T2" s="15"/>
      <c r="U2" s="16"/>
    </row>
    <row r="3" spans="1:21" s="29" customFormat="1" ht="14.25" thickBot="1" x14ac:dyDescent="0.3">
      <c r="A3" s="92"/>
      <c r="B3" s="53"/>
      <c r="C3" s="54"/>
      <c r="D3" s="54"/>
      <c r="E3" s="54"/>
      <c r="F3" s="23"/>
      <c r="G3" s="23"/>
      <c r="H3" s="23" t="s">
        <v>48</v>
      </c>
      <c r="I3" s="23"/>
      <c r="J3" s="96">
        <v>41214</v>
      </c>
      <c r="K3" s="101" t="s">
        <v>125</v>
      </c>
      <c r="L3" s="18" t="s">
        <v>94</v>
      </c>
      <c r="M3" s="96">
        <v>41029</v>
      </c>
      <c r="N3" s="39"/>
      <c r="O3" s="96">
        <v>41214</v>
      </c>
      <c r="P3" s="18" t="s">
        <v>131</v>
      </c>
      <c r="Q3" s="96">
        <v>41214</v>
      </c>
      <c r="R3" s="18" t="s">
        <v>83</v>
      </c>
      <c r="S3" s="55"/>
      <c r="T3" s="54"/>
      <c r="U3" s="53"/>
    </row>
    <row r="4" spans="1:21" ht="13.5" thickBot="1" x14ac:dyDescent="0.25">
      <c r="A4" s="98" t="s">
        <v>46</v>
      </c>
      <c r="B4" s="17"/>
      <c r="C4" s="20" t="s">
        <v>44</v>
      </c>
      <c r="D4" s="71" t="s">
        <v>117</v>
      </c>
      <c r="E4" s="71"/>
      <c r="F4" s="18" t="s">
        <v>65</v>
      </c>
      <c r="G4" s="18" t="s">
        <v>32</v>
      </c>
      <c r="H4" s="18" t="s">
        <v>34</v>
      </c>
      <c r="I4" s="18"/>
      <c r="J4" s="18" t="s">
        <v>23</v>
      </c>
      <c r="K4" s="18" t="s">
        <v>90</v>
      </c>
      <c r="L4" s="18" t="s">
        <v>8</v>
      </c>
      <c r="M4" s="48" t="s">
        <v>27</v>
      </c>
      <c r="N4" s="19"/>
      <c r="O4" s="18" t="s">
        <v>130</v>
      </c>
      <c r="P4" s="18" t="s">
        <v>128</v>
      </c>
      <c r="Q4" s="18" t="s">
        <v>119</v>
      </c>
      <c r="R4" s="71">
        <v>40178</v>
      </c>
      <c r="S4" s="17"/>
      <c r="T4" s="17"/>
      <c r="U4" s="17"/>
    </row>
    <row r="5" spans="1:21" ht="13.5" thickBot="1" x14ac:dyDescent="0.25">
      <c r="A5" s="21"/>
      <c r="B5" s="21"/>
      <c r="C5" s="50" t="s">
        <v>45</v>
      </c>
      <c r="D5" s="99" t="s">
        <v>53</v>
      </c>
      <c r="E5" s="71"/>
      <c r="F5" s="51" t="s">
        <v>4</v>
      </c>
      <c r="G5" s="51" t="s">
        <v>33</v>
      </c>
      <c r="H5" s="51" t="s">
        <v>65</v>
      </c>
      <c r="I5" s="18"/>
      <c r="J5" s="51" t="s">
        <v>56</v>
      </c>
      <c r="K5" s="51" t="s">
        <v>63</v>
      </c>
      <c r="L5" s="51" t="s">
        <v>7</v>
      </c>
      <c r="M5" s="52" t="s">
        <v>7</v>
      </c>
      <c r="N5" s="22"/>
      <c r="O5" s="51" t="s">
        <v>132</v>
      </c>
      <c r="P5" s="51" t="s">
        <v>62</v>
      </c>
      <c r="Q5" s="51" t="s">
        <v>56</v>
      </c>
      <c r="R5" s="99" t="s">
        <v>53</v>
      </c>
      <c r="S5" s="21"/>
      <c r="T5" s="21"/>
      <c r="U5" s="21"/>
    </row>
    <row r="6" spans="1:21" ht="5.25" customHeight="1" x14ac:dyDescent="0.2">
      <c r="E6" s="49"/>
      <c r="F6" s="23"/>
      <c r="G6" s="23"/>
      <c r="H6" s="23"/>
      <c r="I6" s="23"/>
      <c r="J6" s="23"/>
      <c r="L6" s="23"/>
      <c r="M6" s="7"/>
      <c r="N6" s="8"/>
      <c r="O6" s="9"/>
      <c r="P6" s="9"/>
      <c r="Q6" s="9"/>
      <c r="R6" s="9"/>
      <c r="S6" s="4"/>
      <c r="T6" s="4"/>
      <c r="U6" s="4"/>
    </row>
    <row r="7" spans="1:21" x14ac:dyDescent="0.2">
      <c r="A7" s="25" t="s">
        <v>49</v>
      </c>
      <c r="B7" s="25"/>
      <c r="C7" s="70"/>
      <c r="D7" s="28"/>
      <c r="E7" s="1"/>
      <c r="F7" s="27">
        <v>0</v>
      </c>
      <c r="G7" s="2"/>
      <c r="H7" s="2"/>
      <c r="J7" s="2"/>
      <c r="L7" s="2"/>
      <c r="M7" s="2"/>
      <c r="N7" s="32"/>
      <c r="O7" s="32"/>
      <c r="Q7" s="32"/>
      <c r="S7" s="31"/>
      <c r="T7" s="31"/>
      <c r="U7" s="31"/>
    </row>
    <row r="8" spans="1:21" x14ac:dyDescent="0.2">
      <c r="A8" s="25" t="s">
        <v>9</v>
      </c>
      <c r="B8" s="25"/>
      <c r="C8" s="25" t="s">
        <v>10</v>
      </c>
      <c r="D8" s="2">
        <v>0</v>
      </c>
      <c r="E8" s="1"/>
      <c r="F8"/>
      <c r="G8" s="69"/>
      <c r="H8" s="2">
        <f>-SUM(F8:G8)</f>
        <v>0</v>
      </c>
      <c r="J8"/>
      <c r="K8"/>
      <c r="L8" s="2">
        <f>H8-J8-K8</f>
        <v>0</v>
      </c>
      <c r="M8" s="2">
        <f>L8/(13-MONTH($M$3))</f>
        <v>0</v>
      </c>
      <c r="N8" s="32"/>
      <c r="O8" s="112"/>
      <c r="P8" s="26"/>
      <c r="Q8" s="112"/>
      <c r="R8" s="26"/>
      <c r="S8" s="31"/>
      <c r="T8" s="31"/>
      <c r="U8" s="31"/>
    </row>
    <row r="9" spans="1:21" x14ac:dyDescent="0.2">
      <c r="A9" s="25" t="s">
        <v>9</v>
      </c>
      <c r="B9" s="25"/>
      <c r="C9" s="25" t="s">
        <v>11</v>
      </c>
      <c r="D9" s="2">
        <v>0</v>
      </c>
      <c r="E9" s="1"/>
      <c r="F9"/>
      <c r="G9" s="69"/>
      <c r="H9" s="2">
        <f>-SUM(F9:G9)</f>
        <v>0</v>
      </c>
      <c r="J9"/>
      <c r="K9"/>
      <c r="L9" s="2">
        <f t="shared" ref="L9:L21" si="0">H9-J9-K9</f>
        <v>0</v>
      </c>
      <c r="M9" s="2">
        <f t="shared" ref="M9:M21" si="1">L9/(13-MONTH($M$3))</f>
        <v>0</v>
      </c>
      <c r="N9" s="2"/>
      <c r="O9" s="30"/>
      <c r="P9" s="26"/>
      <c r="Q9" s="30"/>
      <c r="R9" s="26"/>
      <c r="S9" s="25"/>
      <c r="T9" s="25"/>
      <c r="U9" s="25"/>
    </row>
    <row r="10" spans="1:21" x14ac:dyDescent="0.2">
      <c r="A10" s="25" t="s">
        <v>50</v>
      </c>
      <c r="B10" s="25"/>
      <c r="C10" s="70"/>
      <c r="D10" s="2">
        <v>0</v>
      </c>
      <c r="E10" s="1"/>
      <c r="F10"/>
      <c r="G10" s="2"/>
      <c r="H10" s="2"/>
      <c r="J10"/>
      <c r="K10"/>
      <c r="L10" s="2">
        <f t="shared" si="0"/>
        <v>0</v>
      </c>
      <c r="M10" s="2">
        <f t="shared" si="1"/>
        <v>0</v>
      </c>
      <c r="N10" s="32"/>
      <c r="O10" s="112"/>
      <c r="P10" s="26"/>
      <c r="Q10" s="112"/>
      <c r="R10" s="26"/>
      <c r="S10" s="31"/>
      <c r="T10" s="31"/>
      <c r="U10" s="31"/>
    </row>
    <row r="11" spans="1:21" x14ac:dyDescent="0.2">
      <c r="A11" s="25" t="s">
        <v>9</v>
      </c>
      <c r="B11" s="25"/>
      <c r="C11" s="25" t="s">
        <v>13</v>
      </c>
      <c r="D11" s="2">
        <v>0</v>
      </c>
      <c r="E11" s="1"/>
      <c r="F11"/>
      <c r="G11" s="69"/>
      <c r="H11" s="2">
        <f t="shared" ref="H11:H13" si="2">-SUM(F11:G11)</f>
        <v>0</v>
      </c>
      <c r="J11"/>
      <c r="K11"/>
      <c r="L11" s="2">
        <f t="shared" si="0"/>
        <v>0</v>
      </c>
      <c r="M11" s="2">
        <f t="shared" si="1"/>
        <v>0</v>
      </c>
      <c r="N11" s="26"/>
      <c r="O11" s="113"/>
      <c r="P11" s="26"/>
      <c r="Q11" s="113"/>
      <c r="R11" s="26"/>
      <c r="S11" s="25"/>
      <c r="T11" s="25"/>
      <c r="U11" s="25"/>
    </row>
    <row r="12" spans="1:21" x14ac:dyDescent="0.2">
      <c r="A12" s="25" t="s">
        <v>9</v>
      </c>
      <c r="B12" s="25"/>
      <c r="C12" s="25" t="s">
        <v>12</v>
      </c>
      <c r="D12" s="2">
        <v>0</v>
      </c>
      <c r="E12" s="1"/>
      <c r="F12"/>
      <c r="G12" s="69"/>
      <c r="H12" s="2">
        <f t="shared" si="2"/>
        <v>0</v>
      </c>
      <c r="J12"/>
      <c r="K12"/>
      <c r="L12" s="2">
        <f t="shared" si="0"/>
        <v>0</v>
      </c>
      <c r="M12" s="2">
        <f t="shared" si="1"/>
        <v>0</v>
      </c>
      <c r="N12" s="26"/>
      <c r="O12" s="26"/>
      <c r="P12" s="26"/>
      <c r="Q12" s="26"/>
      <c r="R12" s="26"/>
      <c r="S12" s="25"/>
      <c r="T12" s="25"/>
      <c r="U12" s="25"/>
    </row>
    <row r="13" spans="1:21" x14ac:dyDescent="0.2">
      <c r="A13" s="25" t="s">
        <v>9</v>
      </c>
      <c r="B13" s="25"/>
      <c r="C13" s="25" t="s">
        <v>14</v>
      </c>
      <c r="D13" s="2">
        <v>0</v>
      </c>
      <c r="E13" s="1"/>
      <c r="F13" s="27">
        <v>0</v>
      </c>
      <c r="G13" s="2"/>
      <c r="H13" s="2">
        <f t="shared" si="2"/>
        <v>0</v>
      </c>
      <c r="J13"/>
      <c r="K13"/>
      <c r="L13" s="2">
        <f t="shared" si="0"/>
        <v>0</v>
      </c>
      <c r="M13" s="2">
        <f t="shared" si="1"/>
        <v>0</v>
      </c>
      <c r="N13" s="26"/>
      <c r="O13" s="26"/>
      <c r="P13" s="26"/>
      <c r="Q13" s="26"/>
      <c r="R13" s="26"/>
      <c r="S13" s="25"/>
      <c r="T13" s="25"/>
      <c r="U13" s="25"/>
    </row>
    <row r="14" spans="1:21" x14ac:dyDescent="0.2">
      <c r="A14" s="25" t="s">
        <v>2</v>
      </c>
      <c r="B14" s="25"/>
      <c r="C14" s="25" t="s">
        <v>20</v>
      </c>
      <c r="D14" s="2">
        <v>-59643</v>
      </c>
      <c r="E14" s="1"/>
      <c r="F14" s="27">
        <v>9011</v>
      </c>
      <c r="G14" s="2"/>
      <c r="H14" s="2">
        <f>-SUM(F14:G14)</f>
        <v>-9011</v>
      </c>
      <c r="J14" s="27">
        <f>O14-D14</f>
        <v>4214</v>
      </c>
      <c r="K14" s="5">
        <f>H14-J14</f>
        <v>-13225</v>
      </c>
      <c r="L14" s="2">
        <f>H14-J14-K14</f>
        <v>0</v>
      </c>
      <c r="M14" s="2">
        <f t="shared" si="1"/>
        <v>0</v>
      </c>
      <c r="N14" s="2"/>
      <c r="O14" s="1">
        <f>Q14-P14</f>
        <v>-55429</v>
      </c>
      <c r="P14" s="26">
        <v>4881</v>
      </c>
      <c r="Q14" s="1">
        <v>-50548</v>
      </c>
      <c r="R14" s="26">
        <v>-50548.47</v>
      </c>
      <c r="S14" s="25"/>
      <c r="T14" s="25"/>
      <c r="U14" s="25"/>
    </row>
    <row r="15" spans="1:21" x14ac:dyDescent="0.2">
      <c r="A15" s="25" t="s">
        <v>5</v>
      </c>
      <c r="B15" s="25"/>
      <c r="C15" s="25" t="s">
        <v>22</v>
      </c>
      <c r="D15" s="2">
        <v>209727</v>
      </c>
      <c r="E15" s="1"/>
      <c r="F15" s="27">
        <v>-76915</v>
      </c>
      <c r="G15" s="2"/>
      <c r="H15" s="2">
        <f t="shared" ref="H15:H21" si="3">-SUM(F15:G15)</f>
        <v>76915</v>
      </c>
      <c r="J15" s="27">
        <f t="shared" ref="J15:J21" si="4">O15-D15</f>
        <v>252780</v>
      </c>
      <c r="K15" s="5">
        <f t="shared" ref="K15:K21" si="5">H15-J15</f>
        <v>-175865</v>
      </c>
      <c r="L15" s="2">
        <f t="shared" si="0"/>
        <v>0</v>
      </c>
      <c r="M15" s="2">
        <f t="shared" si="1"/>
        <v>0</v>
      </c>
      <c r="N15" s="2"/>
      <c r="O15" s="1">
        <f t="shared" ref="O15:O21" si="6">Q15-P15</f>
        <v>462507</v>
      </c>
      <c r="P15" s="26">
        <v>2306</v>
      </c>
      <c r="Q15" s="1">
        <f>464813</f>
        <v>464813</v>
      </c>
      <c r="R15" s="26">
        <v>464813.1</v>
      </c>
      <c r="S15" s="25"/>
      <c r="T15" s="25"/>
      <c r="U15" s="25"/>
    </row>
    <row r="16" spans="1:21" x14ac:dyDescent="0.2">
      <c r="A16" s="25" t="s">
        <v>52</v>
      </c>
      <c r="B16" s="25"/>
      <c r="C16" s="25" t="s">
        <v>21</v>
      </c>
      <c r="D16" s="2">
        <v>-858783</v>
      </c>
      <c r="E16" s="1"/>
      <c r="F16" s="27">
        <v>0</v>
      </c>
      <c r="G16" s="2"/>
      <c r="H16" s="2">
        <f t="shared" si="3"/>
        <v>0</v>
      </c>
      <c r="J16" s="27">
        <f t="shared" si="4"/>
        <v>0</v>
      </c>
      <c r="K16" s="5">
        <f t="shared" si="5"/>
        <v>0</v>
      </c>
      <c r="L16" s="2">
        <f t="shared" si="0"/>
        <v>0</v>
      </c>
      <c r="M16" s="2">
        <f t="shared" si="1"/>
        <v>0</v>
      </c>
      <c r="N16" s="2"/>
      <c r="O16" s="1">
        <f t="shared" si="6"/>
        <v>-858783</v>
      </c>
      <c r="P16" s="26">
        <v>0</v>
      </c>
      <c r="Q16" s="1">
        <v>-858783</v>
      </c>
      <c r="R16" s="26">
        <v>-50548.47</v>
      </c>
      <c r="S16" s="25"/>
      <c r="T16" s="25"/>
      <c r="U16" s="25"/>
    </row>
    <row r="17" spans="1:21" x14ac:dyDescent="0.2">
      <c r="A17" s="28" t="s">
        <v>29</v>
      </c>
      <c r="B17" s="28"/>
      <c r="C17" s="25" t="s">
        <v>17</v>
      </c>
      <c r="D17" s="2">
        <v>-27932852</v>
      </c>
      <c r="E17" s="1"/>
      <c r="F17" s="27">
        <v>4655099</v>
      </c>
      <c r="G17" s="2"/>
      <c r="H17" s="2">
        <f t="shared" si="3"/>
        <v>-4655099</v>
      </c>
      <c r="J17" s="27">
        <f t="shared" si="4"/>
        <v>-5220017</v>
      </c>
      <c r="K17" s="5">
        <f t="shared" si="5"/>
        <v>564918</v>
      </c>
      <c r="L17" s="2">
        <f t="shared" si="0"/>
        <v>0</v>
      </c>
      <c r="M17" s="2">
        <f t="shared" si="1"/>
        <v>0</v>
      </c>
      <c r="N17" s="2"/>
      <c r="O17" s="1">
        <f t="shared" si="6"/>
        <v>-33152869</v>
      </c>
      <c r="P17" s="26">
        <v>-2968312</v>
      </c>
      <c r="Q17" s="1">
        <v>-36121181</v>
      </c>
      <c r="R17" s="26">
        <v>-50548.47</v>
      </c>
      <c r="S17" s="25"/>
      <c r="T17" s="25"/>
      <c r="U17" s="25"/>
    </row>
    <row r="18" spans="1:21" x14ac:dyDescent="0.2">
      <c r="A18" s="28" t="s">
        <v>30</v>
      </c>
      <c r="B18" s="28"/>
      <c r="C18" s="25" t="s">
        <v>18</v>
      </c>
      <c r="D18" s="2">
        <v>-1834152</v>
      </c>
      <c r="E18" s="1"/>
      <c r="F18" s="27">
        <v>66942</v>
      </c>
      <c r="G18" s="2"/>
      <c r="H18" s="2">
        <f t="shared" si="3"/>
        <v>-66942</v>
      </c>
      <c r="J18" s="27">
        <f t="shared" si="4"/>
        <v>-61360</v>
      </c>
      <c r="K18" s="5">
        <f t="shared" si="5"/>
        <v>-5582</v>
      </c>
      <c r="L18" s="2">
        <f t="shared" si="0"/>
        <v>0</v>
      </c>
      <c r="M18" s="2">
        <f t="shared" si="1"/>
        <v>0</v>
      </c>
      <c r="N18" s="2"/>
      <c r="O18" s="1">
        <f t="shared" si="6"/>
        <v>-1895512</v>
      </c>
      <c r="P18" s="26">
        <v>0</v>
      </c>
      <c r="Q18" s="1">
        <v>-1895512</v>
      </c>
      <c r="R18" s="26">
        <v>-50548.47</v>
      </c>
      <c r="S18" s="25"/>
      <c r="T18" s="25"/>
      <c r="U18" s="25"/>
    </row>
    <row r="19" spans="1:21" x14ac:dyDescent="0.2">
      <c r="A19" s="4" t="s">
        <v>28</v>
      </c>
      <c r="B19" s="46"/>
      <c r="C19" s="32" t="s">
        <v>16</v>
      </c>
      <c r="D19" s="2">
        <v>-276208059</v>
      </c>
      <c r="E19" s="2"/>
      <c r="F19" s="27">
        <v>11516700</v>
      </c>
      <c r="G19" s="2">
        <f>D35</f>
        <v>0</v>
      </c>
      <c r="H19" s="2">
        <f t="shared" si="3"/>
        <v>-11516700</v>
      </c>
      <c r="J19" s="27">
        <f t="shared" si="4"/>
        <v>-7036741</v>
      </c>
      <c r="K19" s="5">
        <f t="shared" si="5"/>
        <v>-4479959</v>
      </c>
      <c r="L19" s="2">
        <f t="shared" si="0"/>
        <v>0</v>
      </c>
      <c r="M19" s="2">
        <f t="shared" si="1"/>
        <v>0</v>
      </c>
      <c r="N19" s="2"/>
      <c r="O19" s="1">
        <f>Q19-P19-8</f>
        <v>-283244800</v>
      </c>
      <c r="P19" s="26">
        <f>2940423+617602</f>
        <v>3558025</v>
      </c>
      <c r="Q19" s="1">
        <f>-279686767</f>
        <v>-279686767</v>
      </c>
      <c r="R19" s="26">
        <v>-279686767.10000002</v>
      </c>
      <c r="S19" s="25"/>
      <c r="T19" s="25"/>
      <c r="U19" s="25"/>
    </row>
    <row r="20" spans="1:21" x14ac:dyDescent="0.2">
      <c r="A20" s="47" t="s">
        <v>26</v>
      </c>
      <c r="B20" s="28"/>
      <c r="C20" s="36" t="s">
        <v>19</v>
      </c>
      <c r="D20" s="2">
        <v>-59677071</v>
      </c>
      <c r="E20" s="40"/>
      <c r="F20" s="27">
        <v>3010435</v>
      </c>
      <c r="G20" s="2">
        <f>D36</f>
        <v>0</v>
      </c>
      <c r="H20" s="2">
        <f t="shared" si="3"/>
        <v>-3010435</v>
      </c>
      <c r="J20" s="27">
        <f t="shared" si="4"/>
        <v>-2923282</v>
      </c>
      <c r="K20" s="5">
        <f t="shared" si="5"/>
        <v>-87153</v>
      </c>
      <c r="L20" s="2">
        <f t="shared" si="0"/>
        <v>0</v>
      </c>
      <c r="M20" s="2">
        <f t="shared" si="1"/>
        <v>0</v>
      </c>
      <c r="N20" s="2"/>
      <c r="O20" s="1">
        <f t="shared" si="6"/>
        <v>-62600353</v>
      </c>
      <c r="P20" s="26">
        <f>-110444+162978</f>
        <v>52534</v>
      </c>
      <c r="Q20" s="1">
        <v>-62547819</v>
      </c>
      <c r="R20" s="26">
        <v>-50548.47</v>
      </c>
      <c r="S20" s="25"/>
      <c r="T20" s="25"/>
      <c r="U20" s="25"/>
    </row>
    <row r="21" spans="1:21" x14ac:dyDescent="0.2">
      <c r="A21" s="26" t="s">
        <v>47</v>
      </c>
      <c r="B21" s="26"/>
      <c r="C21" s="26" t="s">
        <v>24</v>
      </c>
      <c r="D21" s="2">
        <v>-32139461</v>
      </c>
      <c r="E21" s="1"/>
      <c r="F21" s="27">
        <v>2443875</v>
      </c>
      <c r="G21" s="2">
        <f>D37</f>
        <v>0</v>
      </c>
      <c r="H21" s="2">
        <f t="shared" si="3"/>
        <v>-2443875</v>
      </c>
      <c r="J21" s="27">
        <f t="shared" si="4"/>
        <v>-1796851</v>
      </c>
      <c r="K21" s="5">
        <f t="shared" si="5"/>
        <v>-647024</v>
      </c>
      <c r="L21" s="2">
        <f t="shared" si="0"/>
        <v>0</v>
      </c>
      <c r="M21" s="2">
        <f t="shared" si="1"/>
        <v>0</v>
      </c>
      <c r="N21" s="2"/>
      <c r="O21" s="1">
        <f t="shared" si="6"/>
        <v>-33936312</v>
      </c>
      <c r="P21" s="26">
        <f>-341087+77200</f>
        <v>-263887</v>
      </c>
      <c r="Q21" s="1">
        <v>-34200199</v>
      </c>
      <c r="R21" s="26">
        <v>-50548.47</v>
      </c>
      <c r="S21" s="25"/>
      <c r="T21" s="25"/>
      <c r="U21" s="25"/>
    </row>
    <row r="22" spans="1:21" x14ac:dyDescent="0.2">
      <c r="A22" s="25"/>
      <c r="B22" s="25"/>
      <c r="C22" s="35"/>
      <c r="D22" s="2"/>
      <c r="E22" s="72"/>
      <c r="F22" s="2"/>
      <c r="G22" s="2"/>
      <c r="H22" s="2"/>
      <c r="J22" s="2"/>
      <c r="L22" s="2"/>
      <c r="M22" s="2"/>
      <c r="N22" s="26"/>
      <c r="O22" s="1"/>
      <c r="P22" s="26"/>
      <c r="Q22" s="26"/>
      <c r="R22" s="26"/>
      <c r="S22" s="25"/>
      <c r="U22" s="25"/>
    </row>
    <row r="23" spans="1:21" x14ac:dyDescent="0.2">
      <c r="A23" s="25" t="s">
        <v>6</v>
      </c>
      <c r="B23" s="26"/>
      <c r="C23" s="26"/>
      <c r="D23" s="45">
        <f>SUM(D8:D22)</f>
        <v>-398500294</v>
      </c>
      <c r="E23" s="2"/>
      <c r="F23" s="45">
        <f>SUM(F7:F22)-F7-F10</f>
        <v>21625147</v>
      </c>
      <c r="G23" s="45">
        <f>SUM(G8:G22)</f>
        <v>0</v>
      </c>
      <c r="H23" s="45">
        <f>SUM(H8:H22)</f>
        <v>-21625147</v>
      </c>
      <c r="J23" s="45">
        <f>SUM(J8:J22)</f>
        <v>-16781257</v>
      </c>
      <c r="K23" s="45">
        <f>SUM(K8:K22)</f>
        <v>-4843890</v>
      </c>
      <c r="L23" s="45">
        <f>SUM(L8:L22)</f>
        <v>0</v>
      </c>
      <c r="M23" s="45">
        <f>SUM(M8:M22)</f>
        <v>0</v>
      </c>
      <c r="N23" s="26"/>
      <c r="O23" s="26">
        <f>SUM(O14:O22)</f>
        <v>-415281551</v>
      </c>
      <c r="P23" s="115"/>
      <c r="Q23" s="115"/>
      <c r="R23" s="45">
        <f>SUM(R8:R22)</f>
        <v>-279525244.82000005</v>
      </c>
      <c r="S23" s="25"/>
      <c r="U23" s="25"/>
    </row>
    <row r="24" spans="1:21" x14ac:dyDescent="0.2">
      <c r="A24" s="24" t="s">
        <v>43</v>
      </c>
      <c r="D24" s="26"/>
      <c r="E24" s="1"/>
      <c r="F24" s="56"/>
      <c r="H24" s="5">
        <f>ROUND(F24+H23,0)</f>
        <v>-21625147</v>
      </c>
      <c r="L24" s="7">
        <f>J23+K23+L23-H23</f>
        <v>0</v>
      </c>
      <c r="M24" s="6">
        <f>(M23*(13-MONTH($M$3))-L23)</f>
        <v>0</v>
      </c>
      <c r="N24" s="6"/>
      <c r="O24" s="26">
        <f>Q24-385547</f>
        <v>-415281543</v>
      </c>
      <c r="P24" s="2">
        <f>SUM(P8:P22)</f>
        <v>385547</v>
      </c>
      <c r="Q24" s="26">
        <f>SUM(Q14:Q22)</f>
        <v>-414895996</v>
      </c>
      <c r="R24" s="8"/>
      <c r="S24" s="9"/>
      <c r="U24" s="4"/>
    </row>
    <row r="25" spans="1:21" ht="13.5" thickBot="1" x14ac:dyDescent="0.25">
      <c r="A25" s="24"/>
      <c r="D25" s="26">
        <v>398114743</v>
      </c>
      <c r="K25" s="7"/>
      <c r="L25" s="6"/>
      <c r="M25" s="6"/>
      <c r="N25" s="6"/>
      <c r="O25" s="8"/>
      <c r="P25" s="8"/>
      <c r="Q25" s="8"/>
      <c r="R25" s="8"/>
      <c r="S25" s="9"/>
      <c r="T25" s="25">
        <v>-11075201.25999999</v>
      </c>
      <c r="U25" s="4"/>
    </row>
    <row r="26" spans="1:21" ht="13.5" thickBot="1" x14ac:dyDescent="0.25">
      <c r="A26" s="24"/>
      <c r="H26" s="200" t="s">
        <v>120</v>
      </c>
      <c r="I26" s="201"/>
      <c r="J26" s="201"/>
      <c r="K26" s="201"/>
      <c r="L26" s="202"/>
      <c r="M26" s="6"/>
      <c r="O26" s="6"/>
      <c r="P26" s="6">
        <f>+D27</f>
        <v>-385551</v>
      </c>
      <c r="S26" s="8"/>
      <c r="T26" s="25">
        <v>-2951950.549999997</v>
      </c>
      <c r="U26" s="9"/>
    </row>
    <row r="27" spans="1:21" ht="13.5" thickBot="1" x14ac:dyDescent="0.25">
      <c r="A27" s="24"/>
      <c r="D27" s="116">
        <f>SUM(D23:D25)</f>
        <v>-385551</v>
      </c>
      <c r="H27" s="200" t="s">
        <v>121</v>
      </c>
      <c r="I27" s="201"/>
      <c r="J27" s="201"/>
      <c r="K27" s="201"/>
      <c r="L27" s="202"/>
      <c r="M27" s="7"/>
      <c r="N27" s="6"/>
      <c r="O27"/>
      <c r="S27" s="8"/>
      <c r="T27" s="25">
        <v>-1363621.129999999</v>
      </c>
      <c r="U27" s="9"/>
    </row>
    <row r="28" spans="1:21" x14ac:dyDescent="0.2">
      <c r="A28" s="24"/>
      <c r="H28" s="75"/>
      <c r="I28" s="18"/>
      <c r="J28" s="18"/>
      <c r="K28" s="18"/>
      <c r="L28" s="76"/>
      <c r="N28" s="6"/>
      <c r="O28"/>
      <c r="P28" s="6">
        <f>SUM(P24:P26)</f>
        <v>-4</v>
      </c>
      <c r="T28" s="8"/>
      <c r="U28" s="8"/>
    </row>
    <row r="29" spans="1:21" x14ac:dyDescent="0.2">
      <c r="A29" s="57"/>
      <c r="B29" s="57"/>
      <c r="C29" s="57"/>
      <c r="D29" s="57"/>
      <c r="E29" s="57"/>
      <c r="F29" s="58"/>
      <c r="H29" s="77" t="s">
        <v>35</v>
      </c>
      <c r="I29" s="38"/>
      <c r="J29" s="38"/>
      <c r="K29" s="20" t="s">
        <v>44</v>
      </c>
      <c r="L29" s="78"/>
      <c r="O29"/>
    </row>
    <row r="30" spans="1:21" ht="13.5" thickBot="1" x14ac:dyDescent="0.25">
      <c r="A30" s="59"/>
      <c r="B30" s="57"/>
      <c r="C30" s="57"/>
      <c r="D30" s="57"/>
      <c r="E30" s="57"/>
      <c r="F30" s="56"/>
      <c r="H30" s="79" t="s">
        <v>42</v>
      </c>
      <c r="I30" s="44"/>
      <c r="J30" s="38"/>
      <c r="K30" s="50" t="s">
        <v>45</v>
      </c>
      <c r="L30" s="78"/>
      <c r="N30" s="34"/>
      <c r="O30"/>
      <c r="P30" s="5"/>
      <c r="Q30" s="5"/>
      <c r="R30" s="5"/>
      <c r="T30" s="7"/>
    </row>
    <row r="31" spans="1:21" x14ac:dyDescent="0.2">
      <c r="A31" s="59"/>
      <c r="B31" s="57"/>
      <c r="C31" s="57"/>
      <c r="D31" s="57"/>
      <c r="E31" s="57"/>
      <c r="F31" s="56"/>
      <c r="H31" s="80" t="s">
        <v>38</v>
      </c>
      <c r="I31" s="38"/>
      <c r="J31" s="90">
        <f>-M8</f>
        <v>0</v>
      </c>
      <c r="K31" s="26" t="s">
        <v>10</v>
      </c>
      <c r="L31" s="91">
        <f>M8</f>
        <v>0</v>
      </c>
      <c r="P31" s="5"/>
      <c r="Q31" s="5"/>
      <c r="R31" s="5"/>
      <c r="T31" s="7"/>
    </row>
    <row r="32" spans="1:21" x14ac:dyDescent="0.2">
      <c r="A32" s="59"/>
      <c r="B32" s="57"/>
      <c r="C32" s="57"/>
      <c r="D32" s="57"/>
      <c r="E32" s="57"/>
      <c r="F32" s="56"/>
      <c r="H32" s="80" t="s">
        <v>38</v>
      </c>
      <c r="I32" s="43"/>
      <c r="J32" s="42">
        <f>-M9</f>
        <v>0</v>
      </c>
      <c r="K32" s="26" t="s">
        <v>11</v>
      </c>
      <c r="L32" s="78">
        <f>M9</f>
        <v>0</v>
      </c>
      <c r="P32" s="5"/>
      <c r="Q32" s="5"/>
      <c r="R32" s="5"/>
      <c r="T32" s="7"/>
    </row>
    <row r="33" spans="1:20" x14ac:dyDescent="0.2">
      <c r="A33" s="60"/>
      <c r="B33" s="60"/>
      <c r="C33" s="60"/>
      <c r="D33" s="60"/>
      <c r="E33" s="60"/>
      <c r="F33" s="61"/>
      <c r="H33" s="81" t="s">
        <v>15</v>
      </c>
      <c r="I33" s="43"/>
      <c r="J33" s="42">
        <f t="shared" ref="J33:J43" si="7">-M11</f>
        <v>0</v>
      </c>
      <c r="K33" s="26" t="s">
        <v>13</v>
      </c>
      <c r="L33" s="78">
        <f t="shared" ref="L33:L43" si="8">M11</f>
        <v>0</v>
      </c>
      <c r="P33" s="5"/>
      <c r="Q33" s="5"/>
      <c r="R33" s="5"/>
      <c r="T33" s="7"/>
    </row>
    <row r="34" spans="1:20" x14ac:dyDescent="0.2">
      <c r="A34" s="100"/>
      <c r="B34" s="60"/>
      <c r="C34" s="62"/>
      <c r="D34" s="62"/>
      <c r="E34" s="62"/>
      <c r="F34" s="62"/>
      <c r="H34" s="81" t="s">
        <v>15</v>
      </c>
      <c r="I34" s="38"/>
      <c r="J34" s="42">
        <f t="shared" si="7"/>
        <v>0</v>
      </c>
      <c r="K34" s="26" t="s">
        <v>12</v>
      </c>
      <c r="L34" s="78">
        <f t="shared" si="8"/>
        <v>0</v>
      </c>
      <c r="P34" s="5"/>
      <c r="Q34" s="5"/>
      <c r="R34" s="5"/>
      <c r="T34" s="7"/>
    </row>
    <row r="35" spans="1:20" x14ac:dyDescent="0.2">
      <c r="A35" s="60"/>
      <c r="B35" s="60"/>
      <c r="C35" s="97"/>
      <c r="D35" s="66"/>
      <c r="E35" s="63"/>
      <c r="F35" s="58"/>
      <c r="H35" s="81" t="s">
        <v>25</v>
      </c>
      <c r="I35" s="38"/>
      <c r="J35" s="42">
        <f t="shared" si="7"/>
        <v>0</v>
      </c>
      <c r="K35" s="26" t="s">
        <v>14</v>
      </c>
      <c r="L35" s="78">
        <f t="shared" si="8"/>
        <v>0</v>
      </c>
      <c r="P35" s="5"/>
      <c r="Q35" s="5"/>
      <c r="R35" s="5"/>
      <c r="T35" s="7"/>
    </row>
    <row r="36" spans="1:20" x14ac:dyDescent="0.2">
      <c r="A36" s="60"/>
      <c r="B36" s="60"/>
      <c r="C36" s="97"/>
      <c r="D36" s="66"/>
      <c r="E36" s="63"/>
      <c r="F36" s="58"/>
      <c r="H36" s="81" t="s">
        <v>41</v>
      </c>
      <c r="I36" s="38"/>
      <c r="J36" s="42">
        <f t="shared" si="7"/>
        <v>0</v>
      </c>
      <c r="K36" s="26" t="s">
        <v>20</v>
      </c>
      <c r="L36" s="78">
        <f t="shared" si="8"/>
        <v>0</v>
      </c>
      <c r="P36" s="5"/>
      <c r="Q36" s="5"/>
      <c r="R36" s="5"/>
      <c r="T36" s="7"/>
    </row>
    <row r="37" spans="1:20" x14ac:dyDescent="0.2">
      <c r="A37" s="60"/>
      <c r="B37" s="60"/>
      <c r="C37" s="97"/>
      <c r="D37" s="66"/>
      <c r="E37" s="63"/>
      <c r="F37" s="58"/>
      <c r="H37" s="81" t="s">
        <v>41</v>
      </c>
      <c r="I37" s="43"/>
      <c r="J37" s="42">
        <f t="shared" si="7"/>
        <v>0</v>
      </c>
      <c r="K37" s="26" t="s">
        <v>22</v>
      </c>
      <c r="L37" s="78">
        <f t="shared" si="8"/>
        <v>0</v>
      </c>
      <c r="P37" s="5"/>
      <c r="Q37" s="5"/>
      <c r="R37" s="5"/>
      <c r="T37" s="7"/>
    </row>
    <row r="38" spans="1:20" x14ac:dyDescent="0.2">
      <c r="A38" s="60"/>
      <c r="B38" s="60"/>
      <c r="C38" s="95"/>
      <c r="D38" s="64"/>
      <c r="E38" s="67"/>
      <c r="F38" s="58"/>
      <c r="H38" s="81" t="s">
        <v>41</v>
      </c>
      <c r="I38" s="38"/>
      <c r="J38" s="42">
        <f t="shared" si="7"/>
        <v>0</v>
      </c>
      <c r="K38" s="26" t="s">
        <v>21</v>
      </c>
      <c r="L38" s="78">
        <f t="shared" si="8"/>
        <v>0</v>
      </c>
      <c r="P38" s="5"/>
      <c r="Q38" s="5"/>
      <c r="R38" s="5"/>
      <c r="T38" s="7"/>
    </row>
    <row r="39" spans="1:20" x14ac:dyDescent="0.2">
      <c r="A39" s="60"/>
      <c r="B39" s="60"/>
      <c r="C39" s="65"/>
      <c r="D39" s="66"/>
      <c r="E39" s="66"/>
      <c r="F39" s="58"/>
      <c r="H39" s="80" t="s">
        <v>36</v>
      </c>
      <c r="I39" s="38"/>
      <c r="J39" s="42">
        <f t="shared" si="7"/>
        <v>0</v>
      </c>
      <c r="K39" s="26" t="s">
        <v>17</v>
      </c>
      <c r="L39" s="78">
        <f t="shared" si="8"/>
        <v>0</v>
      </c>
      <c r="P39" s="5"/>
      <c r="Q39" s="5"/>
      <c r="R39" s="5"/>
      <c r="T39" s="7"/>
    </row>
    <row r="40" spans="1:20" x14ac:dyDescent="0.2">
      <c r="A40" s="49"/>
      <c r="B40" s="49"/>
      <c r="C40" s="93"/>
      <c r="D40" s="94"/>
      <c r="E40" s="94"/>
      <c r="H40" s="80" t="s">
        <v>37</v>
      </c>
      <c r="I40" s="38"/>
      <c r="J40" s="42">
        <f t="shared" si="7"/>
        <v>0</v>
      </c>
      <c r="K40" s="26" t="s">
        <v>18</v>
      </c>
      <c r="L40" s="78">
        <f t="shared" si="8"/>
        <v>0</v>
      </c>
      <c r="P40" s="5"/>
      <c r="Q40" s="5"/>
      <c r="R40" s="5"/>
      <c r="T40" s="7"/>
    </row>
    <row r="41" spans="1:20" x14ac:dyDescent="0.2">
      <c r="A41" s="49"/>
      <c r="B41" s="49"/>
      <c r="C41" s="93"/>
      <c r="D41" s="94"/>
      <c r="E41" s="94"/>
      <c r="H41" s="82" t="s">
        <v>38</v>
      </c>
      <c r="I41" s="38"/>
      <c r="J41" s="42">
        <f t="shared" si="7"/>
        <v>0</v>
      </c>
      <c r="K41" s="32" t="s">
        <v>16</v>
      </c>
      <c r="L41" s="78">
        <f t="shared" si="8"/>
        <v>0</v>
      </c>
      <c r="P41" s="5"/>
      <c r="Q41" s="5"/>
      <c r="R41" s="5"/>
      <c r="T41" s="7"/>
    </row>
    <row r="42" spans="1:20" x14ac:dyDescent="0.2">
      <c r="A42" s="49"/>
      <c r="B42" s="49"/>
      <c r="C42" s="93"/>
      <c r="D42" s="94"/>
      <c r="E42" s="94"/>
      <c r="H42" s="83" t="s">
        <v>39</v>
      </c>
      <c r="I42" s="33"/>
      <c r="J42" s="42">
        <f t="shared" si="7"/>
        <v>0</v>
      </c>
      <c r="K42" s="84" t="s">
        <v>19</v>
      </c>
      <c r="L42" s="78">
        <f t="shared" si="8"/>
        <v>0</v>
      </c>
      <c r="P42" s="5"/>
      <c r="Q42" s="5"/>
      <c r="R42" s="5"/>
      <c r="T42" s="7"/>
    </row>
    <row r="43" spans="1:20" ht="13.5" thickBot="1" x14ac:dyDescent="0.25">
      <c r="A43" s="49"/>
      <c r="B43" s="49"/>
      <c r="C43" s="93"/>
      <c r="D43" s="94"/>
      <c r="E43" s="94"/>
      <c r="H43" s="85" t="s">
        <v>40</v>
      </c>
      <c r="I43" s="86"/>
      <c r="J43" s="87">
        <f t="shared" si="7"/>
        <v>0</v>
      </c>
      <c r="K43" s="88" t="s">
        <v>24</v>
      </c>
      <c r="L43" s="89">
        <f t="shared" si="8"/>
        <v>0</v>
      </c>
      <c r="P43" s="5"/>
      <c r="Q43" s="5"/>
      <c r="R43" s="5"/>
      <c r="T43" s="7"/>
    </row>
    <row r="44" spans="1:20" x14ac:dyDescent="0.2">
      <c r="A44" s="49"/>
      <c r="B44" s="49"/>
      <c r="C44" s="93"/>
      <c r="D44" s="94"/>
      <c r="E44" s="94"/>
      <c r="H44" s="73" t="s">
        <v>51</v>
      </c>
      <c r="I44" s="37"/>
      <c r="J44" s="74">
        <f>SUM(J31:J43)+SUM(L31:L43)</f>
        <v>0</v>
      </c>
      <c r="L44" s="5">
        <f>SUM(L31:L43)</f>
        <v>0</v>
      </c>
      <c r="P44" s="5"/>
      <c r="Q44" s="5"/>
      <c r="R44" s="5"/>
      <c r="T44" s="7"/>
    </row>
    <row r="45" spans="1:20" x14ac:dyDescent="0.2">
      <c r="A45" s="49"/>
      <c r="B45" s="49"/>
      <c r="C45" s="93"/>
      <c r="D45" s="94"/>
      <c r="E45" s="94"/>
      <c r="H45" s="38"/>
      <c r="I45" s="38"/>
      <c r="P45" s="5"/>
      <c r="Q45" s="5"/>
      <c r="R45" s="5"/>
      <c r="T45" s="7"/>
    </row>
    <row r="46" spans="1:20" ht="13.5" thickBot="1" x14ac:dyDescent="0.25">
      <c r="A46" s="49"/>
      <c r="B46" s="49"/>
      <c r="C46" s="93"/>
      <c r="D46" s="94"/>
      <c r="E46" s="94"/>
      <c r="H46" s="38"/>
      <c r="I46" s="38"/>
      <c r="P46" s="5"/>
      <c r="Q46" s="5"/>
      <c r="R46" s="5"/>
      <c r="S46" s="7"/>
    </row>
    <row r="47" spans="1:20" ht="13.5" thickBot="1" x14ac:dyDescent="0.25">
      <c r="A47" s="49"/>
      <c r="B47" s="49"/>
      <c r="C47" s="93"/>
      <c r="D47" s="94"/>
      <c r="E47" s="94"/>
      <c r="H47" s="200" t="s">
        <v>126</v>
      </c>
      <c r="I47" s="201"/>
      <c r="J47" s="201"/>
      <c r="K47" s="201"/>
      <c r="L47" s="202"/>
      <c r="P47" s="5"/>
      <c r="Q47" s="5"/>
      <c r="R47" s="5"/>
      <c r="S47" s="7"/>
    </row>
    <row r="48" spans="1:20" ht="13.5" thickBot="1" x14ac:dyDescent="0.25">
      <c r="A48" s="49"/>
      <c r="B48" s="49"/>
      <c r="C48" s="93"/>
      <c r="D48" s="94"/>
      <c r="E48" s="94"/>
      <c r="H48" s="200" t="s">
        <v>121</v>
      </c>
      <c r="I48" s="201"/>
      <c r="J48" s="201"/>
      <c r="K48" s="201"/>
      <c r="L48" s="202"/>
      <c r="P48" s="5"/>
      <c r="Q48" s="5"/>
      <c r="R48" s="5"/>
      <c r="S48" s="7"/>
    </row>
    <row r="49" spans="1:14" x14ac:dyDescent="0.2">
      <c r="A49" s="29"/>
      <c r="B49" s="29"/>
      <c r="C49" s="29"/>
      <c r="D49" s="29"/>
      <c r="E49" s="29"/>
      <c r="H49" s="75"/>
      <c r="I49" s="18"/>
      <c r="J49" s="18"/>
      <c r="K49" s="18"/>
      <c r="L49" s="76"/>
    </row>
    <row r="50" spans="1:14" x14ac:dyDescent="0.2">
      <c r="A50" s="29"/>
      <c r="B50" s="29"/>
      <c r="C50" s="29"/>
      <c r="D50" s="29"/>
      <c r="E50" s="29"/>
      <c r="H50" s="77" t="s">
        <v>35</v>
      </c>
      <c r="I50" s="38"/>
      <c r="J50" s="38"/>
      <c r="K50" s="20" t="s">
        <v>44</v>
      </c>
      <c r="L50" s="78"/>
    </row>
    <row r="51" spans="1:14" ht="13.5" thickBot="1" x14ac:dyDescent="0.25">
      <c r="H51" s="79" t="s">
        <v>42</v>
      </c>
      <c r="I51" s="44"/>
      <c r="J51" s="38"/>
      <c r="K51" s="50" t="s">
        <v>45</v>
      </c>
      <c r="L51" s="78"/>
    </row>
    <row r="52" spans="1:14" x14ac:dyDescent="0.2">
      <c r="A52" s="29"/>
      <c r="B52" s="29"/>
      <c r="H52" s="80" t="s">
        <v>38</v>
      </c>
      <c r="I52" s="38"/>
      <c r="J52" s="90">
        <f>-K8</f>
        <v>0</v>
      </c>
      <c r="K52" s="26" t="s">
        <v>10</v>
      </c>
      <c r="L52" s="91">
        <f>K8</f>
        <v>0</v>
      </c>
    </row>
    <row r="53" spans="1:14" x14ac:dyDescent="0.2">
      <c r="H53" s="80" t="s">
        <v>38</v>
      </c>
      <c r="I53" s="43"/>
      <c r="J53" s="42">
        <f>-K9</f>
        <v>0</v>
      </c>
      <c r="K53" s="26" t="s">
        <v>11</v>
      </c>
      <c r="L53" s="78">
        <f>K9</f>
        <v>0</v>
      </c>
    </row>
    <row r="54" spans="1:14" x14ac:dyDescent="0.2">
      <c r="A54" s="29"/>
      <c r="B54" s="29"/>
      <c r="H54" s="81" t="s">
        <v>15</v>
      </c>
      <c r="I54" s="43"/>
      <c r="J54" s="42">
        <f>-K11</f>
        <v>0</v>
      </c>
      <c r="K54" s="26" t="s">
        <v>13</v>
      </c>
      <c r="L54" s="78">
        <f>K11</f>
        <v>0</v>
      </c>
    </row>
    <row r="55" spans="1:14" x14ac:dyDescent="0.2">
      <c r="H55" s="81" t="s">
        <v>15</v>
      </c>
      <c r="I55" s="38"/>
      <c r="J55" s="42">
        <f t="shared" ref="J55:J64" si="9">-K12</f>
        <v>0</v>
      </c>
      <c r="K55" s="26" t="s">
        <v>12</v>
      </c>
      <c r="L55" s="78">
        <f t="shared" ref="L55:L64" si="10">K12</f>
        <v>0</v>
      </c>
    </row>
    <row r="56" spans="1:14" x14ac:dyDescent="0.2">
      <c r="H56" s="81" t="s">
        <v>25</v>
      </c>
      <c r="I56" s="38"/>
      <c r="J56" s="42">
        <f t="shared" si="9"/>
        <v>0</v>
      </c>
      <c r="K56" s="26" t="s">
        <v>14</v>
      </c>
      <c r="L56" s="78">
        <f t="shared" si="10"/>
        <v>0</v>
      </c>
    </row>
    <row r="57" spans="1:14" x14ac:dyDescent="0.2">
      <c r="H57" s="81" t="s">
        <v>41</v>
      </c>
      <c r="I57" s="38"/>
      <c r="J57" s="42">
        <f t="shared" si="9"/>
        <v>13225</v>
      </c>
      <c r="K57" s="26" t="s">
        <v>20</v>
      </c>
      <c r="L57" s="78">
        <f t="shared" si="10"/>
        <v>-13225</v>
      </c>
      <c r="N57" s="5">
        <v>-63773.47</v>
      </c>
    </row>
    <row r="58" spans="1:14" x14ac:dyDescent="0.2">
      <c r="H58" s="81" t="s">
        <v>41</v>
      </c>
      <c r="I58" s="43"/>
      <c r="J58" s="42">
        <f t="shared" si="9"/>
        <v>175865</v>
      </c>
      <c r="K58" s="26" t="s">
        <v>22</v>
      </c>
      <c r="L58" s="78">
        <f t="shared" si="10"/>
        <v>-175865</v>
      </c>
    </row>
    <row r="59" spans="1:14" x14ac:dyDescent="0.2">
      <c r="H59" s="81" t="s">
        <v>41</v>
      </c>
      <c r="I59" s="38"/>
      <c r="J59" s="42">
        <f t="shared" si="9"/>
        <v>0</v>
      </c>
      <c r="K59" s="26" t="s">
        <v>21</v>
      </c>
      <c r="L59" s="78">
        <f t="shared" si="10"/>
        <v>0</v>
      </c>
    </row>
    <row r="60" spans="1:14" x14ac:dyDescent="0.2">
      <c r="H60" s="80" t="s">
        <v>36</v>
      </c>
      <c r="I60" s="38"/>
      <c r="J60" s="42">
        <f t="shared" si="9"/>
        <v>-564918</v>
      </c>
      <c r="K60" s="26" t="s">
        <v>17</v>
      </c>
      <c r="L60" s="78">
        <f t="shared" si="10"/>
        <v>564918</v>
      </c>
    </row>
    <row r="61" spans="1:14" x14ac:dyDescent="0.2">
      <c r="H61" s="80" t="s">
        <v>37</v>
      </c>
      <c r="I61" s="38"/>
      <c r="J61" s="42">
        <f t="shared" si="9"/>
        <v>5582</v>
      </c>
      <c r="K61" s="26" t="s">
        <v>18</v>
      </c>
      <c r="L61" s="78">
        <f t="shared" si="10"/>
        <v>-5582</v>
      </c>
    </row>
    <row r="62" spans="1:14" x14ac:dyDescent="0.2">
      <c r="H62" s="82" t="s">
        <v>38</v>
      </c>
      <c r="I62" s="38"/>
      <c r="J62" s="42">
        <f t="shared" si="9"/>
        <v>4479959</v>
      </c>
      <c r="K62" s="32" t="s">
        <v>16</v>
      </c>
      <c r="L62" s="78">
        <f t="shared" si="10"/>
        <v>-4479959</v>
      </c>
    </row>
    <row r="63" spans="1:14" x14ac:dyDescent="0.2">
      <c r="H63" s="83" t="s">
        <v>39</v>
      </c>
      <c r="I63" s="33"/>
      <c r="J63" s="42">
        <f t="shared" si="9"/>
        <v>87153</v>
      </c>
      <c r="K63" s="84" t="s">
        <v>19</v>
      </c>
      <c r="L63" s="78">
        <f t="shared" si="10"/>
        <v>-87153</v>
      </c>
    </row>
    <row r="64" spans="1:14" ht="13.5" thickBot="1" x14ac:dyDescent="0.25">
      <c r="H64" s="85" t="s">
        <v>40</v>
      </c>
      <c r="I64" s="86"/>
      <c r="J64" s="87">
        <f t="shared" si="9"/>
        <v>647024</v>
      </c>
      <c r="K64" s="88" t="s">
        <v>24</v>
      </c>
      <c r="L64" s="89">
        <f t="shared" si="10"/>
        <v>-647024</v>
      </c>
    </row>
    <row r="65" spans="8:12" x14ac:dyDescent="0.2">
      <c r="H65" s="73" t="s">
        <v>51</v>
      </c>
      <c r="I65" s="37"/>
      <c r="J65" s="74">
        <f>SUM(J52:J64)+SUM(L52:L64)</f>
        <v>0</v>
      </c>
      <c r="L65" s="5">
        <f>SUM(L52:L64)</f>
        <v>-4843890</v>
      </c>
    </row>
  </sheetData>
  <mergeCells count="4">
    <mergeCell ref="H26:L26"/>
    <mergeCell ref="H27:L27"/>
    <mergeCell ref="H47:L47"/>
    <mergeCell ref="H48:L48"/>
  </mergeCells>
  <conditionalFormatting sqref="M24 H24">
    <cfRule type="cellIs" dxfId="7" priority="1" stopIfTrue="1" operator="notBetween">
      <formula>-1</formula>
      <formula>1</formula>
    </cfRule>
  </conditionalFormatting>
  <pageMargins left="0.7" right="0.7" top="0.75" bottom="0.75" header="0.3" footer="0.3"/>
  <pageSetup scale="56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C613BA0-7A64-4CCD-B956-393A317A9DF9}"/>
</file>

<file path=customXml/itemProps2.xml><?xml version="1.0" encoding="utf-8"?>
<ds:datastoreItem xmlns:ds="http://schemas.openxmlformats.org/officeDocument/2006/customXml" ds:itemID="{486C7D9D-1D0C-438D-9619-E23539357B87}"/>
</file>

<file path=customXml/itemProps3.xml><?xml version="1.0" encoding="utf-8"?>
<ds:datastoreItem xmlns:ds="http://schemas.openxmlformats.org/officeDocument/2006/customXml" ds:itemID="{A8B97A49-4377-436E-BDAA-0AC8491EAE0F}"/>
</file>

<file path=customXml/itemProps4.xml><?xml version="1.0" encoding="utf-8"?>
<ds:datastoreItem xmlns:ds="http://schemas.openxmlformats.org/officeDocument/2006/customXml" ds:itemID="{6FA3EFEE-A4D1-4F9E-9DFD-31559D7B64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DFIT 2019</vt:lpstr>
      <vt:lpstr>DFIT 2019 10&amp;2</vt:lpstr>
      <vt:lpstr>DFIT 2018</vt:lpstr>
      <vt:lpstr>DFIT 2017 (Dec 2017)</vt:lpstr>
      <vt:lpstr>DFIT 2016 (Dec 2016)</vt:lpstr>
      <vt:lpstr>DFIT 2015 (Dec 2015)</vt:lpstr>
      <vt:lpstr>DFIT 2014 (Dec 2014)</vt:lpstr>
      <vt:lpstr>DFIT 2013 (Dec 2013) </vt:lpstr>
      <vt:lpstr>DFIT 2012 (Dec 2012)</vt:lpstr>
      <vt:lpstr>DFIT 2012 (Mar 2012)</vt:lpstr>
      <vt:lpstr>DFIT 2011 (Nov 2011)</vt:lpstr>
      <vt:lpstr>DFIT &amp; CIAC 2009 (Mar 2009)</vt:lpstr>
      <vt:lpstr>DFIT  2009 (Dec 2009)</vt:lpstr>
      <vt:lpstr>DFIT 2010 (Jan 2010)</vt:lpstr>
      <vt:lpstr>DFIT 2010 (Nov 2010)</vt:lpstr>
      <vt:lpstr>DFIT 2011 (Mar 2011)</vt:lpstr>
      <vt:lpstr>'DFIT  2009 (Dec 2009)'!Print_Area</vt:lpstr>
      <vt:lpstr>'DFIT &amp; CIAC 2009 (Mar 2009)'!Print_Area</vt:lpstr>
      <vt:lpstr>'DFIT 2010 (Jan 2010)'!Print_Area</vt:lpstr>
      <vt:lpstr>'DFIT 2010 (Nov 2010)'!Print_Area</vt:lpstr>
      <vt:lpstr>'DFIT 2011 (Mar 2011)'!Print_Area</vt:lpstr>
      <vt:lpstr>'DFIT 2011 (Nov 2011)'!Print_Area</vt:lpstr>
      <vt:lpstr>'DFIT 2012 (Dec 2012)'!Print_Area</vt:lpstr>
      <vt:lpstr>'DFIT 2012 (Mar 2012)'!Print_Area</vt:lpstr>
      <vt:lpstr>'DFIT 2013 (Dec 2013) '!Print_Area</vt:lpstr>
      <vt:lpstr>'DFIT 2014 (Dec 2014)'!Print_Area</vt:lpstr>
      <vt:lpstr>'DFIT 2015 (Dec 2015)'!Print_Area</vt:lpstr>
      <vt:lpstr>'DFIT 2016 (Dec 2016)'!Print_Area</vt:lpstr>
      <vt:lpstr>'DFIT 2017 (Dec 2017)'!Print_Area</vt:lpstr>
      <vt:lpstr>'DFIT 2019'!Print_Area</vt:lpstr>
      <vt:lpstr>'DFIT 2019 10&amp;2'!Print_Area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Falkner</dc:creator>
  <cp:lastModifiedBy>Andrews, Liz</cp:lastModifiedBy>
  <cp:lastPrinted>2020-01-09T03:34:20Z</cp:lastPrinted>
  <dcterms:created xsi:type="dcterms:W3CDTF">2000-11-30T17:36:35Z</dcterms:created>
  <dcterms:modified xsi:type="dcterms:W3CDTF">2020-09-30T19:19:02Z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