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M:\2020\2020 WA Elec and Gas GRC\Adjustments\3.07 PF Insurance Expense\"/>
    </mc:Choice>
  </mc:AlternateContent>
  <xr:revisionPtr revIDLastSave="0" documentId="13_ncr:1_{12D0B751-D46D-4EA5-B532-967CDBC747E9}" xr6:coauthVersionLast="44" xr6:coauthVersionMax="44" xr10:uidLastSave="{00000000-0000-0000-0000-000000000000}"/>
  <bookViews>
    <workbookView xWindow="28680" yWindow="-195" windowWidth="29040" windowHeight="15840" activeTab="1" xr2:uid="{00000000-000D-0000-FFFF-FFFF00000000}"/>
    <workbookView xWindow="-120" yWindow="-120" windowWidth="29040" windowHeight="15840" xr2:uid="{9756F969-4A21-477A-9CAD-00E82355777D}"/>
  </bookViews>
  <sheets>
    <sheet name="Recon" sheetId="4" r:id="rId1"/>
    <sheet name="ROL Scenarios" sheetId="1" r:id="rId2"/>
    <sheet name="Summary " sheetId="2" r:id="rId3"/>
    <sheet name="Research Notes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5" i="1" l="1"/>
  <c r="O14" i="1"/>
  <c r="K13" i="1" l="1"/>
  <c r="K15" i="1"/>
  <c r="I15" i="1"/>
  <c r="H15" i="1"/>
  <c r="H13" i="1"/>
  <c r="AE56" i="1"/>
  <c r="X56" i="1"/>
  <c r="Q56" i="1"/>
  <c r="J56" i="1"/>
  <c r="AG55" i="1"/>
  <c r="Z55" i="1"/>
  <c r="S55" i="1"/>
  <c r="AG54" i="1"/>
  <c r="Z54" i="1"/>
  <c r="S54" i="1"/>
  <c r="AG82" i="1"/>
  <c r="AG81" i="1"/>
  <c r="Z82" i="1"/>
  <c r="Z81" i="1"/>
  <c r="S82" i="1"/>
  <c r="S81" i="1"/>
  <c r="AE83" i="1"/>
  <c r="X83" i="1"/>
  <c r="Q83" i="1"/>
  <c r="J83" i="1"/>
  <c r="AG69" i="1"/>
  <c r="AG68" i="1"/>
  <c r="Z69" i="1"/>
  <c r="Z68" i="1"/>
  <c r="S69" i="1"/>
  <c r="S68" i="1"/>
  <c r="AE70" i="1"/>
  <c r="X70" i="1"/>
  <c r="Q70" i="1"/>
  <c r="AG43" i="1"/>
  <c r="AG42" i="1"/>
  <c r="Z43" i="1"/>
  <c r="Z42" i="1"/>
  <c r="S43" i="1"/>
  <c r="S42" i="1"/>
  <c r="AE44" i="1"/>
  <c r="X44" i="1"/>
  <c r="Q44" i="1"/>
  <c r="J70" i="1"/>
  <c r="J44" i="1"/>
  <c r="J31" i="1"/>
  <c r="D29" i="1"/>
  <c r="D28" i="1"/>
  <c r="O20" i="1"/>
  <c r="I20" i="1"/>
  <c r="F20" i="1"/>
  <c r="O19" i="1"/>
  <c r="K19" i="1"/>
  <c r="I19" i="1"/>
  <c r="H19" i="1"/>
  <c r="M19" i="1" s="1"/>
  <c r="O18" i="1"/>
  <c r="K18" i="1"/>
  <c r="I18" i="1"/>
  <c r="H18" i="1"/>
  <c r="M18" i="1" s="1"/>
  <c r="O17" i="1"/>
  <c r="I17" i="1"/>
  <c r="D17" i="1"/>
  <c r="F17" i="1" s="1"/>
  <c r="O16" i="1"/>
  <c r="I16" i="1"/>
  <c r="F16" i="1"/>
  <c r="I14" i="1"/>
  <c r="D14" i="1"/>
  <c r="O13" i="1"/>
  <c r="I13" i="1"/>
  <c r="E13" i="1"/>
  <c r="O12" i="1"/>
  <c r="I12" i="1"/>
  <c r="F12" i="1"/>
  <c r="D30" i="1" l="1"/>
  <c r="C14" i="4"/>
  <c r="D67" i="1"/>
  <c r="AD67" i="1" s="1"/>
  <c r="C8" i="4"/>
  <c r="D53" i="1"/>
  <c r="F23" i="1"/>
  <c r="I29" i="1"/>
  <c r="K29" i="1" s="1"/>
  <c r="C11" i="4"/>
  <c r="M13" i="1"/>
  <c r="I67" i="1"/>
  <c r="M67" i="1" s="1"/>
  <c r="P67" i="1"/>
  <c r="T67" i="1" s="1"/>
  <c r="M29" i="1"/>
  <c r="I28" i="1"/>
  <c r="D41" i="1"/>
  <c r="D80" i="1"/>
  <c r="I30" i="1"/>
  <c r="E31" i="1"/>
  <c r="F33" i="1" s="1"/>
  <c r="W53" i="1"/>
  <c r="Y53" i="1" s="1"/>
  <c r="Y54" i="1" s="1"/>
  <c r="F14" i="1"/>
  <c r="F21" i="1" s="1"/>
  <c r="D21" i="1"/>
  <c r="M15" i="1"/>
  <c r="K67" i="1"/>
  <c r="K68" i="1" s="1"/>
  <c r="H17" i="1"/>
  <c r="K17" i="1"/>
  <c r="H14" i="1"/>
  <c r="H12" i="1"/>
  <c r="K12" i="1"/>
  <c r="H16" i="1"/>
  <c r="M16" i="1" s="1"/>
  <c r="K20" i="1"/>
  <c r="H20" i="1"/>
  <c r="K16" i="1"/>
  <c r="D15" i="4" l="1"/>
  <c r="M12" i="1"/>
  <c r="D30" i="4"/>
  <c r="K14" i="1"/>
  <c r="L21" i="1" s="1"/>
  <c r="D29" i="4"/>
  <c r="D16" i="4" s="1"/>
  <c r="F16" i="4" s="1"/>
  <c r="W67" i="1"/>
  <c r="I21" i="1"/>
  <c r="J22" i="1" s="1"/>
  <c r="O27" i="1"/>
  <c r="E34" i="4"/>
  <c r="E8" i="4"/>
  <c r="C24" i="4"/>
  <c r="I53" i="1"/>
  <c r="AD41" i="1"/>
  <c r="I41" i="1"/>
  <c r="W41" i="1"/>
  <c r="M28" i="1"/>
  <c r="K28" i="1"/>
  <c r="L29" i="1" s="1"/>
  <c r="I31" i="1"/>
  <c r="R67" i="1"/>
  <c r="AA53" i="1"/>
  <c r="M30" i="1"/>
  <c r="K30" i="1"/>
  <c r="L30" i="1" s="1"/>
  <c r="AD53" i="1"/>
  <c r="AF53" i="1" s="1"/>
  <c r="AF54" i="1" s="1"/>
  <c r="AF55" i="1" s="1"/>
  <c r="AD55" i="1" s="1"/>
  <c r="AH55" i="1" s="1"/>
  <c r="I80" i="1"/>
  <c r="P80" i="1"/>
  <c r="AD80" i="1"/>
  <c r="W80" i="1"/>
  <c r="AA80" i="1" s="1"/>
  <c r="AH53" i="1"/>
  <c r="P53" i="1"/>
  <c r="M53" i="1"/>
  <c r="Y55" i="1"/>
  <c r="W55" i="1" s="1"/>
  <c r="AA55" i="1" s="1"/>
  <c r="W54" i="1"/>
  <c r="AD54" i="1"/>
  <c r="Y80" i="1"/>
  <c r="Y81" i="1" s="1"/>
  <c r="R68" i="1"/>
  <c r="P68" i="1" s="1"/>
  <c r="I68" i="1"/>
  <c r="D68" i="1" s="1"/>
  <c r="K69" i="1"/>
  <c r="I69" i="1" s="1"/>
  <c r="M20" i="1"/>
  <c r="M17" i="1"/>
  <c r="H21" i="1"/>
  <c r="K21" i="1"/>
  <c r="G8" i="4" l="1"/>
  <c r="O25" i="1"/>
  <c r="K53" i="1"/>
  <c r="K54" i="1" s="1"/>
  <c r="M14" i="1"/>
  <c r="F8" i="2"/>
  <c r="M31" i="1"/>
  <c r="M80" i="1"/>
  <c r="K80" i="1"/>
  <c r="K81" i="1" s="1"/>
  <c r="M69" i="1"/>
  <c r="D69" i="1"/>
  <c r="E70" i="1" s="1"/>
  <c r="F72" i="1" s="1"/>
  <c r="T80" i="1"/>
  <c r="R80" i="1"/>
  <c r="R81" i="1" s="1"/>
  <c r="P81" i="1" s="1"/>
  <c r="M41" i="1"/>
  <c r="P41" i="1"/>
  <c r="K41" i="1"/>
  <c r="K42" i="1" s="1"/>
  <c r="R53" i="1"/>
  <c r="R54" i="1" s="1"/>
  <c r="T53" i="1"/>
  <c r="AA54" i="1"/>
  <c r="W56" i="1"/>
  <c r="AH54" i="1"/>
  <c r="AD56" i="1"/>
  <c r="Y82" i="1"/>
  <c r="W82" i="1" s="1"/>
  <c r="AA82" i="1" s="1"/>
  <c r="W81" i="1"/>
  <c r="AA81" i="1" s="1"/>
  <c r="AH80" i="1"/>
  <c r="AF80" i="1"/>
  <c r="AF81" i="1" s="1"/>
  <c r="R82" i="1"/>
  <c r="AA67" i="1"/>
  <c r="Y67" i="1"/>
  <c r="R69" i="1"/>
  <c r="P69" i="1" s="1"/>
  <c r="T69" i="1" s="1"/>
  <c r="T68" i="1"/>
  <c r="AA41" i="1"/>
  <c r="Y41" i="1"/>
  <c r="M68" i="1"/>
  <c r="I70" i="1"/>
  <c r="O28" i="1" l="1"/>
  <c r="E33" i="4"/>
  <c r="D17" i="4" s="1"/>
  <c r="O30" i="1"/>
  <c r="K55" i="1"/>
  <c r="I55" i="1" s="1"/>
  <c r="E14" i="4" s="1"/>
  <c r="G14" i="4" s="1"/>
  <c r="I54" i="1"/>
  <c r="P70" i="1"/>
  <c r="T70" i="1" s="1"/>
  <c r="M21" i="1"/>
  <c r="M70" i="1"/>
  <c r="F11" i="2"/>
  <c r="AA56" i="1"/>
  <c r="H10" i="2"/>
  <c r="AH56" i="1"/>
  <c r="I10" i="2"/>
  <c r="T41" i="1"/>
  <c r="R41" i="1"/>
  <c r="R42" i="1" s="1"/>
  <c r="I42" i="1"/>
  <c r="K43" i="1"/>
  <c r="I43" i="1" s="1"/>
  <c r="I81" i="1"/>
  <c r="K82" i="1"/>
  <c r="I82" i="1" s="1"/>
  <c r="R55" i="1"/>
  <c r="P55" i="1" s="1"/>
  <c r="T55" i="1" s="1"/>
  <c r="P54" i="1"/>
  <c r="M54" i="1"/>
  <c r="D54" i="1"/>
  <c r="W83" i="1"/>
  <c r="AF82" i="1"/>
  <c r="AD82" i="1" s="1"/>
  <c r="AH82" i="1" s="1"/>
  <c r="AD81" i="1"/>
  <c r="P82" i="1"/>
  <c r="T82" i="1" s="1"/>
  <c r="T81" i="1"/>
  <c r="Y68" i="1"/>
  <c r="Y42" i="1"/>
  <c r="F17" i="4" l="1"/>
  <c r="D18" i="4"/>
  <c r="C25" i="4"/>
  <c r="H33" i="4"/>
  <c r="O21" i="1"/>
  <c r="D55" i="1"/>
  <c r="C26" i="4" s="1"/>
  <c r="G11" i="2"/>
  <c r="M55" i="1"/>
  <c r="E11" i="4"/>
  <c r="D11" i="1"/>
  <c r="I56" i="1"/>
  <c r="F10" i="2" s="1"/>
  <c r="M56" i="1"/>
  <c r="D81" i="1"/>
  <c r="I83" i="1"/>
  <c r="M81" i="1"/>
  <c r="M43" i="1"/>
  <c r="D43" i="1"/>
  <c r="D42" i="1"/>
  <c r="E44" i="1" s="1"/>
  <c r="F46" i="1" s="1"/>
  <c r="M42" i="1"/>
  <c r="I44" i="1"/>
  <c r="AA83" i="1"/>
  <c r="H12" i="2"/>
  <c r="D82" i="1"/>
  <c r="M82" i="1"/>
  <c r="P42" i="1"/>
  <c r="R43" i="1"/>
  <c r="P43" i="1" s="1"/>
  <c r="T43" i="1" s="1"/>
  <c r="T54" i="1"/>
  <c r="P56" i="1"/>
  <c r="AD83" i="1"/>
  <c r="AH81" i="1"/>
  <c r="P83" i="1"/>
  <c r="AH67" i="1"/>
  <c r="AF67" i="1"/>
  <c r="AF68" i="1" s="1"/>
  <c r="W68" i="1"/>
  <c r="Y69" i="1"/>
  <c r="W69" i="1" s="1"/>
  <c r="AA69" i="1" s="1"/>
  <c r="AH41" i="1"/>
  <c r="AF41" i="1"/>
  <c r="AF42" i="1" s="1"/>
  <c r="W42" i="1"/>
  <c r="Y43" i="1"/>
  <c r="W43" i="1" s="1"/>
  <c r="AA43" i="1" s="1"/>
  <c r="E83" i="1" l="1"/>
  <c r="F85" i="1" s="1"/>
  <c r="E56" i="1"/>
  <c r="F58" i="1" s="1"/>
  <c r="G11" i="4"/>
  <c r="H15" i="4" s="1"/>
  <c r="H34" i="4" s="1"/>
  <c r="H36" i="4" s="1"/>
  <c r="F15" i="4"/>
  <c r="F18" i="4" s="1"/>
  <c r="H18" i="4" s="1"/>
  <c r="D27" i="4"/>
  <c r="E31" i="4" s="1"/>
  <c r="F36" i="4" s="1"/>
  <c r="AH83" i="1"/>
  <c r="I12" i="2"/>
  <c r="M83" i="1"/>
  <c r="F12" i="2"/>
  <c r="T56" i="1"/>
  <c r="G10" i="2"/>
  <c r="T42" i="1"/>
  <c r="P44" i="1"/>
  <c r="T83" i="1"/>
  <c r="G12" i="2"/>
  <c r="M44" i="1"/>
  <c r="F9" i="2"/>
  <c r="AD68" i="1"/>
  <c r="AF69" i="1"/>
  <c r="AD69" i="1" s="1"/>
  <c r="AH69" i="1" s="1"/>
  <c r="AA68" i="1"/>
  <c r="W70" i="1"/>
  <c r="AD42" i="1"/>
  <c r="AF43" i="1"/>
  <c r="AD43" i="1" s="1"/>
  <c r="AH43" i="1" s="1"/>
  <c r="AA42" i="1"/>
  <c r="W44" i="1"/>
  <c r="AA70" i="1" l="1"/>
  <c r="H11" i="2"/>
  <c r="T44" i="1"/>
  <c r="G9" i="2"/>
  <c r="AA44" i="1"/>
  <c r="H9" i="2"/>
  <c r="AH68" i="1"/>
  <c r="AD70" i="1"/>
  <c r="AH42" i="1"/>
  <c r="AD44" i="1"/>
  <c r="AH70" i="1" l="1"/>
  <c r="I11" i="2"/>
  <c r="AH44" i="1"/>
  <c r="I9" i="2"/>
</calcChain>
</file>

<file path=xl/sharedStrings.xml><?xml version="1.0" encoding="utf-8"?>
<sst xmlns="http://schemas.openxmlformats.org/spreadsheetml/2006/main" count="236" uniqueCount="83">
  <si>
    <t>2021 Liability Premiums (Est)</t>
  </si>
  <si>
    <t>With Continuity Credits</t>
  </si>
  <si>
    <t>Insurance Company/Coverage Amount</t>
  </si>
  <si>
    <t>Projected Rate Increase for 2021</t>
  </si>
  <si>
    <t>Est 2021 Premiums</t>
  </si>
  <si>
    <t>AELP Allocation %</t>
  </si>
  <si>
    <t>AELP $ Allocation</t>
  </si>
  <si>
    <t>Avista Corp Allocation %</t>
  </si>
  <si>
    <t>Avista Capital Allocation %</t>
  </si>
  <si>
    <t>Avista Capital Allocation $</t>
  </si>
  <si>
    <t>Avista Utility Allocation %</t>
  </si>
  <si>
    <t>Avista Utility Allocation $</t>
  </si>
  <si>
    <t>AEGIS ($35M)</t>
  </si>
  <si>
    <t>AEGIS Continuity Credit</t>
  </si>
  <si>
    <t>AEGIS ($35M) taxes</t>
  </si>
  <si>
    <t>AEGIS Loyalty Credit</t>
  </si>
  <si>
    <t>EIM ($100M xs $35M)</t>
  </si>
  <si>
    <t>EIM ($100M xs $35M) taxes</t>
  </si>
  <si>
    <t>EIM Distribution Credit</t>
  </si>
  <si>
    <t>EIM Distribution Credit (Special)</t>
  </si>
  <si>
    <t>Lloyd's of London ($50M xs $135M)</t>
  </si>
  <si>
    <t>= estimated to be received/paid</t>
  </si>
  <si>
    <t xml:space="preserve">Excluding Continuity Credits </t>
  </si>
  <si>
    <t>Projected Rate on Line Scenario Analysis due to Possible Wildfire Premium Increases at 12 31 20 Renewal</t>
  </si>
  <si>
    <t>Rate on Line Projection - No Wildfire Additional Premium</t>
  </si>
  <si>
    <t>AEGIS</t>
  </si>
  <si>
    <t>EIM</t>
  </si>
  <si>
    <t>XL AXA</t>
  </si>
  <si>
    <t xml:space="preserve">  Total Premium</t>
  </si>
  <si>
    <t xml:space="preserve">  Total Limits</t>
  </si>
  <si>
    <t xml:space="preserve">     Projected Rate on Line - No AP</t>
  </si>
  <si>
    <t>Rate Per Million</t>
  </si>
  <si>
    <t>Premium</t>
  </si>
  <si>
    <t>Limits</t>
  </si>
  <si>
    <t>Rate on Line Projection - $1.5M Wildfire Additional Premium by AEGIS and additional by following layers</t>
  </si>
  <si>
    <t>Rate on Line</t>
  </si>
  <si>
    <t>Rate on Line Projection - $6.25M Wildfire Additional Premium by AEGIS and additional by following layers - Get's us to high end of 6-7% rate on line PG&amp;E was paying before 2018 fires</t>
  </si>
  <si>
    <t>Rate on Line Projection - $15M Wildfire Additional Premium by AEGIS and additional by following layers - Results in ROL of approx 14-17% depending on pricing action of underlying layers</t>
  </si>
  <si>
    <t xml:space="preserve">     Projected Rate on Line - $6.25M AP by AEGIS</t>
  </si>
  <si>
    <t xml:space="preserve">     Projected Rate on Line - $15M AP by AEGIS</t>
  </si>
  <si>
    <t>AP Increase by AEGIS</t>
  </si>
  <si>
    <t>1.5M</t>
  </si>
  <si>
    <t>6.25M</t>
  </si>
  <si>
    <t>15M</t>
  </si>
  <si>
    <t xml:space="preserve">PG&amp;E rate on line increased from 6-7% in 2017/2018 to approx 25% for 2018/19.  SCE </t>
  </si>
  <si>
    <t>saw a simlarly high rate of 24% in same timeframe (subject to self-insured retention of 10M)</t>
  </si>
  <si>
    <t>(1) Kousky, Greig, and Lingle, Financing Third Party Wildfire Damages:  Options for California Electric Utilities, Wharton Risk Management and Decision Processes Center, 2019. p.12</t>
  </si>
  <si>
    <t>(2) https://www.insurancejournal.com/news/west/2020/07/31/577566.htm</t>
  </si>
  <si>
    <t>Rates were even higher following Camp and Woolsey fires.  SMUD noted in 2018 regulatory hearing that their rates were 4 time higher than the previous year. (1)</t>
  </si>
  <si>
    <t xml:space="preserve">PG&amp; E had to pay $750M to secure $1.4B in liability, with only a little more than half of that available for wildfire coverage.  CA Edison had to pay $450M to secure $1B </t>
  </si>
  <si>
    <t>in wildfire coverage through 2021. (2)</t>
  </si>
  <si>
    <t>No Changes in underlying layer ROL</t>
  </si>
  <si>
    <t>10% increase in underlying layer ROL</t>
  </si>
  <si>
    <t>25% increase in underlying layer ROL</t>
  </si>
  <si>
    <t>50% increase in underlying layer ROL</t>
  </si>
  <si>
    <t>Rate on Line Projection - $3.875M Wildfire Additional Premium by AEGIS and additional by following layers</t>
  </si>
  <si>
    <t>3.875M</t>
  </si>
  <si>
    <t xml:space="preserve">Forecasted 2021 Excess Liability Premium (Gross Premium, No Credits) By Potential </t>
  </si>
  <si>
    <t>AEGIS Additional Premium Demands</t>
  </si>
  <si>
    <t>% Increase in following layer ROL pricing by EIM and XL</t>
  </si>
  <si>
    <t>Difference</t>
  </si>
  <si>
    <t>Expected Gross Premiums 2021 Prior to Wildfire Adj</t>
  </si>
  <si>
    <t>AXA XL</t>
  </si>
  <si>
    <t>Expected Gross Premiums 2021 After Wildfire Adjustement - 5.13% ROL</t>
  </si>
  <si>
    <t>Reconcilliation of Insurance Premium Add to IA-2 Summary Page - 5.13% ROL Scenario</t>
  </si>
  <si>
    <t xml:space="preserve">  AEGIS</t>
  </si>
  <si>
    <t xml:space="preserve">  EIM</t>
  </si>
  <si>
    <t xml:space="preserve">  XL AXA</t>
  </si>
  <si>
    <t>Add incremental change from H15 above</t>
  </si>
  <si>
    <t>Calculation of Incremental Increase in Gross Premium by Line Insuranc Carrier</t>
  </si>
  <si>
    <t>Total Incremental Increase</t>
  </si>
  <si>
    <t>Reconciliation from New Gross Premiums (5.13% ROL Scenario) to Avista Utility Net Premium Shown on Adjusted Proforma</t>
  </si>
  <si>
    <t>Less orig gross premiums AEL&amp;P</t>
  </si>
  <si>
    <t>Less orig gross premiums for AVA Cap</t>
  </si>
  <si>
    <t xml:space="preserve">     AVA Utility Gross Premium</t>
  </si>
  <si>
    <t>Add AVA Utility Taxes</t>
  </si>
  <si>
    <t>Less AVA Utility Credits</t>
  </si>
  <si>
    <t xml:space="preserve">  Net AVA Utility Premium</t>
  </si>
  <si>
    <t>Net AVA Utility Premium</t>
  </si>
  <si>
    <t>Net AVA Utility premium from Pro Forma IA-2</t>
  </si>
  <si>
    <t>Less Premiums (see below)</t>
  </si>
  <si>
    <t>Taxes and credits (see below)</t>
  </si>
  <si>
    <t>PF Adjustment 3.07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</si>
</sst>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1"/>
    <xf numFmtId="0" fontId="2" fillId="0" borderId="0" xfId="1" applyFont="1" applyFill="1" applyAlignment="1"/>
    <xf numFmtId="0" fontId="2" fillId="0" borderId="0" xfId="1" quotePrefix="1" applyFont="1" applyAlignment="1"/>
    <xf numFmtId="0" fontId="2" fillId="0" borderId="0" xfId="1" applyFont="1" applyAlignment="1"/>
    <xf numFmtId="14" fontId="4" fillId="0" borderId="0" xfId="1" applyNumberFormat="1" applyFont="1"/>
    <xf numFmtId="0" fontId="1" fillId="0" borderId="0" xfId="2"/>
    <xf numFmtId="0" fontId="2" fillId="0" borderId="0" xfId="1" applyFont="1"/>
    <xf numFmtId="0" fontId="5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164" fontId="6" fillId="0" borderId="0" xfId="1" applyNumberFormat="1" applyFont="1"/>
    <xf numFmtId="164" fontId="7" fillId="0" borderId="0" xfId="1" applyNumberFormat="1" applyFont="1"/>
    <xf numFmtId="10" fontId="3" fillId="0" borderId="0" xfId="1" applyNumberFormat="1"/>
    <xf numFmtId="165" fontId="3" fillId="0" borderId="0" xfId="1" applyNumberFormat="1"/>
    <xf numFmtId="164" fontId="3" fillId="0" borderId="0" xfId="1" applyNumberFormat="1"/>
    <xf numFmtId="165" fontId="7" fillId="0" borderId="0" xfId="1" applyNumberFormat="1" applyFont="1"/>
    <xf numFmtId="10" fontId="3" fillId="0" borderId="0" xfId="1" applyNumberFormat="1" applyFill="1" applyBorder="1"/>
    <xf numFmtId="0" fontId="3" fillId="0" borderId="0" xfId="1" applyFill="1"/>
    <xf numFmtId="10" fontId="3" fillId="0" borderId="0" xfId="1" applyNumberFormat="1" applyFill="1"/>
    <xf numFmtId="164" fontId="7" fillId="0" borderId="0" xfId="1" applyNumberFormat="1" applyFont="1" applyFill="1"/>
    <xf numFmtId="165" fontId="3" fillId="0" borderId="1" xfId="1" applyNumberFormat="1" applyBorder="1"/>
    <xf numFmtId="165" fontId="3" fillId="0" borderId="0" xfId="1" applyNumberFormat="1" applyBorder="1"/>
    <xf numFmtId="0" fontId="3" fillId="0" borderId="0" xfId="1" quotePrefix="1" applyFont="1"/>
    <xf numFmtId="0" fontId="3" fillId="2" borderId="0" xfId="1" applyFill="1"/>
    <xf numFmtId="0" fontId="8" fillId="0" borderId="0" xfId="1" applyFont="1"/>
    <xf numFmtId="0" fontId="3" fillId="0" borderId="2" xfId="1" applyBorder="1"/>
    <xf numFmtId="0" fontId="3" fillId="0" borderId="3" xfId="1" applyBorder="1"/>
    <xf numFmtId="0" fontId="3" fillId="0" borderId="4" xfId="1" applyBorder="1"/>
    <xf numFmtId="0" fontId="3" fillId="0" borderId="5" xfId="1" applyBorder="1"/>
    <xf numFmtId="164" fontId="3" fillId="0" borderId="0" xfId="1" applyNumberFormat="1" applyBorder="1"/>
    <xf numFmtId="0" fontId="3" fillId="0" borderId="0" xfId="1" applyBorder="1"/>
    <xf numFmtId="0" fontId="3" fillId="0" borderId="6" xfId="1" applyBorder="1"/>
    <xf numFmtId="0" fontId="3" fillId="0" borderId="8" xfId="1" applyBorder="1"/>
    <xf numFmtId="10" fontId="3" fillId="3" borderId="9" xfId="1" applyNumberFormat="1" applyFill="1" applyBorder="1"/>
    <xf numFmtId="0" fontId="5" fillId="0" borderId="7" xfId="1" applyFont="1" applyBorder="1"/>
    <xf numFmtId="0" fontId="3" fillId="0" borderId="10" xfId="1" applyBorder="1"/>
    <xf numFmtId="0" fontId="3" fillId="0" borderId="11" xfId="1" applyBorder="1"/>
    <xf numFmtId="0" fontId="3" fillId="0" borderId="12" xfId="1" applyBorder="1"/>
    <xf numFmtId="0" fontId="3" fillId="0" borderId="10" xfId="1" applyBorder="1" applyAlignment="1">
      <alignment wrapText="1"/>
    </xf>
    <xf numFmtId="164" fontId="3" fillId="0" borderId="13" xfId="1" applyNumberFormat="1" applyBorder="1"/>
    <xf numFmtId="10" fontId="5" fillId="0" borderId="0" xfId="1" applyNumberFormat="1" applyFont="1"/>
    <xf numFmtId="164" fontId="5" fillId="0" borderId="13" xfId="1" applyNumberFormat="1" applyFont="1" applyBorder="1"/>
    <xf numFmtId="0" fontId="0" fillId="0" borderId="14" xfId="0" applyBorder="1"/>
    <xf numFmtId="164" fontId="0" fillId="0" borderId="14" xfId="0" applyNumberFormat="1" applyBorder="1"/>
    <xf numFmtId="0" fontId="2" fillId="3" borderId="14" xfId="0" applyFont="1" applyFill="1" applyBorder="1"/>
    <xf numFmtId="0" fontId="2" fillId="3" borderId="14" xfId="0" applyFont="1" applyFill="1" applyBorder="1" applyAlignment="1">
      <alignment horizontal="right"/>
    </xf>
    <xf numFmtId="0" fontId="2" fillId="0" borderId="14" xfId="0" applyFont="1" applyBorder="1"/>
    <xf numFmtId="9" fontId="2" fillId="0" borderId="14" xfId="0" applyNumberFormat="1" applyFont="1" applyBorder="1"/>
    <xf numFmtId="0" fontId="2" fillId="0" borderId="0" xfId="0" applyFont="1"/>
    <xf numFmtId="10" fontId="3" fillId="0" borderId="0" xfId="3" applyNumberFormat="1" applyFont="1"/>
    <xf numFmtId="164" fontId="5" fillId="4" borderId="13" xfId="1" applyNumberFormat="1" applyFont="1" applyFill="1" applyBorder="1"/>
    <xf numFmtId="0" fontId="0" fillId="0" borderId="0" xfId="0" applyAlignment="1">
      <alignment wrapText="1"/>
    </xf>
    <xf numFmtId="164" fontId="5" fillId="0" borderId="0" xfId="1" applyNumberFormat="1" applyFont="1" applyAlignment="1">
      <alignment horizontal="center" wrapText="1"/>
    </xf>
    <xf numFmtId="164" fontId="0" fillId="0" borderId="0" xfId="0" applyNumberFormat="1"/>
    <xf numFmtId="164" fontId="0" fillId="0" borderId="13" xfId="0" applyNumberFormat="1" applyBorder="1"/>
    <xf numFmtId="0" fontId="9" fillId="0" borderId="0" xfId="0" applyFont="1"/>
    <xf numFmtId="164" fontId="9" fillId="0" borderId="0" xfId="0" applyNumberFormat="1" applyFont="1"/>
    <xf numFmtId="0" fontId="2" fillId="0" borderId="0" xfId="0" applyFont="1" applyAlignment="1">
      <alignment wrapText="1"/>
    </xf>
    <xf numFmtId="164" fontId="0" fillId="0" borderId="0" xfId="0" applyNumberFormat="1" applyBorder="1"/>
    <xf numFmtId="164" fontId="0" fillId="0" borderId="1" xfId="0" applyNumberFormat="1" applyBorder="1"/>
    <xf numFmtId="164" fontId="2" fillId="3" borderId="13" xfId="0" applyNumberFormat="1" applyFont="1" applyFill="1" applyBorder="1"/>
    <xf numFmtId="0" fontId="2" fillId="3" borderId="0" xfId="0" applyFont="1" applyFill="1"/>
    <xf numFmtId="0" fontId="0" fillId="0" borderId="0" xfId="0" applyAlignment="1">
      <alignment horizontal="right" wrapText="1"/>
    </xf>
    <xf numFmtId="0" fontId="2" fillId="3" borderId="14" xfId="0" applyFont="1" applyFill="1" applyBorder="1" applyAlignment="1">
      <alignment horizontal="center" wrapText="1"/>
    </xf>
    <xf numFmtId="0" fontId="2" fillId="0" borderId="0" xfId="1" applyFont="1" applyAlignment="1">
      <alignment horizontal="center"/>
    </xf>
    <xf numFmtId="0" fontId="2" fillId="0" borderId="0" xfId="2" applyFont="1" applyAlignment="1">
      <alignment horizontal="center"/>
    </xf>
    <xf numFmtId="10" fontId="3" fillId="0" borderId="0" xfId="3" applyNumberFormat="1" applyFont="1" applyFill="1"/>
    <xf numFmtId="164" fontId="2" fillId="0" borderId="0" xfId="0" applyNumberFormat="1" applyFont="1" applyFill="1" applyBorder="1"/>
    <xf numFmtId="0" fontId="2" fillId="0" borderId="0" xfId="0" applyFont="1" applyFill="1"/>
    <xf numFmtId="164" fontId="0" fillId="5" borderId="15" xfId="0" applyNumberFormat="1" applyFill="1" applyBorder="1"/>
    <xf numFmtId="0" fontId="0" fillId="0" borderId="0" xfId="0" applyAlignment="1">
      <alignment horizontal="right"/>
    </xf>
    <xf numFmtId="164" fontId="0" fillId="6" borderId="0" xfId="0" applyNumberFormat="1" applyFill="1"/>
    <xf numFmtId="165" fontId="4" fillId="6" borderId="1" xfId="1" applyNumberFormat="1" applyFont="1" applyFill="1" applyBorder="1"/>
    <xf numFmtId="164" fontId="3" fillId="0" borderId="0" xfId="1" applyNumberFormat="1" applyFill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</cellXfs>
  <cellStyles count="4">
    <cellStyle name="Normal" xfId="0" builtinId="0"/>
    <cellStyle name="Normal 2 2 2" xfId="2" xr:uid="{00000000-0005-0000-0000-000001000000}"/>
    <cellStyle name="Normal 7" xfId="1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38"/>
  <sheetViews>
    <sheetView workbookViewId="0">
      <selection activeCell="J7" sqref="J7"/>
    </sheetView>
    <sheetView tabSelected="1" workbookViewId="1">
      <selection activeCell="K23" sqref="K23"/>
    </sheetView>
  </sheetViews>
  <sheetFormatPr defaultRowHeight="15" x14ac:dyDescent="0.25"/>
  <cols>
    <col min="1" max="1" width="3.42578125" customWidth="1"/>
    <col min="2" max="2" width="21.140625" customWidth="1"/>
    <col min="3" max="3" width="12.85546875" customWidth="1"/>
    <col min="4" max="4" width="13.85546875" customWidth="1"/>
    <col min="5" max="5" width="14.42578125" customWidth="1"/>
    <col min="6" max="6" width="12.7109375" customWidth="1"/>
    <col min="7" max="7" width="14.7109375" customWidth="1"/>
    <col min="8" max="8" width="11" customWidth="1"/>
    <col min="9" max="9" width="17.5703125" bestFit="1" customWidth="1"/>
    <col min="10" max="10" width="17" customWidth="1"/>
    <col min="11" max="11" width="12.42578125" customWidth="1"/>
  </cols>
  <sheetData>
    <row r="1" spans="2:14" x14ac:dyDescent="0.25">
      <c r="C1" s="48" t="s">
        <v>64</v>
      </c>
    </row>
    <row r="4" spans="2:14" x14ac:dyDescent="0.25">
      <c r="C4" s="48" t="s">
        <v>69</v>
      </c>
    </row>
    <row r="6" spans="2:14" ht="46.5" customHeight="1" x14ac:dyDescent="0.25">
      <c r="C6" s="76" t="s">
        <v>61</v>
      </c>
      <c r="D6" s="77"/>
      <c r="E6" s="76" t="s">
        <v>63</v>
      </c>
      <c r="F6" s="77"/>
      <c r="G6" s="74" t="s">
        <v>60</v>
      </c>
      <c r="H6" s="75"/>
    </row>
    <row r="7" spans="2:14" x14ac:dyDescent="0.25">
      <c r="C7" s="51"/>
      <c r="D7" s="51"/>
      <c r="E7" s="51"/>
      <c r="F7" s="51"/>
    </row>
    <row r="8" spans="2:14" x14ac:dyDescent="0.25">
      <c r="B8" t="s">
        <v>25</v>
      </c>
      <c r="C8" s="53">
        <f>'ROL Scenarios'!F12</f>
        <v>2666799.9999999995</v>
      </c>
      <c r="D8" s="53"/>
      <c r="E8" s="53">
        <f>'ROL Scenarios'!D53</f>
        <v>6541800</v>
      </c>
      <c r="F8" s="53"/>
      <c r="G8" s="53">
        <f>E8-C8</f>
        <v>3875000.0000000005</v>
      </c>
    </row>
    <row r="10" spans="2:14" x14ac:dyDescent="0.25">
      <c r="C10" s="51"/>
      <c r="D10" s="51"/>
      <c r="E10" s="51"/>
      <c r="F10" s="51"/>
    </row>
    <row r="11" spans="2:14" x14ac:dyDescent="0.25">
      <c r="B11" t="s">
        <v>26</v>
      </c>
      <c r="C11" s="53">
        <f>'ROL Scenarios'!F16</f>
        <v>867956.10000000009</v>
      </c>
      <c r="D11" s="53"/>
      <c r="E11" s="53">
        <f>'ROL Scenarios'!I54</f>
        <v>2129141.748530074</v>
      </c>
      <c r="F11" s="53"/>
      <c r="G11" s="53">
        <f>E11-C11</f>
        <v>1261185.6485300739</v>
      </c>
    </row>
    <row r="13" spans="2:14" x14ac:dyDescent="0.25">
      <c r="C13" s="51"/>
      <c r="D13" s="51"/>
      <c r="E13" s="51"/>
      <c r="F13" s="51"/>
    </row>
    <row r="14" spans="2:14" x14ac:dyDescent="0.25">
      <c r="B14" t="s">
        <v>62</v>
      </c>
      <c r="C14" s="53">
        <f>'ROL Scenarios'!F20</f>
        <v>336000</v>
      </c>
      <c r="D14" s="53"/>
      <c r="E14" s="53">
        <f>'ROL Scenarios'!I55</f>
        <v>824225.58872056415</v>
      </c>
      <c r="F14" s="53"/>
      <c r="G14" s="53">
        <f>E14-C14</f>
        <v>488225.58872056415</v>
      </c>
    </row>
    <row r="15" spans="2:14" x14ac:dyDescent="0.25">
      <c r="D15" s="54">
        <f>C8+C11+C14</f>
        <v>3870756.0999999996</v>
      </c>
      <c r="F15" s="54">
        <f>E8+E11+E14</f>
        <v>9495167.3372506388</v>
      </c>
      <c r="H15" s="60">
        <f>SUM(G8:G14)</f>
        <v>5624411.2372506382</v>
      </c>
      <c r="J15" s="68"/>
      <c r="K15" s="58"/>
      <c r="M15" s="56"/>
      <c r="N15" s="55"/>
    </row>
    <row r="16" spans="2:14" x14ac:dyDescent="0.25">
      <c r="C16" s="70" t="s">
        <v>80</v>
      </c>
      <c r="D16" s="58">
        <f>D29+D30</f>
        <v>-510334.13759055006</v>
      </c>
      <c r="F16" s="58">
        <f>D16</f>
        <v>-510334.13759055006</v>
      </c>
      <c r="H16" s="61" t="s">
        <v>70</v>
      </c>
      <c r="I16" s="68"/>
      <c r="J16" s="68"/>
      <c r="K16" s="58"/>
      <c r="M16" s="56"/>
      <c r="N16" s="55"/>
    </row>
    <row r="17" spans="2:14" x14ac:dyDescent="0.25">
      <c r="C17" s="70" t="s">
        <v>81</v>
      </c>
      <c r="D17" s="58">
        <f>E33+E34</f>
        <v>-342409.26852742361</v>
      </c>
      <c r="F17" s="58">
        <f>D17</f>
        <v>-342409.26852742361</v>
      </c>
      <c r="H17" s="67"/>
      <c r="I17" s="68"/>
      <c r="J17" s="68"/>
      <c r="K17" s="58"/>
      <c r="M17" s="56"/>
      <c r="N17" s="55"/>
    </row>
    <row r="18" spans="2:14" ht="15.75" thickBot="1" x14ac:dyDescent="0.3">
      <c r="D18" s="69">
        <f>SUM(D15:D17)</f>
        <v>3018012.6938820262</v>
      </c>
      <c r="F18" s="69">
        <f>SUM(F15:F17)</f>
        <v>8642423.9311326649</v>
      </c>
      <c r="H18" s="69">
        <f>F18-D18</f>
        <v>5624411.2372506391</v>
      </c>
      <c r="I18" s="68"/>
      <c r="J18" s="68"/>
      <c r="K18" s="58"/>
      <c r="M18" s="56"/>
      <c r="N18" s="55"/>
    </row>
    <row r="19" spans="2:14" x14ac:dyDescent="0.25">
      <c r="H19" s="48" t="s">
        <v>82</v>
      </c>
    </row>
    <row r="22" spans="2:14" x14ac:dyDescent="0.25">
      <c r="B22" s="48" t="s">
        <v>71</v>
      </c>
    </row>
    <row r="23" spans="2:14" ht="60" x14ac:dyDescent="0.25">
      <c r="B23" s="57" t="s">
        <v>63</v>
      </c>
      <c r="D23" s="53"/>
    </row>
    <row r="24" spans="2:14" x14ac:dyDescent="0.25">
      <c r="B24" t="s">
        <v>65</v>
      </c>
      <c r="C24" s="53">
        <f>'ROL Scenarios'!D53</f>
        <v>6541800</v>
      </c>
    </row>
    <row r="25" spans="2:14" x14ac:dyDescent="0.25">
      <c r="B25" t="s">
        <v>66</v>
      </c>
      <c r="C25" s="53">
        <f>'ROL Scenarios'!D54</f>
        <v>2129141.748530074</v>
      </c>
    </row>
    <row r="26" spans="2:14" x14ac:dyDescent="0.25">
      <c r="B26" t="s">
        <v>67</v>
      </c>
      <c r="C26" s="53">
        <f>'ROL Scenarios'!D55</f>
        <v>824225.58872056415</v>
      </c>
    </row>
    <row r="27" spans="2:14" x14ac:dyDescent="0.25">
      <c r="D27" s="54">
        <f>SUM(C24:C26)</f>
        <v>9495167.3372506388</v>
      </c>
      <c r="E27" s="53"/>
      <c r="F27" s="53"/>
      <c r="G27" s="53"/>
    </row>
    <row r="28" spans="2:14" x14ac:dyDescent="0.25">
      <c r="D28" s="58"/>
      <c r="E28" s="53"/>
      <c r="F28" s="53"/>
      <c r="G28" s="53"/>
    </row>
    <row r="29" spans="2:14" ht="30" x14ac:dyDescent="0.25">
      <c r="B29" s="62" t="s">
        <v>72</v>
      </c>
      <c r="D29" s="71">
        <f>-('ROL Scenarios'!H12+'ROL Scenarios'!H16+'ROL Scenarios'!H20)</f>
        <v>-499058.73589000007</v>
      </c>
    </row>
    <row r="30" spans="2:14" ht="45" x14ac:dyDescent="0.25">
      <c r="B30" s="62" t="s">
        <v>73</v>
      </c>
      <c r="D30" s="71">
        <f>-('ROL Scenarios'!K12)</f>
        <v>-11275.401700549995</v>
      </c>
    </row>
    <row r="31" spans="2:14" ht="30" x14ac:dyDescent="0.25">
      <c r="B31" s="62" t="s">
        <v>74</v>
      </c>
      <c r="D31" s="53"/>
      <c r="E31" s="54">
        <f>SUM(D27:D30)</f>
        <v>8984833.1996600889</v>
      </c>
    </row>
    <row r="32" spans="2:14" x14ac:dyDescent="0.25">
      <c r="B32" s="62"/>
      <c r="D32" s="53"/>
      <c r="E32" s="58"/>
    </row>
    <row r="33" spans="2:9" ht="45" x14ac:dyDescent="0.25">
      <c r="B33" s="62" t="s">
        <v>75</v>
      </c>
      <c r="D33" s="53"/>
      <c r="E33" s="71">
        <f>'ROL Scenarios'!M14+'ROL Scenarios'!M17</f>
        <v>61816.484340596478</v>
      </c>
      <c r="H33" s="53">
        <f>'ROL Scenarios'!M21</f>
        <v>3018012.6938820248</v>
      </c>
      <c r="I33" s="62" t="s">
        <v>79</v>
      </c>
    </row>
    <row r="34" spans="2:9" ht="45" x14ac:dyDescent="0.25">
      <c r="B34" s="62" t="s">
        <v>76</v>
      </c>
      <c r="D34" s="53"/>
      <c r="E34" s="71">
        <f>('ROL Scenarios'!M13+'ROL Scenarios'!M15+'ROL Scenarios'!M18+'ROL Scenarios'!M19)</f>
        <v>-404225.75286802009</v>
      </c>
      <c r="H34" s="53">
        <f>H15</f>
        <v>5624411.2372506382</v>
      </c>
      <c r="I34" s="62" t="s">
        <v>68</v>
      </c>
    </row>
    <row r="36" spans="2:9" ht="30.75" thickBot="1" x14ac:dyDescent="0.3">
      <c r="B36" s="62" t="s">
        <v>77</v>
      </c>
      <c r="F36" s="59">
        <f>SUM(E31:E36)</f>
        <v>8642423.9311326649</v>
      </c>
      <c r="H36" s="59">
        <f>SUM(H33:H34)</f>
        <v>8642423.931132663</v>
      </c>
      <c r="I36" s="62" t="s">
        <v>78</v>
      </c>
    </row>
    <row r="37" spans="2:9" ht="15.75" thickTop="1" x14ac:dyDescent="0.25">
      <c r="D37" s="53"/>
    </row>
    <row r="38" spans="2:9" x14ac:dyDescent="0.25">
      <c r="E38" s="53"/>
    </row>
  </sheetData>
  <mergeCells count="3">
    <mergeCell ref="C6:D6"/>
    <mergeCell ref="E6:F6"/>
    <mergeCell ref="G6:H6"/>
  </mergeCells>
  <pageMargins left="0.7" right="0.7" top="0.75" bottom="0.75" header="0.3" footer="0.3"/>
  <pageSetup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C1:AH86"/>
  <sheetViews>
    <sheetView tabSelected="1" topLeftCell="C1" workbookViewId="0">
      <selection activeCell="O12" sqref="O12"/>
    </sheetView>
    <sheetView tabSelected="1" view="pageBreakPreview" zoomScaleNormal="100" zoomScaleSheetLayoutView="100" workbookViewId="1">
      <selection activeCell="K23" sqref="K23"/>
    </sheetView>
  </sheetViews>
  <sheetFormatPr defaultColWidth="9.140625" defaultRowHeight="12.75" x14ac:dyDescent="0.2"/>
  <cols>
    <col min="1" max="2" width="2.140625" style="1" customWidth="1"/>
    <col min="3" max="3" width="35.85546875" style="1" bestFit="1" customWidth="1"/>
    <col min="4" max="4" width="11.140625" style="1" bestFit="1" customWidth="1"/>
    <col min="5" max="5" width="15" style="1" customWidth="1"/>
    <col min="6" max="6" width="11.42578125" style="1" customWidth="1"/>
    <col min="7" max="7" width="12.7109375" style="1" customWidth="1"/>
    <col min="8" max="8" width="12.140625" style="1" customWidth="1"/>
    <col min="9" max="9" width="13.5703125" style="1" customWidth="1"/>
    <col min="10" max="10" width="13.42578125" style="1" customWidth="1"/>
    <col min="11" max="11" width="16" style="1" customWidth="1"/>
    <col min="12" max="12" width="11.7109375" style="1" customWidth="1"/>
    <col min="13" max="13" width="13.140625" style="1" customWidth="1"/>
    <col min="14" max="14" width="11.7109375" style="1" bestFit="1" customWidth="1"/>
    <col min="15" max="15" width="12.7109375" style="1" bestFit="1" customWidth="1"/>
    <col min="16" max="16" width="12.7109375" style="1" customWidth="1"/>
    <col min="17" max="17" width="13.7109375" style="1" customWidth="1"/>
    <col min="18" max="18" width="12" style="1" customWidth="1"/>
    <col min="19" max="19" width="12.42578125" style="1" customWidth="1"/>
    <col min="20" max="20" width="10.7109375" style="1" customWidth="1"/>
    <col min="21" max="21" width="4.5703125" style="1" customWidth="1"/>
    <col min="22" max="22" width="9.140625" style="1"/>
    <col min="23" max="23" width="12.7109375" style="1" customWidth="1"/>
    <col min="24" max="24" width="13.140625" style="1" customWidth="1"/>
    <col min="25" max="25" width="12.5703125" style="1" customWidth="1"/>
    <col min="26" max="27" width="9.140625" style="1"/>
    <col min="28" max="28" width="4.5703125" style="1" customWidth="1"/>
    <col min="29" max="29" width="9.140625" style="1"/>
    <col min="30" max="30" width="14.5703125" style="1" customWidth="1"/>
    <col min="31" max="31" width="13.85546875" style="1" customWidth="1"/>
    <col min="32" max="32" width="11.28515625" style="1" customWidth="1"/>
    <col min="33" max="34" width="9.140625" style="1"/>
    <col min="35" max="35" width="5.5703125" style="1" customWidth="1"/>
    <col min="36" max="16384" width="9.140625" style="1"/>
  </cols>
  <sheetData>
    <row r="1" spans="3:15" ht="18" x14ac:dyDescent="0.25">
      <c r="D1" s="24" t="s">
        <v>23</v>
      </c>
    </row>
    <row r="2" spans="3:15" ht="10.5" customHeight="1" x14ac:dyDescent="0.25">
      <c r="D2" s="24"/>
    </row>
    <row r="3" spans="3:15" ht="10.5" customHeight="1" x14ac:dyDescent="0.2"/>
    <row r="4" spans="3:15" ht="15" x14ac:dyDescent="0.25">
      <c r="D4" s="64" t="s">
        <v>0</v>
      </c>
      <c r="E4" s="64"/>
      <c r="F4" s="64"/>
      <c r="G4" s="2"/>
      <c r="H4" s="3"/>
      <c r="I4" s="3"/>
      <c r="J4" s="4"/>
      <c r="K4" s="4"/>
      <c r="L4" s="5"/>
    </row>
    <row r="5" spans="3:15" ht="15" x14ac:dyDescent="0.25">
      <c r="C5" s="6"/>
      <c r="D5" s="65" t="s">
        <v>1</v>
      </c>
      <c r="E5" s="65"/>
      <c r="F5" s="65"/>
      <c r="G5" s="6"/>
      <c r="H5" s="6"/>
      <c r="I5" s="6"/>
      <c r="J5" s="6"/>
      <c r="K5" s="6"/>
    </row>
    <row r="6" spans="3:15" ht="4.5" customHeight="1" x14ac:dyDescent="0.2"/>
    <row r="7" spans="3:15" ht="4.5" customHeight="1" x14ac:dyDescent="0.2"/>
    <row r="9" spans="3:15" ht="15" x14ac:dyDescent="0.25">
      <c r="D9" s="64" t="s">
        <v>0</v>
      </c>
      <c r="E9" s="64"/>
      <c r="F9" s="64"/>
      <c r="G9" s="2"/>
      <c r="H9" s="3"/>
      <c r="I9" s="3"/>
      <c r="J9" s="4"/>
      <c r="K9" s="4"/>
      <c r="L9" s="5"/>
    </row>
    <row r="10" spans="3:15" ht="15" x14ac:dyDescent="0.25">
      <c r="C10" s="6"/>
      <c r="D10" s="65" t="s">
        <v>22</v>
      </c>
      <c r="E10" s="65"/>
      <c r="F10" s="65"/>
      <c r="G10" s="6"/>
      <c r="H10" s="6"/>
      <c r="I10" s="6"/>
      <c r="J10" s="6"/>
      <c r="K10" s="6"/>
    </row>
    <row r="11" spans="3:15" ht="60" x14ac:dyDescent="0.25">
      <c r="C11" s="7" t="s">
        <v>2</v>
      </c>
      <c r="D11" s="52">
        <f>'ROL Scenarios'!I54</f>
        <v>2129141.748530074</v>
      </c>
      <c r="E11" s="9" t="s">
        <v>3</v>
      </c>
      <c r="F11" s="8" t="s">
        <v>4</v>
      </c>
      <c r="G11" s="8" t="s">
        <v>5</v>
      </c>
      <c r="H11" s="9" t="s">
        <v>6</v>
      </c>
      <c r="I11" s="9" t="s">
        <v>7</v>
      </c>
      <c r="J11" s="9" t="s">
        <v>8</v>
      </c>
      <c r="K11" s="9" t="s">
        <v>9</v>
      </c>
      <c r="L11" s="9" t="s">
        <v>10</v>
      </c>
      <c r="M11" s="9" t="s">
        <v>11</v>
      </c>
    </row>
    <row r="12" spans="3:15" x14ac:dyDescent="0.2">
      <c r="C12" s="1" t="s">
        <v>12</v>
      </c>
      <c r="D12" s="10">
        <v>2360000</v>
      </c>
      <c r="E12" s="12">
        <v>0.13</v>
      </c>
      <c r="F12" s="11">
        <f t="shared" ref="F12:F20" si="0">D12*(1+E12)</f>
        <v>2666799.9999999995</v>
      </c>
      <c r="G12" s="12">
        <v>0.15438715310109499</v>
      </c>
      <c r="H12" s="13">
        <f>+F12*G12</f>
        <v>411719.65989000007</v>
      </c>
      <c r="I12" s="12">
        <f>1-G12</f>
        <v>0.84561284689890504</v>
      </c>
      <c r="J12" s="12">
        <v>4.2280642344945246E-3</v>
      </c>
      <c r="K12" s="14">
        <f>+F12*J12</f>
        <v>11275.401700549995</v>
      </c>
      <c r="L12" s="12">
        <v>0.8413847826644103</v>
      </c>
      <c r="M12" s="15">
        <f>F12-H12-K12</f>
        <v>2243804.9384094491</v>
      </c>
      <c r="O12" s="12">
        <f>G12+J12+L12</f>
        <v>0.99999999999999978</v>
      </c>
    </row>
    <row r="13" spans="3:15" x14ac:dyDescent="0.2">
      <c r="C13" s="1" t="s">
        <v>13</v>
      </c>
      <c r="D13" s="11">
        <v>-89372</v>
      </c>
      <c r="E13" s="16">
        <f>(F13-D13)/F13</f>
        <v>0.22559290164374779</v>
      </c>
      <c r="F13" s="10">
        <v>-115407</v>
      </c>
      <c r="G13" s="12">
        <v>0.15438715310109499</v>
      </c>
      <c r="H13" s="13">
        <f>+F13*G13</f>
        <v>-17817.358177938069</v>
      </c>
      <c r="I13" s="12">
        <f t="shared" ref="I13:I20" si="1">1-G13</f>
        <v>0.84561284689890504</v>
      </c>
      <c r="J13" s="12">
        <v>4.2280642344945246E-3</v>
      </c>
      <c r="K13" s="14">
        <f>+F13*J13</f>
        <v>-487.94820911030962</v>
      </c>
      <c r="L13" s="12">
        <v>0.8413847826644103</v>
      </c>
      <c r="M13" s="13">
        <f>F13-H13-K13</f>
        <v>-97101.693612951625</v>
      </c>
      <c r="O13" s="12">
        <f t="shared" ref="O13:O20" si="2">G13+J13+L13</f>
        <v>0.99999999999999978</v>
      </c>
    </row>
    <row r="14" spans="3:15" x14ac:dyDescent="0.2">
      <c r="C14" s="1" t="s">
        <v>14</v>
      </c>
      <c r="D14" s="10">
        <f>45412.6+2270.7</f>
        <v>47683.299999999996</v>
      </c>
      <c r="E14" s="12">
        <v>0.13</v>
      </c>
      <c r="F14" s="11">
        <f t="shared" si="0"/>
        <v>53882.128999999994</v>
      </c>
      <c r="G14" s="12">
        <v>0.15432235387915</v>
      </c>
      <c r="H14" s="13">
        <f t="shared" ref="H14:H20" si="3">+F14*G14</f>
        <v>8315.2169793000103</v>
      </c>
      <c r="I14" s="12">
        <f t="shared" si="1"/>
        <v>0.84567764612084995</v>
      </c>
      <c r="J14" s="12">
        <v>4.2283882306042506E-3</v>
      </c>
      <c r="K14" s="14">
        <f t="shared" ref="K14:K20" si="4">+F14*J14</f>
        <v>227.83456010349994</v>
      </c>
      <c r="L14" s="12">
        <v>0.84138445866830058</v>
      </c>
      <c r="M14" s="15">
        <f t="shared" ref="M14:M20" si="5">F14-H14-K14</f>
        <v>45339.077460596476</v>
      </c>
      <c r="O14" s="12">
        <f t="shared" si="2"/>
        <v>0.99993520077805487</v>
      </c>
    </row>
    <row r="15" spans="3:15" x14ac:dyDescent="0.2">
      <c r="C15" s="1" t="s">
        <v>15</v>
      </c>
      <c r="D15" s="10">
        <v>-17874</v>
      </c>
      <c r="E15" s="12"/>
      <c r="F15" s="10">
        <v>-30552</v>
      </c>
      <c r="G15" s="12">
        <v>0.15432235387915</v>
      </c>
      <c r="H15" s="13">
        <f t="shared" si="3"/>
        <v>-4714.8565557157908</v>
      </c>
      <c r="I15" s="12">
        <f t="shared" si="1"/>
        <v>0.84567764612084995</v>
      </c>
      <c r="J15" s="12">
        <v>4.2283882306042506E-3</v>
      </c>
      <c r="K15" s="14">
        <f t="shared" si="4"/>
        <v>-129.18571722142107</v>
      </c>
      <c r="L15" s="12">
        <v>0.84138445866830058</v>
      </c>
      <c r="M15" s="13">
        <f>F15-H15-K15</f>
        <v>-25707.957727062785</v>
      </c>
      <c r="O15" s="12">
        <f t="shared" si="2"/>
        <v>0.99993520077805487</v>
      </c>
    </row>
    <row r="16" spans="3:15" x14ac:dyDescent="0.2">
      <c r="C16" s="1" t="s">
        <v>16</v>
      </c>
      <c r="D16" s="10">
        <v>789051</v>
      </c>
      <c r="E16" s="12">
        <v>0.1</v>
      </c>
      <c r="F16" s="11">
        <f t="shared" si="0"/>
        <v>867956.10000000009</v>
      </c>
      <c r="G16" s="12">
        <v>9.5999878334860483E-2</v>
      </c>
      <c r="H16" s="13">
        <f t="shared" si="3"/>
        <v>83323.680000000008</v>
      </c>
      <c r="I16" s="12">
        <f t="shared" si="1"/>
        <v>0.90400012166513954</v>
      </c>
      <c r="J16" s="12">
        <v>0</v>
      </c>
      <c r="K16" s="14">
        <f t="shared" si="4"/>
        <v>0</v>
      </c>
      <c r="L16" s="12">
        <v>0.90400012166513943</v>
      </c>
      <c r="M16" s="15">
        <f t="shared" si="5"/>
        <v>784632.42</v>
      </c>
      <c r="O16" s="12">
        <f t="shared" si="2"/>
        <v>0.99999999999999989</v>
      </c>
    </row>
    <row r="17" spans="3:15" x14ac:dyDescent="0.2">
      <c r="C17" s="1" t="s">
        <v>17</v>
      </c>
      <c r="D17" s="10">
        <f>789.1+15781.1</f>
        <v>16570.2</v>
      </c>
      <c r="E17" s="12">
        <v>0.1</v>
      </c>
      <c r="F17" s="11">
        <f t="shared" si="0"/>
        <v>18227.22</v>
      </c>
      <c r="G17" s="12">
        <v>9.6000000000000016E-2</v>
      </c>
      <c r="H17" s="13">
        <f t="shared" si="3"/>
        <v>1749.8131200000005</v>
      </c>
      <c r="I17" s="12">
        <f t="shared" si="1"/>
        <v>0.90400000000000003</v>
      </c>
      <c r="J17" s="12">
        <v>0</v>
      </c>
      <c r="K17" s="14">
        <f t="shared" si="4"/>
        <v>0</v>
      </c>
      <c r="L17" s="12">
        <v>0.90400000000000003</v>
      </c>
      <c r="M17" s="15">
        <f t="shared" si="5"/>
        <v>16477.406880000002</v>
      </c>
      <c r="O17" s="12">
        <f t="shared" si="2"/>
        <v>1</v>
      </c>
    </row>
    <row r="18" spans="3:15" x14ac:dyDescent="0.2">
      <c r="C18" s="17" t="s">
        <v>18</v>
      </c>
      <c r="D18" s="10">
        <v>-151116.85</v>
      </c>
      <c r="E18" s="12">
        <v>0.03</v>
      </c>
      <c r="F18" s="10">
        <v>-155650</v>
      </c>
      <c r="G18" s="18">
        <v>9.6000015881749778E-2</v>
      </c>
      <c r="H18" s="13">
        <f t="shared" si="3"/>
        <v>-14942.402471994354</v>
      </c>
      <c r="I18" s="12">
        <f t="shared" si="1"/>
        <v>0.90399998411825022</v>
      </c>
      <c r="J18" s="12">
        <v>0</v>
      </c>
      <c r="K18" s="14">
        <f t="shared" si="4"/>
        <v>0</v>
      </c>
      <c r="L18" s="12">
        <v>0.90399998411825033</v>
      </c>
      <c r="M18" s="13">
        <f t="shared" si="5"/>
        <v>-140707.59752800566</v>
      </c>
      <c r="O18" s="12">
        <f t="shared" si="2"/>
        <v>1</v>
      </c>
    </row>
    <row r="19" spans="3:15" x14ac:dyDescent="0.2">
      <c r="C19" s="17" t="s">
        <v>19</v>
      </c>
      <c r="D19" s="19">
        <v>-151117</v>
      </c>
      <c r="E19" s="12">
        <v>0.03</v>
      </c>
      <c r="F19" s="10">
        <v>-155651</v>
      </c>
      <c r="G19" s="18">
        <v>9.5999999999999988E-2</v>
      </c>
      <c r="H19" s="13">
        <f t="shared" si="3"/>
        <v>-14942.495999999997</v>
      </c>
      <c r="I19" s="12">
        <f t="shared" si="1"/>
        <v>0.90400000000000003</v>
      </c>
      <c r="J19" s="12">
        <v>0</v>
      </c>
      <c r="K19" s="14">
        <f t="shared" si="4"/>
        <v>0</v>
      </c>
      <c r="L19" s="12">
        <v>0.90399999999999991</v>
      </c>
      <c r="M19" s="13">
        <f t="shared" si="5"/>
        <v>-140708.50400000002</v>
      </c>
      <c r="O19" s="12">
        <f t="shared" si="2"/>
        <v>0.99999999999999989</v>
      </c>
    </row>
    <row r="20" spans="3:15" x14ac:dyDescent="0.2">
      <c r="C20" s="1" t="s">
        <v>20</v>
      </c>
      <c r="D20" s="10">
        <v>240000</v>
      </c>
      <c r="E20" s="12">
        <v>0.4</v>
      </c>
      <c r="F20" s="11">
        <f t="shared" si="0"/>
        <v>336000</v>
      </c>
      <c r="G20" s="12">
        <v>1.1950583333333332E-2</v>
      </c>
      <c r="H20" s="13">
        <f t="shared" si="3"/>
        <v>4015.3959999999997</v>
      </c>
      <c r="I20" s="12">
        <f t="shared" si="1"/>
        <v>0.98804941666666668</v>
      </c>
      <c r="J20" s="12">
        <v>0</v>
      </c>
      <c r="K20" s="14">
        <f t="shared" si="4"/>
        <v>0</v>
      </c>
      <c r="L20" s="12">
        <v>0.98804941666666668</v>
      </c>
      <c r="M20" s="15">
        <f t="shared" si="5"/>
        <v>331984.60399999999</v>
      </c>
      <c r="O20" s="12">
        <f t="shared" si="2"/>
        <v>1</v>
      </c>
    </row>
    <row r="21" spans="3:15" ht="13.5" thickBot="1" x14ac:dyDescent="0.25">
      <c r="D21" s="39">
        <f>SUM(D12:D20)</f>
        <v>3043824.65</v>
      </c>
      <c r="F21" s="14">
        <f>SUM(F12:F20)</f>
        <v>3485605.449</v>
      </c>
      <c r="H21" s="20">
        <f>SUM(H12:H20)</f>
        <v>456706.65278365189</v>
      </c>
      <c r="I21" s="21">
        <f>H13+H14+H15+H17+H18+H19</f>
        <v>-42352.083106348204</v>
      </c>
      <c r="K21" s="20">
        <f>SUM(K12:K20)</f>
        <v>10886.102334321766</v>
      </c>
      <c r="L21" s="14">
        <f>K13+K14+K15</f>
        <v>-389.29936622823072</v>
      </c>
      <c r="M21" s="72">
        <f>SUM(M12:M20)</f>
        <v>3018012.6938820248</v>
      </c>
      <c r="O21" s="13">
        <f>SUM(H21+K21+M21)</f>
        <v>3485605.4489999986</v>
      </c>
    </row>
    <row r="22" spans="3:15" ht="13.5" thickTop="1" x14ac:dyDescent="0.2">
      <c r="J22" s="13">
        <f>I21+L21</f>
        <v>-42741.382472576435</v>
      </c>
      <c r="M22" s="66"/>
    </row>
    <row r="23" spans="3:15" x14ac:dyDescent="0.2">
      <c r="F23" s="14">
        <f>F12+F16+F20</f>
        <v>3870756.0999999996</v>
      </c>
      <c r="H23" s="23"/>
      <c r="I23" s="22" t="s">
        <v>21</v>
      </c>
    </row>
    <row r="25" spans="3:15" ht="13.5" thickBot="1" x14ac:dyDescent="0.25">
      <c r="O25" s="13">
        <f>M12+M16+M20</f>
        <v>3360421.9624094488</v>
      </c>
    </row>
    <row r="26" spans="3:15" ht="14.25" thickTop="1" thickBot="1" x14ac:dyDescent="0.25">
      <c r="C26" s="35" t="s">
        <v>24</v>
      </c>
      <c r="D26" s="36"/>
      <c r="E26" s="36"/>
      <c r="F26" s="37"/>
      <c r="I26" s="14" t="s">
        <v>32</v>
      </c>
      <c r="J26" s="1" t="s">
        <v>33</v>
      </c>
      <c r="K26" s="1" t="s">
        <v>31</v>
      </c>
      <c r="M26" s="1" t="s">
        <v>35</v>
      </c>
      <c r="O26" s="13">
        <v>5624411</v>
      </c>
    </row>
    <row r="27" spans="3:15" ht="13.5" thickTop="1" x14ac:dyDescent="0.2">
      <c r="C27" s="25"/>
      <c r="D27" s="26"/>
      <c r="E27" s="26"/>
      <c r="F27" s="27"/>
      <c r="O27" s="13">
        <f>-(M13+M15+M18+M19)</f>
        <v>404225.75286802009</v>
      </c>
    </row>
    <row r="28" spans="3:15" x14ac:dyDescent="0.2">
      <c r="C28" s="28" t="s">
        <v>25</v>
      </c>
      <c r="D28" s="29">
        <f>F12</f>
        <v>2666799.9999999995</v>
      </c>
      <c r="E28" s="30"/>
      <c r="F28" s="31"/>
      <c r="H28" s="1" t="s">
        <v>25</v>
      </c>
      <c r="I28" s="14">
        <f>F12</f>
        <v>2666799.9999999995</v>
      </c>
      <c r="J28" s="14">
        <v>35000000</v>
      </c>
      <c r="K28" s="13">
        <f>I28/(J28/1000000)</f>
        <v>76194.285714285696</v>
      </c>
      <c r="M28" s="12">
        <f>I28/J28</f>
        <v>7.6194285714285701E-2</v>
      </c>
      <c r="O28" s="13">
        <f>M14+M17</f>
        <v>61816.484340596478</v>
      </c>
    </row>
    <row r="29" spans="3:15" x14ac:dyDescent="0.2">
      <c r="C29" s="28" t="s">
        <v>26</v>
      </c>
      <c r="D29" s="29">
        <f>F16</f>
        <v>867956.10000000009</v>
      </c>
      <c r="E29" s="30"/>
      <c r="F29" s="31"/>
      <c r="H29" s="1" t="s">
        <v>26</v>
      </c>
      <c r="I29" s="14">
        <f>F16</f>
        <v>867956.10000000009</v>
      </c>
      <c r="J29" s="14">
        <v>100000000</v>
      </c>
      <c r="K29" s="13">
        <f t="shared" ref="K29:K30" si="6">I29/(J29/1000000)</f>
        <v>8679.5610000000015</v>
      </c>
      <c r="L29" s="1">
        <f>K29/K28</f>
        <v>0.11391354244787766</v>
      </c>
      <c r="M29" s="12">
        <f>I29/J29</f>
        <v>8.6795610000000006E-3</v>
      </c>
    </row>
    <row r="30" spans="3:15" x14ac:dyDescent="0.2">
      <c r="C30" s="28" t="s">
        <v>27</v>
      </c>
      <c r="D30" s="29">
        <f>F20</f>
        <v>336000</v>
      </c>
      <c r="E30" s="30"/>
      <c r="F30" s="31"/>
      <c r="H30" s="1" t="s">
        <v>27</v>
      </c>
      <c r="I30" s="14">
        <f>F20</f>
        <v>336000</v>
      </c>
      <c r="J30" s="14">
        <v>50000000</v>
      </c>
      <c r="K30" s="13">
        <f t="shared" si="6"/>
        <v>6720</v>
      </c>
      <c r="L30" s="1">
        <f>K30/K29</f>
        <v>0.77423270600897887</v>
      </c>
      <c r="M30" s="12">
        <f>I30/J30</f>
        <v>6.7200000000000003E-3</v>
      </c>
      <c r="O30" s="13">
        <f>O25+O26-O27+O28</f>
        <v>8642423.6938820239</v>
      </c>
    </row>
    <row r="31" spans="3:15" x14ac:dyDescent="0.2">
      <c r="C31" s="28" t="s">
        <v>28</v>
      </c>
      <c r="D31" s="30"/>
      <c r="E31" s="29">
        <f>SUM(D28:D30)</f>
        <v>3870756.0999999996</v>
      </c>
      <c r="F31" s="31"/>
      <c r="I31" s="41">
        <f>SUM(I28:I30)</f>
        <v>3870756.0999999996</v>
      </c>
      <c r="J31" s="39">
        <f>SUM(J28:J30)</f>
        <v>185000000</v>
      </c>
      <c r="M31" s="40">
        <f>I31/J31</f>
        <v>2.0923005945945945E-2</v>
      </c>
    </row>
    <row r="32" spans="3:15" x14ac:dyDescent="0.2">
      <c r="C32" s="28" t="s">
        <v>29</v>
      </c>
      <c r="D32" s="30"/>
      <c r="E32" s="29">
        <v>185000000</v>
      </c>
      <c r="F32" s="31"/>
    </row>
    <row r="33" spans="3:34" ht="13.5" thickBot="1" x14ac:dyDescent="0.25">
      <c r="C33" s="34" t="s">
        <v>30</v>
      </c>
      <c r="D33" s="32"/>
      <c r="E33" s="32"/>
      <c r="F33" s="33">
        <f>E31/E32</f>
        <v>2.0923005945945945E-2</v>
      </c>
    </row>
    <row r="34" spans="3:34" ht="13.5" thickTop="1" x14ac:dyDescent="0.2"/>
    <row r="38" spans="3:34" ht="13.5" thickBot="1" x14ac:dyDescent="0.25">
      <c r="I38" s="1" t="s">
        <v>51</v>
      </c>
      <c r="P38" s="1" t="s">
        <v>52</v>
      </c>
      <c r="W38" s="1" t="s">
        <v>53</v>
      </c>
      <c r="AD38" s="1" t="s">
        <v>54</v>
      </c>
    </row>
    <row r="39" spans="3:34" ht="39.75" thickTop="1" thickBot="1" x14ac:dyDescent="0.25">
      <c r="C39" s="38" t="s">
        <v>34</v>
      </c>
      <c r="D39" s="36"/>
      <c r="E39" s="36"/>
      <c r="F39" s="37"/>
      <c r="I39" s="14" t="s">
        <v>32</v>
      </c>
      <c r="J39" s="1" t="s">
        <v>33</v>
      </c>
      <c r="K39" s="1" t="s">
        <v>31</v>
      </c>
      <c r="M39" s="1" t="s">
        <v>35</v>
      </c>
      <c r="P39" s="14" t="s">
        <v>32</v>
      </c>
      <c r="Q39" s="1" t="s">
        <v>33</v>
      </c>
      <c r="R39" s="1" t="s">
        <v>31</v>
      </c>
      <c r="T39" s="1" t="s">
        <v>35</v>
      </c>
      <c r="W39" s="14" t="s">
        <v>32</v>
      </c>
      <c r="X39" s="1" t="s">
        <v>33</v>
      </c>
      <c r="Y39" s="1" t="s">
        <v>31</v>
      </c>
      <c r="AA39" s="1" t="s">
        <v>35</v>
      </c>
      <c r="AD39" s="14" t="s">
        <v>32</v>
      </c>
      <c r="AE39" s="1" t="s">
        <v>33</v>
      </c>
      <c r="AF39" s="1" t="s">
        <v>31</v>
      </c>
      <c r="AH39" s="1" t="s">
        <v>35</v>
      </c>
    </row>
    <row r="40" spans="3:34" ht="13.5" thickTop="1" x14ac:dyDescent="0.2">
      <c r="C40" s="25"/>
      <c r="D40" s="26"/>
      <c r="E40" s="26"/>
      <c r="F40" s="27"/>
    </row>
    <row r="41" spans="3:34" x14ac:dyDescent="0.2">
      <c r="C41" s="28" t="s">
        <v>25</v>
      </c>
      <c r="D41" s="29">
        <f>F12+1500000</f>
        <v>4166799.9999999995</v>
      </c>
      <c r="E41" s="30"/>
      <c r="F41" s="31"/>
      <c r="H41" s="1" t="s">
        <v>25</v>
      </c>
      <c r="I41" s="14">
        <f>D41</f>
        <v>4166799.9999999995</v>
      </c>
      <c r="J41" s="14">
        <v>35000000</v>
      </c>
      <c r="K41" s="13">
        <f>I41/(J41/1000000)</f>
        <v>119051.42857142857</v>
      </c>
      <c r="M41" s="12">
        <f>I41/J41</f>
        <v>0.11905142857142856</v>
      </c>
      <c r="O41" s="1" t="s">
        <v>25</v>
      </c>
      <c r="P41" s="14">
        <f>I41</f>
        <v>4166799.9999999995</v>
      </c>
      <c r="Q41" s="14">
        <v>35000000</v>
      </c>
      <c r="R41" s="13">
        <f>P41/(Q41/1000000)</f>
        <v>119051.42857142857</v>
      </c>
      <c r="T41" s="12">
        <f>P41/Q41</f>
        <v>0.11905142857142856</v>
      </c>
      <c r="V41" s="1" t="s">
        <v>25</v>
      </c>
      <c r="W41" s="14">
        <f>D41</f>
        <v>4166799.9999999995</v>
      </c>
      <c r="X41" s="14">
        <v>35000000</v>
      </c>
      <c r="Y41" s="13">
        <f>W41/(X41/1000000)</f>
        <v>119051.42857142857</v>
      </c>
      <c r="AA41" s="12">
        <f>W41/X41</f>
        <v>0.11905142857142856</v>
      </c>
      <c r="AC41" s="1" t="s">
        <v>25</v>
      </c>
      <c r="AD41" s="14">
        <f>D41</f>
        <v>4166799.9999999995</v>
      </c>
      <c r="AE41" s="14">
        <v>35000000</v>
      </c>
      <c r="AF41" s="13">
        <f>AD41/(AE41/1000000)</f>
        <v>119051.42857142857</v>
      </c>
      <c r="AH41" s="12">
        <f>AD41/AE41</f>
        <v>0.11905142857142856</v>
      </c>
    </row>
    <row r="42" spans="3:34" x14ac:dyDescent="0.2">
      <c r="C42" s="28" t="s">
        <v>26</v>
      </c>
      <c r="D42" s="29">
        <f>I42</f>
        <v>1356156.9962051902</v>
      </c>
      <c r="E42" s="30"/>
      <c r="F42" s="31"/>
      <c r="H42" s="1" t="s">
        <v>26</v>
      </c>
      <c r="I42" s="14">
        <f>K42*(J42/1000000)</f>
        <v>1356156.9962051902</v>
      </c>
      <c r="J42" s="14">
        <v>100000000</v>
      </c>
      <c r="K42" s="13">
        <f>K41*L42</f>
        <v>13561.569962051903</v>
      </c>
      <c r="L42" s="1">
        <v>0.11391354244787766</v>
      </c>
      <c r="M42" s="12">
        <f t="shared" ref="M42:M43" si="7">I42/J42</f>
        <v>1.3561569962051902E-2</v>
      </c>
      <c r="O42" s="1" t="s">
        <v>26</v>
      </c>
      <c r="P42" s="14">
        <f>R42*(Q42/1000000)</f>
        <v>1491772.6958257139</v>
      </c>
      <c r="Q42" s="14">
        <v>100000000</v>
      </c>
      <c r="R42" s="13">
        <f>R41*S42</f>
        <v>14917.726958257139</v>
      </c>
      <c r="S42" s="1">
        <f>0.113913542447878*1.1</f>
        <v>0.12530489669266581</v>
      </c>
      <c r="T42" s="12">
        <f t="shared" ref="T42:T43" si="8">P42/Q42</f>
        <v>1.491772695825714E-2</v>
      </c>
      <c r="V42" s="1" t="s">
        <v>26</v>
      </c>
      <c r="W42" s="14">
        <f>Y42*(X42/1000000)</f>
        <v>1695196.2452564931</v>
      </c>
      <c r="X42" s="14">
        <v>100000000</v>
      </c>
      <c r="Y42" s="13">
        <f>Y41*Z42</f>
        <v>16951.962452564931</v>
      </c>
      <c r="Z42" s="1">
        <f>0.113913542447878*1.25</f>
        <v>0.14239192805984752</v>
      </c>
      <c r="AA42" s="12">
        <f t="shared" ref="AA42:AA43" si="9">W42/X42</f>
        <v>1.6951962452564931E-2</v>
      </c>
      <c r="AC42" s="1" t="s">
        <v>26</v>
      </c>
      <c r="AD42" s="14">
        <f>AF42*(AE42/1000000)</f>
        <v>2034235.4943077916</v>
      </c>
      <c r="AE42" s="14">
        <v>100000000</v>
      </c>
      <c r="AF42" s="13">
        <f>AF41*AG42</f>
        <v>20342.354943077917</v>
      </c>
      <c r="AG42" s="1">
        <f>0.113913542447878*1.5</f>
        <v>0.17087031367181701</v>
      </c>
      <c r="AH42" s="12">
        <f t="shared" ref="AH42:AH43" si="10">AD42/AE42</f>
        <v>2.0342354943077914E-2</v>
      </c>
    </row>
    <row r="43" spans="3:34" x14ac:dyDescent="0.2">
      <c r="C43" s="28" t="s">
        <v>27</v>
      </c>
      <c r="D43" s="29">
        <f>I43</f>
        <v>524990.55047247652</v>
      </c>
      <c r="E43" s="30"/>
      <c r="F43" s="31"/>
      <c r="H43" s="1" t="s">
        <v>27</v>
      </c>
      <c r="I43" s="14">
        <f>K43*(J43/1000000)</f>
        <v>524990.55047247652</v>
      </c>
      <c r="J43" s="14">
        <v>50000000</v>
      </c>
      <c r="K43" s="13">
        <f>K42*L43</f>
        <v>10499.81100944953</v>
      </c>
      <c r="L43" s="1">
        <v>0.77423270600897887</v>
      </c>
      <c r="M43" s="12">
        <f t="shared" si="7"/>
        <v>1.0499811009449531E-2</v>
      </c>
      <c r="O43" s="1" t="s">
        <v>27</v>
      </c>
      <c r="P43" s="14">
        <f>R43*(Q43/1000000)</f>
        <v>635238.56607169867</v>
      </c>
      <c r="Q43" s="14">
        <v>50000000</v>
      </c>
      <c r="R43" s="13">
        <f>R42*S43</f>
        <v>12704.771321433973</v>
      </c>
      <c r="S43" s="1">
        <f>0.774232706008979*1.1</f>
        <v>0.85165597660987691</v>
      </c>
      <c r="T43" s="12">
        <f t="shared" si="8"/>
        <v>1.2704771321433973E-2</v>
      </c>
      <c r="V43" s="1" t="s">
        <v>27</v>
      </c>
      <c r="W43" s="14">
        <f>Y43*(X43/1000000)</f>
        <v>820297.73511324706</v>
      </c>
      <c r="X43" s="14">
        <v>50000000</v>
      </c>
      <c r="Y43" s="13">
        <f>Y42*Z43</f>
        <v>16405.954702264942</v>
      </c>
      <c r="Z43" s="1">
        <f>0.774232706008979*1.25</f>
        <v>0.96779088251122369</v>
      </c>
      <c r="AA43" s="12">
        <f t="shared" si="9"/>
        <v>1.6405954702264941E-2</v>
      </c>
      <c r="AC43" s="1" t="s">
        <v>27</v>
      </c>
      <c r="AD43" s="14">
        <f>AF43*(AE43/1000000)</f>
        <v>1181228.7385630759</v>
      </c>
      <c r="AE43" s="14">
        <v>50000000</v>
      </c>
      <c r="AF43" s="13">
        <f>AF42*AG43</f>
        <v>23624.574771261519</v>
      </c>
      <c r="AG43" s="1">
        <f>0.774232706008979*1.5</f>
        <v>1.1613490590134685</v>
      </c>
      <c r="AH43" s="12">
        <f t="shared" si="10"/>
        <v>2.3624574771261519E-2</v>
      </c>
    </row>
    <row r="44" spans="3:34" x14ac:dyDescent="0.2">
      <c r="C44" s="28" t="s">
        <v>28</v>
      </c>
      <c r="D44" s="30"/>
      <c r="E44" s="29">
        <f>SUM(D41:D43)</f>
        <v>6047947.5466776667</v>
      </c>
      <c r="F44" s="31"/>
      <c r="I44" s="41">
        <f>SUM(I41:I43)</f>
        <v>6047947.5466776667</v>
      </c>
      <c r="J44" s="39">
        <f>SUM(J41:J43)</f>
        <v>185000000</v>
      </c>
      <c r="M44" s="40">
        <f>I44/J44</f>
        <v>3.2691608360419823E-2</v>
      </c>
      <c r="P44" s="41">
        <f>SUM(P41:P43)</f>
        <v>6293811.2618974121</v>
      </c>
      <c r="Q44" s="39">
        <f>SUM(Q41:Q43)</f>
        <v>185000000</v>
      </c>
      <c r="T44" s="40">
        <f>P44/Q44</f>
        <v>3.402060141566169E-2</v>
      </c>
      <c r="W44" s="41">
        <f>SUM(W41:W43)</f>
        <v>6682293.9803697402</v>
      </c>
      <c r="X44" s="39">
        <f>SUM(X41:X43)</f>
        <v>185000000</v>
      </c>
      <c r="AA44" s="40">
        <f>W44/X44</f>
        <v>3.6120508001998598E-2</v>
      </c>
      <c r="AD44" s="41">
        <f>SUM(AD41:AD43)</f>
        <v>7382264.2328708665</v>
      </c>
      <c r="AE44" s="39">
        <f>SUM(AE41:AE43)</f>
        <v>185000000</v>
      </c>
      <c r="AH44" s="40">
        <f>AD44/AE44</f>
        <v>3.9904130988491174E-2</v>
      </c>
    </row>
    <row r="45" spans="3:34" x14ac:dyDescent="0.2">
      <c r="C45" s="28" t="s">
        <v>29</v>
      </c>
      <c r="D45" s="30"/>
      <c r="E45" s="29">
        <v>185000000</v>
      </c>
      <c r="F45" s="31"/>
    </row>
    <row r="46" spans="3:34" ht="13.5" thickBot="1" x14ac:dyDescent="0.25">
      <c r="C46" s="34" t="s">
        <v>30</v>
      </c>
      <c r="D46" s="32"/>
      <c r="E46" s="32"/>
      <c r="F46" s="33">
        <f>E44/E45</f>
        <v>3.2691608360419823E-2</v>
      </c>
    </row>
    <row r="47" spans="3:34" ht="13.5" thickTop="1" x14ac:dyDescent="0.2"/>
    <row r="50" spans="3:34" ht="13.5" thickBot="1" x14ac:dyDescent="0.25">
      <c r="I50" s="1" t="s">
        <v>51</v>
      </c>
      <c r="P50" s="1" t="s">
        <v>52</v>
      </c>
      <c r="W50" s="1" t="s">
        <v>53</v>
      </c>
      <c r="AD50" s="1" t="s">
        <v>54</v>
      </c>
    </row>
    <row r="51" spans="3:34" ht="39.75" thickTop="1" thickBot="1" x14ac:dyDescent="0.25">
      <c r="C51" s="38" t="s">
        <v>55</v>
      </c>
      <c r="D51" s="36"/>
      <c r="E51" s="36"/>
      <c r="F51" s="37"/>
      <c r="I51" s="14" t="s">
        <v>32</v>
      </c>
      <c r="J51" s="1" t="s">
        <v>33</v>
      </c>
      <c r="K51" s="1" t="s">
        <v>31</v>
      </c>
      <c r="M51" s="1" t="s">
        <v>35</v>
      </c>
      <c r="P51" s="14" t="s">
        <v>32</v>
      </c>
      <c r="Q51" s="1" t="s">
        <v>33</v>
      </c>
      <c r="R51" s="1" t="s">
        <v>31</v>
      </c>
      <c r="T51" s="1" t="s">
        <v>35</v>
      </c>
      <c r="W51" s="14" t="s">
        <v>32</v>
      </c>
      <c r="X51" s="1" t="s">
        <v>33</v>
      </c>
      <c r="Y51" s="1" t="s">
        <v>31</v>
      </c>
      <c r="AA51" s="1" t="s">
        <v>35</v>
      </c>
      <c r="AD51" s="14" t="s">
        <v>32</v>
      </c>
      <c r="AE51" s="1" t="s">
        <v>33</v>
      </c>
      <c r="AF51" s="1" t="s">
        <v>31</v>
      </c>
      <c r="AH51" s="1" t="s">
        <v>35</v>
      </c>
    </row>
    <row r="52" spans="3:34" ht="13.5" thickTop="1" x14ac:dyDescent="0.2">
      <c r="C52" s="25"/>
      <c r="D52" s="26"/>
      <c r="E52" s="26"/>
      <c r="F52" s="27"/>
    </row>
    <row r="53" spans="3:34" x14ac:dyDescent="0.2">
      <c r="C53" s="28" t="s">
        <v>25</v>
      </c>
      <c r="D53" s="29">
        <f>F12+3875000</f>
        <v>6541800</v>
      </c>
      <c r="E53" s="30"/>
      <c r="F53" s="31"/>
      <c r="H53" s="1" t="s">
        <v>25</v>
      </c>
      <c r="I53" s="14">
        <f>D53</f>
        <v>6541800</v>
      </c>
      <c r="J53" s="14">
        <v>35000000</v>
      </c>
      <c r="K53" s="13">
        <f>I53/(J53/1000000)</f>
        <v>186908.57142857142</v>
      </c>
      <c r="M53" s="12">
        <f>I53/J53</f>
        <v>0.18690857142857142</v>
      </c>
      <c r="O53" s="1" t="s">
        <v>25</v>
      </c>
      <c r="P53" s="14">
        <f>I53</f>
        <v>6541800</v>
      </c>
      <c r="Q53" s="14">
        <v>35000000</v>
      </c>
      <c r="R53" s="13">
        <f>P53/(Q53/1000000)</f>
        <v>186908.57142857142</v>
      </c>
      <c r="T53" s="12">
        <f>P53/Q53</f>
        <v>0.18690857142857142</v>
      </c>
      <c r="V53" s="1" t="s">
        <v>25</v>
      </c>
      <c r="W53" s="14">
        <f>D53</f>
        <v>6541800</v>
      </c>
      <c r="X53" s="14">
        <v>35000000</v>
      </c>
      <c r="Y53" s="13">
        <f>W53/(X53/1000000)</f>
        <v>186908.57142857142</v>
      </c>
      <c r="AA53" s="12">
        <f>W53/X53</f>
        <v>0.18690857142857142</v>
      </c>
      <c r="AC53" s="1" t="s">
        <v>25</v>
      </c>
      <c r="AD53" s="14">
        <f>D53</f>
        <v>6541800</v>
      </c>
      <c r="AE53" s="14">
        <v>35000000</v>
      </c>
      <c r="AF53" s="13">
        <f>AD53/(AE53/1000000)</f>
        <v>186908.57142857142</v>
      </c>
      <c r="AH53" s="12">
        <f>AD53/AE53</f>
        <v>0.18690857142857142</v>
      </c>
    </row>
    <row r="54" spans="3:34" x14ac:dyDescent="0.2">
      <c r="C54" s="28" t="s">
        <v>26</v>
      </c>
      <c r="D54" s="29">
        <f>I54</f>
        <v>2129141.748530074</v>
      </c>
      <c r="E54" s="30"/>
      <c r="F54" s="31"/>
      <c r="H54" s="1" t="s">
        <v>26</v>
      </c>
      <c r="I54" s="14">
        <f>K54*(J54/1000000)</f>
        <v>2129141.748530074</v>
      </c>
      <c r="J54" s="14">
        <v>100000000</v>
      </c>
      <c r="K54" s="13">
        <f>K53*L54</f>
        <v>21291.417485300743</v>
      </c>
      <c r="L54" s="1">
        <v>0.11391354244787766</v>
      </c>
      <c r="M54" s="12">
        <f t="shared" ref="M54:M55" si="11">I54/J54</f>
        <v>2.1291417485300741E-2</v>
      </c>
      <c r="O54" s="1" t="s">
        <v>26</v>
      </c>
      <c r="P54" s="14">
        <f>R54*(Q54/1000000)</f>
        <v>2342055.9233830892</v>
      </c>
      <c r="Q54" s="14">
        <v>100000000</v>
      </c>
      <c r="R54" s="13">
        <f>R53*S54</f>
        <v>23420.559233830892</v>
      </c>
      <c r="S54" s="1">
        <f>0.113913542447878*1.1</f>
        <v>0.12530489669266581</v>
      </c>
      <c r="T54" s="12">
        <f t="shared" ref="T54:T55" si="12">P54/Q54</f>
        <v>2.3420559233830893E-2</v>
      </c>
      <c r="V54" s="1" t="s">
        <v>26</v>
      </c>
      <c r="W54" s="14">
        <f>Y54*(X54/1000000)</f>
        <v>2661427.1856626011</v>
      </c>
      <c r="X54" s="14">
        <v>100000000</v>
      </c>
      <c r="Y54" s="13">
        <f>Y53*Z54</f>
        <v>26614.271856626012</v>
      </c>
      <c r="Z54" s="1">
        <f>0.113913542447878*1.25</f>
        <v>0.14239192805984752</v>
      </c>
      <c r="AA54" s="12">
        <f t="shared" ref="AA54:AA55" si="13">W54/X54</f>
        <v>2.6614271856626012E-2</v>
      </c>
      <c r="AC54" s="1" t="s">
        <v>26</v>
      </c>
      <c r="AD54" s="14">
        <f>AF54*(AE54/1000000)</f>
        <v>3193712.6227951217</v>
      </c>
      <c r="AE54" s="14">
        <v>100000000</v>
      </c>
      <c r="AF54" s="13">
        <f>AF53*AG54</f>
        <v>31937.126227951216</v>
      </c>
      <c r="AG54" s="1">
        <f>0.113913542447878*1.5</f>
        <v>0.17087031367181701</v>
      </c>
      <c r="AH54" s="12">
        <f t="shared" ref="AH54:AH55" si="14">AD54/AE54</f>
        <v>3.1937126227951217E-2</v>
      </c>
    </row>
    <row r="55" spans="3:34" x14ac:dyDescent="0.2">
      <c r="C55" s="28" t="s">
        <v>27</v>
      </c>
      <c r="D55" s="29">
        <f>I55</f>
        <v>824225.58872056415</v>
      </c>
      <c r="E55" s="30"/>
      <c r="F55" s="31"/>
      <c r="H55" s="1" t="s">
        <v>27</v>
      </c>
      <c r="I55" s="14">
        <f>K55*(J55/1000000)</f>
        <v>824225.58872056415</v>
      </c>
      <c r="J55" s="14">
        <v>50000000</v>
      </c>
      <c r="K55" s="13">
        <f>K54*L55</f>
        <v>16484.511774411283</v>
      </c>
      <c r="L55" s="1">
        <v>0.77423270600897887</v>
      </c>
      <c r="M55" s="12">
        <f t="shared" si="11"/>
        <v>1.6484511774411282E-2</v>
      </c>
      <c r="O55" s="1" t="s">
        <v>27</v>
      </c>
      <c r="P55" s="14">
        <f>R55*(Q55/1000000)</f>
        <v>997312.96235188597</v>
      </c>
      <c r="Q55" s="14">
        <v>50000000</v>
      </c>
      <c r="R55" s="13">
        <f>R54*S55</f>
        <v>19946.25924703772</v>
      </c>
      <c r="S55" s="1">
        <f>0.774232706008979*1.1</f>
        <v>0.85165597660987691</v>
      </c>
      <c r="T55" s="12">
        <f t="shared" si="12"/>
        <v>1.9946259247037721E-2</v>
      </c>
      <c r="V55" s="1" t="s">
        <v>27</v>
      </c>
      <c r="W55" s="14">
        <f>Y55*(X55/1000000)</f>
        <v>1287852.4823758856</v>
      </c>
      <c r="X55" s="14">
        <v>50000000</v>
      </c>
      <c r="Y55" s="13">
        <f>Y54*Z55</f>
        <v>25757.049647517713</v>
      </c>
      <c r="Z55" s="1">
        <f>0.774232706008979*1.25</f>
        <v>0.96779088251122369</v>
      </c>
      <c r="AA55" s="12">
        <f t="shared" si="13"/>
        <v>2.575704964751771E-2</v>
      </c>
      <c r="AC55" s="1" t="s">
        <v>27</v>
      </c>
      <c r="AD55" s="14">
        <f>AF55*(AE55/1000000)</f>
        <v>1854507.5746212755</v>
      </c>
      <c r="AE55" s="14">
        <v>50000000</v>
      </c>
      <c r="AF55" s="13">
        <f>AF54*AG55</f>
        <v>37090.15149242551</v>
      </c>
      <c r="AG55" s="1">
        <f>0.774232706008979*1.5</f>
        <v>1.1613490590134685</v>
      </c>
      <c r="AH55" s="12">
        <f t="shared" si="14"/>
        <v>3.7090151492425512E-2</v>
      </c>
    </row>
    <row r="56" spans="3:34" x14ac:dyDescent="0.2">
      <c r="C56" s="28" t="s">
        <v>28</v>
      </c>
      <c r="D56" s="30"/>
      <c r="E56" s="29">
        <f>SUM(D53:D55)</f>
        <v>9495167.3372506388</v>
      </c>
      <c r="F56" s="31"/>
      <c r="I56" s="50">
        <f>SUM(I53:I55)</f>
        <v>9495167.3372506388</v>
      </c>
      <c r="J56" s="39">
        <f>SUM(J53:J55)</f>
        <v>185000000</v>
      </c>
      <c r="M56" s="40">
        <f>I56/J56</f>
        <v>5.132522885000345E-2</v>
      </c>
      <c r="P56" s="41">
        <f>SUM(P53:P55)</f>
        <v>9881168.8857349753</v>
      </c>
      <c r="Q56" s="39">
        <f>SUM(Q53:Q55)</f>
        <v>185000000</v>
      </c>
      <c r="T56" s="40">
        <f>P56/Q56</f>
        <v>5.3411723706675546E-2</v>
      </c>
      <c r="W56" s="41">
        <f>SUM(W53:W55)</f>
        <v>10491079.668038487</v>
      </c>
      <c r="X56" s="39">
        <f>SUM(X53:X55)</f>
        <v>185000000</v>
      </c>
      <c r="AA56" s="40">
        <f>W56/X56</f>
        <v>5.6708538746153989E-2</v>
      </c>
      <c r="AD56" s="41">
        <f>SUM(AD53:AD55)</f>
        <v>11590020.197416397</v>
      </c>
      <c r="AE56" s="39">
        <f>SUM(AE53:AE55)</f>
        <v>185000000</v>
      </c>
      <c r="AH56" s="40">
        <f>AD56/AE56</f>
        <v>6.2648757823872414E-2</v>
      </c>
    </row>
    <row r="57" spans="3:34" x14ac:dyDescent="0.2">
      <c r="C57" s="28" t="s">
        <v>29</v>
      </c>
      <c r="D57" s="30"/>
      <c r="E57" s="29">
        <v>185000000</v>
      </c>
      <c r="F57" s="31"/>
    </row>
    <row r="58" spans="3:34" ht="13.5" thickBot="1" x14ac:dyDescent="0.25">
      <c r="C58" s="34" t="s">
        <v>30</v>
      </c>
      <c r="D58" s="32"/>
      <c r="E58" s="32"/>
      <c r="F58" s="33">
        <f>E56/E57</f>
        <v>5.132522885000345E-2</v>
      </c>
      <c r="I58" s="73"/>
      <c r="J58" s="17"/>
      <c r="K58" s="17"/>
      <c r="P58" s="13"/>
    </row>
    <row r="59" spans="3:34" ht="13.5" thickTop="1" x14ac:dyDescent="0.2">
      <c r="I59" s="66"/>
      <c r="J59" s="17"/>
      <c r="K59" s="17"/>
      <c r="P59" s="49"/>
    </row>
    <row r="64" spans="3:34" ht="13.5" thickBot="1" x14ac:dyDescent="0.25">
      <c r="I64" s="1" t="s">
        <v>51</v>
      </c>
      <c r="P64" s="1" t="s">
        <v>52</v>
      </c>
      <c r="W64" s="1" t="s">
        <v>53</v>
      </c>
      <c r="AD64" s="1" t="s">
        <v>54</v>
      </c>
    </row>
    <row r="65" spans="3:34" ht="65.25" thickTop="1" thickBot="1" x14ac:dyDescent="0.25">
      <c r="C65" s="38" t="s">
        <v>36</v>
      </c>
      <c r="D65" s="36"/>
      <c r="E65" s="36"/>
      <c r="F65" s="37"/>
      <c r="I65" s="14" t="s">
        <v>32</v>
      </c>
      <c r="J65" s="1" t="s">
        <v>33</v>
      </c>
      <c r="K65" s="1" t="s">
        <v>31</v>
      </c>
      <c r="M65" s="1" t="s">
        <v>35</v>
      </c>
      <c r="P65" s="14" t="s">
        <v>32</v>
      </c>
      <c r="Q65" s="1" t="s">
        <v>33</v>
      </c>
      <c r="R65" s="1" t="s">
        <v>31</v>
      </c>
      <c r="T65" s="1" t="s">
        <v>35</v>
      </c>
      <c r="W65" s="14" t="s">
        <v>32</v>
      </c>
      <c r="X65" s="1" t="s">
        <v>33</v>
      </c>
      <c r="Y65" s="1" t="s">
        <v>31</v>
      </c>
      <c r="AA65" s="1" t="s">
        <v>35</v>
      </c>
      <c r="AD65" s="14" t="s">
        <v>32</v>
      </c>
      <c r="AE65" s="1" t="s">
        <v>33</v>
      </c>
      <c r="AF65" s="1" t="s">
        <v>31</v>
      </c>
      <c r="AH65" s="1" t="s">
        <v>35</v>
      </c>
    </row>
    <row r="66" spans="3:34" ht="13.5" thickTop="1" x14ac:dyDescent="0.2">
      <c r="C66" s="25"/>
      <c r="D66" s="26"/>
      <c r="E66" s="26"/>
      <c r="F66" s="27"/>
    </row>
    <row r="67" spans="3:34" x14ac:dyDescent="0.2">
      <c r="C67" s="28" t="s">
        <v>25</v>
      </c>
      <c r="D67" s="29">
        <f>F12+6250000</f>
        <v>8916800</v>
      </c>
      <c r="E67" s="30"/>
      <c r="F67" s="31"/>
      <c r="H67" s="1" t="s">
        <v>25</v>
      </c>
      <c r="I67" s="14">
        <f>D67</f>
        <v>8916800</v>
      </c>
      <c r="J67" s="14">
        <v>35000000</v>
      </c>
      <c r="K67" s="13">
        <f>I67/(J67/1000000)</f>
        <v>254765.71428571429</v>
      </c>
      <c r="M67" s="12">
        <f>I67/J67</f>
        <v>0.25476571428571426</v>
      </c>
      <c r="O67" s="1" t="s">
        <v>25</v>
      </c>
      <c r="P67" s="14">
        <f>D67</f>
        <v>8916800</v>
      </c>
      <c r="Q67" s="14">
        <v>35000000</v>
      </c>
      <c r="R67" s="13">
        <f>P67/(Q67/1000000)</f>
        <v>254765.71428571429</v>
      </c>
      <c r="T67" s="12">
        <f>P67/Q67</f>
        <v>0.25476571428571426</v>
      </c>
      <c r="V67" s="1" t="s">
        <v>25</v>
      </c>
      <c r="W67" s="14">
        <f>D67</f>
        <v>8916800</v>
      </c>
      <c r="X67" s="14">
        <v>35000000</v>
      </c>
      <c r="Y67" s="13">
        <f>W67/(X67/1000000)</f>
        <v>254765.71428571429</v>
      </c>
      <c r="AA67" s="12">
        <f>W67/X67</f>
        <v>0.25476571428571426</v>
      </c>
      <c r="AC67" s="1" t="s">
        <v>25</v>
      </c>
      <c r="AD67" s="14">
        <f>D67</f>
        <v>8916800</v>
      </c>
      <c r="AE67" s="14">
        <v>35000000</v>
      </c>
      <c r="AF67" s="13">
        <f>AD67/(AE67/1000000)</f>
        <v>254765.71428571429</v>
      </c>
      <c r="AH67" s="12">
        <f>AD67/AE67</f>
        <v>0.25476571428571426</v>
      </c>
    </row>
    <row r="68" spans="3:34" x14ac:dyDescent="0.2">
      <c r="C68" s="28" t="s">
        <v>26</v>
      </c>
      <c r="D68" s="29">
        <f>I68</f>
        <v>2902126.5008549588</v>
      </c>
      <c r="E68" s="30"/>
      <c r="F68" s="31"/>
      <c r="H68" s="1" t="s">
        <v>26</v>
      </c>
      <c r="I68" s="14">
        <f>K68*(J68/1000000)</f>
        <v>2902126.5008549588</v>
      </c>
      <c r="J68" s="14">
        <v>100000000</v>
      </c>
      <c r="K68" s="13">
        <f>K67*L68</f>
        <v>29021.265008549588</v>
      </c>
      <c r="L68" s="1">
        <v>0.11391354244787766</v>
      </c>
      <c r="M68" s="12">
        <f t="shared" ref="M68:M69" si="15">I68/J68</f>
        <v>2.9021265008549589E-2</v>
      </c>
      <c r="O68" s="1" t="s">
        <v>26</v>
      </c>
      <c r="P68" s="14">
        <f>R68*(Q68/1000000)</f>
        <v>3192339.1509404643</v>
      </c>
      <c r="Q68" s="14">
        <v>100000000</v>
      </c>
      <c r="R68" s="13">
        <f>R67*S68</f>
        <v>31923.391509404642</v>
      </c>
      <c r="S68" s="1">
        <f>0.113913542447878*1.1</f>
        <v>0.12530489669266581</v>
      </c>
      <c r="T68" s="12">
        <f t="shared" ref="T68:T69" si="16">P68/Q68</f>
        <v>3.1923391509404646E-2</v>
      </c>
      <c r="V68" s="1" t="s">
        <v>26</v>
      </c>
      <c r="W68" s="14">
        <f>Y68*(X68/1000000)</f>
        <v>3627658.1260687099</v>
      </c>
      <c r="X68" s="14">
        <v>100000000</v>
      </c>
      <c r="Y68" s="13">
        <f>Y67*Z68</f>
        <v>36276.581260687097</v>
      </c>
      <c r="Z68" s="1">
        <f>0.113913542447878*1.25</f>
        <v>0.14239192805984752</v>
      </c>
      <c r="AA68" s="12">
        <f t="shared" ref="AA68:AA69" si="17">W68/X68</f>
        <v>3.6276581260687099E-2</v>
      </c>
      <c r="AC68" s="1" t="s">
        <v>26</v>
      </c>
      <c r="AD68" s="14">
        <f>AF68*(AE68/1000000)</f>
        <v>4353189.7512824517</v>
      </c>
      <c r="AE68" s="14">
        <v>100000000</v>
      </c>
      <c r="AF68" s="13">
        <f>AF67*AG68</f>
        <v>43531.897512824515</v>
      </c>
      <c r="AG68" s="1">
        <f>0.113913542447878*1.5</f>
        <v>0.17087031367181701</v>
      </c>
      <c r="AH68" s="12">
        <f t="shared" ref="AH68:AH69" si="18">AD68/AE68</f>
        <v>4.3531897512824519E-2</v>
      </c>
    </row>
    <row r="69" spans="3:34" x14ac:dyDescent="0.2">
      <c r="C69" s="28" t="s">
        <v>27</v>
      </c>
      <c r="D69" s="29">
        <f>I69</f>
        <v>1123460.626968652</v>
      </c>
      <c r="E69" s="30"/>
      <c r="F69" s="31"/>
      <c r="H69" s="1" t="s">
        <v>27</v>
      </c>
      <c r="I69" s="14">
        <f>K69*(J69/1000000)</f>
        <v>1123460.626968652</v>
      </c>
      <c r="J69" s="14">
        <v>50000000</v>
      </c>
      <c r="K69" s="13">
        <f>K68*L69</f>
        <v>22469.212539373038</v>
      </c>
      <c r="L69" s="1">
        <v>0.77423270600897887</v>
      </c>
      <c r="M69" s="12">
        <f t="shared" si="15"/>
        <v>2.2469212539373042E-2</v>
      </c>
      <c r="O69" s="1" t="s">
        <v>27</v>
      </c>
      <c r="P69" s="14">
        <f>R69*(Q69/1000000)</f>
        <v>1359387.358632073</v>
      </c>
      <c r="Q69" s="14">
        <v>50000000</v>
      </c>
      <c r="R69" s="13">
        <f>R68*S69</f>
        <v>27187.747172641462</v>
      </c>
      <c r="S69" s="1">
        <f>0.774232706008979*1.1</f>
        <v>0.85165597660987691</v>
      </c>
      <c r="T69" s="12">
        <f t="shared" si="16"/>
        <v>2.7187747172641462E-2</v>
      </c>
      <c r="V69" s="1" t="s">
        <v>27</v>
      </c>
      <c r="W69" s="14">
        <f>Y69*(X69/1000000)</f>
        <v>1755407.2296385241</v>
      </c>
      <c r="X69" s="14">
        <v>50000000</v>
      </c>
      <c r="Y69" s="13">
        <f>Y68*Z69</f>
        <v>35108.144592770484</v>
      </c>
      <c r="Z69" s="1">
        <f>0.774232706008979*1.25</f>
        <v>0.96779088251122369</v>
      </c>
      <c r="AA69" s="12">
        <f t="shared" si="17"/>
        <v>3.5108144592770479E-2</v>
      </c>
      <c r="AC69" s="1" t="s">
        <v>27</v>
      </c>
      <c r="AD69" s="14">
        <f>AF69*(AE69/1000000)</f>
        <v>2527786.4106794749</v>
      </c>
      <c r="AE69" s="14">
        <v>50000000</v>
      </c>
      <c r="AF69" s="13">
        <f>AF68*AG69</f>
        <v>50555.7282135895</v>
      </c>
      <c r="AG69" s="1">
        <f>0.774232706008979*1.5</f>
        <v>1.1613490590134685</v>
      </c>
      <c r="AH69" s="12">
        <f t="shared" si="18"/>
        <v>5.0555728213589501E-2</v>
      </c>
    </row>
    <row r="70" spans="3:34" x14ac:dyDescent="0.2">
      <c r="C70" s="28" t="s">
        <v>28</v>
      </c>
      <c r="D70" s="30"/>
      <c r="E70" s="29">
        <f>SUM(D67:D69)</f>
        <v>12942387.12782361</v>
      </c>
      <c r="F70" s="31"/>
      <c r="I70" s="41">
        <f>SUM(I67:I69)</f>
        <v>12942387.12782361</v>
      </c>
      <c r="J70" s="39">
        <f>SUM(J67:J69)</f>
        <v>185000000</v>
      </c>
      <c r="M70" s="40">
        <f>I70/J70</f>
        <v>6.9958849339587084E-2</v>
      </c>
      <c r="P70" s="41">
        <f>SUM(P67:P69)</f>
        <v>13468526.509572538</v>
      </c>
      <c r="Q70" s="39">
        <f>SUM(Q67:Q69)</f>
        <v>185000000</v>
      </c>
      <c r="T70" s="40">
        <f>P70/Q70</f>
        <v>7.2802845997689394E-2</v>
      </c>
      <c r="W70" s="41">
        <f>SUM(W67:W69)</f>
        <v>14299865.355707234</v>
      </c>
      <c r="X70" s="39">
        <f>SUM(X67:X69)</f>
        <v>185000000</v>
      </c>
      <c r="AA70" s="40">
        <f>W70/X70</f>
        <v>7.7296569490309372E-2</v>
      </c>
      <c r="AD70" s="41">
        <f>SUM(AD67:AD69)</f>
        <v>15797776.161961926</v>
      </c>
      <c r="AE70" s="39">
        <f>SUM(AE67:AE69)</f>
        <v>185000000</v>
      </c>
      <c r="AH70" s="40">
        <f>AD70/AE70</f>
        <v>8.5393384659253654E-2</v>
      </c>
    </row>
    <row r="71" spans="3:34" x14ac:dyDescent="0.2">
      <c r="C71" s="28" t="s">
        <v>29</v>
      </c>
      <c r="D71" s="30"/>
      <c r="E71" s="29">
        <v>185000000</v>
      </c>
      <c r="F71" s="31"/>
    </row>
    <row r="72" spans="3:34" ht="13.5" thickBot="1" x14ac:dyDescent="0.25">
      <c r="C72" s="34" t="s">
        <v>38</v>
      </c>
      <c r="D72" s="32"/>
      <c r="E72" s="32"/>
      <c r="F72" s="33">
        <f>E70/E71</f>
        <v>6.9958849339587084E-2</v>
      </c>
    </row>
    <row r="73" spans="3:34" ht="13.5" thickTop="1" x14ac:dyDescent="0.2"/>
    <row r="77" spans="3:34" ht="13.5" thickBot="1" x14ac:dyDescent="0.25">
      <c r="I77" s="1" t="s">
        <v>51</v>
      </c>
      <c r="P77" s="1" t="s">
        <v>52</v>
      </c>
      <c r="W77" s="1" t="s">
        <v>53</v>
      </c>
      <c r="AD77" s="1" t="s">
        <v>54</v>
      </c>
    </row>
    <row r="78" spans="3:34" ht="65.25" thickTop="1" thickBot="1" x14ac:dyDescent="0.25">
      <c r="C78" s="38" t="s">
        <v>37</v>
      </c>
      <c r="D78" s="36"/>
      <c r="E78" s="36"/>
      <c r="F78" s="37"/>
      <c r="I78" s="14" t="s">
        <v>32</v>
      </c>
      <c r="J78" s="1" t="s">
        <v>33</v>
      </c>
      <c r="K78" s="1" t="s">
        <v>31</v>
      </c>
      <c r="M78" s="1" t="s">
        <v>35</v>
      </c>
      <c r="P78" s="14" t="s">
        <v>32</v>
      </c>
      <c r="Q78" s="1" t="s">
        <v>33</v>
      </c>
      <c r="R78" s="1" t="s">
        <v>31</v>
      </c>
      <c r="T78" s="1" t="s">
        <v>35</v>
      </c>
      <c r="W78" s="14" t="s">
        <v>32</v>
      </c>
      <c r="X78" s="1" t="s">
        <v>33</v>
      </c>
      <c r="Y78" s="1" t="s">
        <v>31</v>
      </c>
      <c r="AA78" s="1" t="s">
        <v>35</v>
      </c>
      <c r="AD78" s="14" t="s">
        <v>32</v>
      </c>
      <c r="AE78" s="1" t="s">
        <v>33</v>
      </c>
      <c r="AF78" s="1" t="s">
        <v>31</v>
      </c>
      <c r="AH78" s="1" t="s">
        <v>35</v>
      </c>
    </row>
    <row r="79" spans="3:34" ht="13.5" thickTop="1" x14ac:dyDescent="0.2">
      <c r="C79" s="25"/>
      <c r="D79" s="26"/>
      <c r="E79" s="26"/>
      <c r="F79" s="27"/>
    </row>
    <row r="80" spans="3:34" x14ac:dyDescent="0.2">
      <c r="C80" s="28" t="s">
        <v>25</v>
      </c>
      <c r="D80" s="29">
        <f>F12+15000000</f>
        <v>17666800</v>
      </c>
      <c r="E80" s="30"/>
      <c r="F80" s="31"/>
      <c r="H80" s="1" t="s">
        <v>25</v>
      </c>
      <c r="I80" s="14">
        <f>D80</f>
        <v>17666800</v>
      </c>
      <c r="J80" s="14">
        <v>35000000</v>
      </c>
      <c r="K80" s="13">
        <f>I80/(J80/1000000)</f>
        <v>504765.71428571426</v>
      </c>
      <c r="M80" s="12">
        <f>I80/J80</f>
        <v>0.50476571428571426</v>
      </c>
      <c r="O80" s="1" t="s">
        <v>25</v>
      </c>
      <c r="P80" s="14">
        <f>D80</f>
        <v>17666800</v>
      </c>
      <c r="Q80" s="14">
        <v>35000000</v>
      </c>
      <c r="R80" s="13">
        <f>P80/(Q80/1000000)</f>
        <v>504765.71428571426</v>
      </c>
      <c r="T80" s="12">
        <f>P80/Q80</f>
        <v>0.50476571428571426</v>
      </c>
      <c r="V80" s="1" t="s">
        <v>25</v>
      </c>
      <c r="W80" s="14">
        <f>D80</f>
        <v>17666800</v>
      </c>
      <c r="X80" s="14">
        <v>35000000</v>
      </c>
      <c r="Y80" s="13">
        <f>W80/(X80/1000000)</f>
        <v>504765.71428571426</v>
      </c>
      <c r="AA80" s="12">
        <f t="shared" ref="AA80:AA83" si="19">W80/X80</f>
        <v>0.50476571428571426</v>
      </c>
      <c r="AC80" s="1" t="s">
        <v>25</v>
      </c>
      <c r="AD80" s="14">
        <f>D80</f>
        <v>17666800</v>
      </c>
      <c r="AE80" s="14">
        <v>35000000</v>
      </c>
      <c r="AF80" s="13">
        <f>AD80/(AE80/1000000)</f>
        <v>504765.71428571426</v>
      </c>
      <c r="AH80" s="12">
        <f>AD80/AE80</f>
        <v>0.50476571428571426</v>
      </c>
    </row>
    <row r="81" spans="3:34" x14ac:dyDescent="0.2">
      <c r="C81" s="28" t="s">
        <v>26</v>
      </c>
      <c r="D81" s="29">
        <f>I81</f>
        <v>5749965.0620518997</v>
      </c>
      <c r="E81" s="30"/>
      <c r="F81" s="31"/>
      <c r="H81" s="1" t="s">
        <v>26</v>
      </c>
      <c r="I81" s="14">
        <f>K81*(J81/1000000)</f>
        <v>5749965.0620518997</v>
      </c>
      <c r="J81" s="14">
        <v>100000000</v>
      </c>
      <c r="K81" s="13">
        <f>K80*L81</f>
        <v>57499.650620518994</v>
      </c>
      <c r="L81" s="1">
        <v>0.11391354244787766</v>
      </c>
      <c r="M81" s="12">
        <f t="shared" ref="M81:M82" si="20">I81/J81</f>
        <v>5.7499650620518997E-2</v>
      </c>
      <c r="O81" s="1" t="s">
        <v>26</v>
      </c>
      <c r="P81" s="14">
        <f>R81*(Q81/1000000)</f>
        <v>6324961.5682571093</v>
      </c>
      <c r="Q81" s="14">
        <v>100000000</v>
      </c>
      <c r="R81" s="13">
        <f>R80*S81</f>
        <v>63249.615682571093</v>
      </c>
      <c r="S81" s="1">
        <f>0.113913542447878*1.1</f>
        <v>0.12530489669266581</v>
      </c>
      <c r="T81" s="12">
        <f t="shared" ref="T81:T82" si="21">P81/Q81</f>
        <v>6.3249615682571092E-2</v>
      </c>
      <c r="V81" s="1" t="s">
        <v>26</v>
      </c>
      <c r="W81" s="14">
        <f>Y81*(X81/1000000)</f>
        <v>7187456.3275648961</v>
      </c>
      <c r="X81" s="14">
        <v>100000000</v>
      </c>
      <c r="Y81" s="13">
        <f>Y80*Z81</f>
        <v>71874.563275648965</v>
      </c>
      <c r="Z81" s="1">
        <f>0.113913542447878*1.25</f>
        <v>0.14239192805984752</v>
      </c>
      <c r="AA81" s="12">
        <f t="shared" si="19"/>
        <v>7.1874563275648964E-2</v>
      </c>
      <c r="AC81" s="1" t="s">
        <v>26</v>
      </c>
      <c r="AD81" s="14">
        <f>AF81*(AE81/1000000)</f>
        <v>8624947.5930778757</v>
      </c>
      <c r="AE81" s="14">
        <v>100000000</v>
      </c>
      <c r="AF81" s="13">
        <f>AF80*AG81</f>
        <v>86249.475930778761</v>
      </c>
      <c r="AG81" s="1">
        <f>0.113913542447878*1.5</f>
        <v>0.17087031367181701</v>
      </c>
      <c r="AH81" s="12">
        <f t="shared" ref="AH81:AH82" si="22">AD81/AE81</f>
        <v>8.6249475930778752E-2</v>
      </c>
    </row>
    <row r="82" spans="3:34" x14ac:dyDescent="0.2">
      <c r="C82" s="28" t="s">
        <v>27</v>
      </c>
      <c r="D82" s="29">
        <f>I82</f>
        <v>2225905.5047247643</v>
      </c>
      <c r="E82" s="30"/>
      <c r="F82" s="31"/>
      <c r="H82" s="1" t="s">
        <v>27</v>
      </c>
      <c r="I82" s="14">
        <f>K82*(J82/1000000)</f>
        <v>2225905.5047247643</v>
      </c>
      <c r="J82" s="14">
        <v>50000000</v>
      </c>
      <c r="K82" s="13">
        <f>K81*L82</f>
        <v>44518.110094495285</v>
      </c>
      <c r="L82" s="1">
        <v>0.77423270600897887</v>
      </c>
      <c r="M82" s="12">
        <f t="shared" si="20"/>
        <v>4.4518110094495286E-2</v>
      </c>
      <c r="O82" s="1" t="s">
        <v>27</v>
      </c>
      <c r="P82" s="14">
        <f>R82*(Q82/1000000)</f>
        <v>2693345.6607169732</v>
      </c>
      <c r="Q82" s="14">
        <v>50000000</v>
      </c>
      <c r="R82" s="13">
        <f>R81*S82</f>
        <v>53866.913214339467</v>
      </c>
      <c r="S82" s="1">
        <f>0.774232706008979*1.1</f>
        <v>0.85165597660987691</v>
      </c>
      <c r="T82" s="12">
        <f t="shared" si="21"/>
        <v>5.3866913214339465E-2</v>
      </c>
      <c r="V82" s="1" t="s">
        <v>27</v>
      </c>
      <c r="W82" s="14">
        <f>Y82*(X82/1000000)</f>
        <v>3477977.3511324553</v>
      </c>
      <c r="X82" s="14">
        <v>50000000</v>
      </c>
      <c r="Y82" s="13">
        <f>Y81*Z82</f>
        <v>69559.547022649102</v>
      </c>
      <c r="Z82" s="1">
        <f>0.774232706008979*1.25</f>
        <v>0.96779088251122369</v>
      </c>
      <c r="AA82" s="12">
        <f t="shared" si="19"/>
        <v>6.9559547022649104E-2</v>
      </c>
      <c r="AC82" s="1" t="s">
        <v>27</v>
      </c>
      <c r="AD82" s="14">
        <f>AF82*(AE82/1000000)</f>
        <v>5008287.3856307361</v>
      </c>
      <c r="AE82" s="14">
        <v>50000000</v>
      </c>
      <c r="AF82" s="13">
        <f>AF81*AG82</f>
        <v>100165.74771261471</v>
      </c>
      <c r="AG82" s="1">
        <f>0.774232706008979*1.5</f>
        <v>1.1613490590134685</v>
      </c>
      <c r="AH82" s="12">
        <f t="shared" si="22"/>
        <v>0.10016574771261472</v>
      </c>
    </row>
    <row r="83" spans="3:34" x14ac:dyDescent="0.2">
      <c r="C83" s="28" t="s">
        <v>28</v>
      </c>
      <c r="D83" s="30"/>
      <c r="E83" s="29">
        <f>SUM(D80:D82)</f>
        <v>25642670.566776663</v>
      </c>
      <c r="F83" s="31"/>
      <c r="I83" s="41">
        <f>SUM(I80:I82)</f>
        <v>25642670.566776663</v>
      </c>
      <c r="J83" s="39">
        <f>SUM(J80:J82)</f>
        <v>185000000</v>
      </c>
      <c r="M83" s="40">
        <f>I83/J83</f>
        <v>0.13860903009068468</v>
      </c>
      <c r="P83" s="41">
        <f>SUM(P80:P82)</f>
        <v>26685107.228974082</v>
      </c>
      <c r="Q83" s="39">
        <f>SUM(Q80:Q82)</f>
        <v>185000000</v>
      </c>
      <c r="T83" s="40">
        <f>P83/Q83</f>
        <v>0.14424382285931936</v>
      </c>
      <c r="W83" s="41">
        <f>SUM(W80:W82)</f>
        <v>28332233.678697351</v>
      </c>
      <c r="X83" s="39">
        <f>SUM(X80:X82)</f>
        <v>185000000</v>
      </c>
      <c r="AA83" s="12">
        <f t="shared" si="19"/>
        <v>0.15314720907403973</v>
      </c>
      <c r="AD83" s="41">
        <f>SUM(AD80:AD82)</f>
        <v>31300034.97870861</v>
      </c>
      <c r="AE83" s="39">
        <f>SUM(AE80:AE82)</f>
        <v>185000000</v>
      </c>
      <c r="AH83" s="40">
        <f>AD83/AE83</f>
        <v>0.16918937826328978</v>
      </c>
    </row>
    <row r="84" spans="3:34" x14ac:dyDescent="0.2">
      <c r="C84" s="28" t="s">
        <v>29</v>
      </c>
      <c r="D84" s="30"/>
      <c r="E84" s="29">
        <v>185000000</v>
      </c>
      <c r="F84" s="31"/>
    </row>
    <row r="85" spans="3:34" ht="13.5" thickBot="1" x14ac:dyDescent="0.25">
      <c r="C85" s="34" t="s">
        <v>39</v>
      </c>
      <c r="D85" s="32"/>
      <c r="E85" s="32"/>
      <c r="F85" s="33">
        <f>E83/E84</f>
        <v>0.13860903009068468</v>
      </c>
    </row>
    <row r="86" spans="3:34" ht="13.5" thickTop="1" x14ac:dyDescent="0.2"/>
  </sheetData>
  <mergeCells count="4">
    <mergeCell ref="D4:F4"/>
    <mergeCell ref="D5:F5"/>
    <mergeCell ref="D9:F9"/>
    <mergeCell ref="D10:F10"/>
  </mergeCells>
  <pageMargins left="0.7" right="0.7" top="0.75" bottom="0.75" header="0.3" footer="0.3"/>
  <pageSetup scale="58" orientation="landscape" r:id="rId1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:I12"/>
  <sheetViews>
    <sheetView workbookViewId="0">
      <selection activeCell="E18" sqref="E18"/>
    </sheetView>
    <sheetView workbookViewId="1"/>
  </sheetViews>
  <sheetFormatPr defaultRowHeight="15" x14ac:dyDescent="0.25"/>
  <cols>
    <col min="5" max="5" width="20.7109375" customWidth="1"/>
    <col min="6" max="6" width="13.85546875" customWidth="1"/>
    <col min="7" max="7" width="12.28515625" customWidth="1"/>
    <col min="8" max="8" width="14.140625" customWidth="1"/>
    <col min="9" max="9" width="13.140625" customWidth="1"/>
  </cols>
  <sheetData>
    <row r="1" spans="5:9" x14ac:dyDescent="0.25">
      <c r="E1" s="48" t="s">
        <v>57</v>
      </c>
    </row>
    <row r="2" spans="5:9" x14ac:dyDescent="0.25">
      <c r="E2" s="48" t="s">
        <v>58</v>
      </c>
    </row>
    <row r="3" spans="5:9" x14ac:dyDescent="0.25">
      <c r="E3" s="48"/>
    </row>
    <row r="5" spans="5:9" x14ac:dyDescent="0.25">
      <c r="E5" s="42"/>
      <c r="F5" s="63" t="s">
        <v>59</v>
      </c>
      <c r="G5" s="63"/>
      <c r="H5" s="63"/>
      <c r="I5" s="63"/>
    </row>
    <row r="6" spans="5:9" x14ac:dyDescent="0.25">
      <c r="E6" s="42"/>
      <c r="F6" s="46">
        <v>0</v>
      </c>
      <c r="G6" s="47">
        <v>0.1</v>
      </c>
      <c r="H6" s="47">
        <v>0.25</v>
      </c>
      <c r="I6" s="47">
        <v>0.5</v>
      </c>
    </row>
    <row r="7" spans="5:9" x14ac:dyDescent="0.25">
      <c r="E7" s="44" t="s">
        <v>40</v>
      </c>
      <c r="F7" s="42"/>
      <c r="G7" s="42"/>
      <c r="H7" s="42"/>
      <c r="I7" s="42"/>
    </row>
    <row r="8" spans="5:9" x14ac:dyDescent="0.25">
      <c r="E8" s="44">
        <v>0</v>
      </c>
      <c r="F8" s="43">
        <f>'ROL Scenarios'!I31</f>
        <v>3870756.0999999996</v>
      </c>
      <c r="G8" s="42"/>
      <c r="H8" s="42"/>
      <c r="I8" s="42"/>
    </row>
    <row r="9" spans="5:9" x14ac:dyDescent="0.25">
      <c r="E9" s="45" t="s">
        <v>41</v>
      </c>
      <c r="F9" s="43">
        <f>'ROL Scenarios'!I44</f>
        <v>6047947.5466776667</v>
      </c>
      <c r="G9" s="43">
        <f>'ROL Scenarios'!P44</f>
        <v>6293811.2618974121</v>
      </c>
      <c r="H9" s="43">
        <f>'ROL Scenarios'!W44</f>
        <v>6682293.9803697402</v>
      </c>
      <c r="I9" s="43">
        <f>'ROL Scenarios'!AD44</f>
        <v>7382264.2328708665</v>
      </c>
    </row>
    <row r="10" spans="5:9" x14ac:dyDescent="0.25">
      <c r="E10" s="45" t="s">
        <v>56</v>
      </c>
      <c r="F10" s="43">
        <f>'ROL Scenarios'!I56</f>
        <v>9495167.3372506388</v>
      </c>
      <c r="G10" s="43">
        <f>'ROL Scenarios'!P56</f>
        <v>9881168.8857349753</v>
      </c>
      <c r="H10" s="43">
        <f>'ROL Scenarios'!W56</f>
        <v>10491079.668038487</v>
      </c>
      <c r="I10" s="43">
        <f>'ROL Scenarios'!AD56</f>
        <v>11590020.197416397</v>
      </c>
    </row>
    <row r="11" spans="5:9" x14ac:dyDescent="0.25">
      <c r="E11" s="45" t="s">
        <v>42</v>
      </c>
      <c r="F11" s="43">
        <f>'ROL Scenarios'!I70</f>
        <v>12942387.12782361</v>
      </c>
      <c r="G11" s="43">
        <f>'ROL Scenarios'!P70</f>
        <v>13468526.509572538</v>
      </c>
      <c r="H11" s="43">
        <f>'ROL Scenarios'!W70</f>
        <v>14299865.355707234</v>
      </c>
      <c r="I11" s="43">
        <f>'ROL Scenarios'!AD70</f>
        <v>15797776.161961926</v>
      </c>
    </row>
    <row r="12" spans="5:9" x14ac:dyDescent="0.25">
      <c r="E12" s="45" t="s">
        <v>43</v>
      </c>
      <c r="F12" s="43">
        <f>'ROL Scenarios'!I83</f>
        <v>25642670.566776663</v>
      </c>
      <c r="G12" s="43">
        <f>'ROL Scenarios'!P83</f>
        <v>26685107.228974082</v>
      </c>
      <c r="H12" s="43">
        <f>'ROL Scenarios'!W83</f>
        <v>28332233.678697351</v>
      </c>
      <c r="I12" s="43">
        <f>'ROL Scenarios'!AD83</f>
        <v>31300034.97870861</v>
      </c>
    </row>
  </sheetData>
  <mergeCells count="1">
    <mergeCell ref="F5:I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E5:E23"/>
  <sheetViews>
    <sheetView topLeftCell="B1" workbookViewId="0">
      <selection activeCell="I16" sqref="I16"/>
    </sheetView>
    <sheetView workbookViewId="1"/>
  </sheetViews>
  <sheetFormatPr defaultRowHeight="15" x14ac:dyDescent="0.25"/>
  <sheetData>
    <row r="5" spans="5:5" x14ac:dyDescent="0.25">
      <c r="E5" t="s">
        <v>44</v>
      </c>
    </row>
    <row r="6" spans="5:5" x14ac:dyDescent="0.25">
      <c r="E6" t="s">
        <v>45</v>
      </c>
    </row>
    <row r="7" spans="5:5" x14ac:dyDescent="0.25">
      <c r="E7" t="s">
        <v>48</v>
      </c>
    </row>
    <row r="9" spans="5:5" x14ac:dyDescent="0.25">
      <c r="E9" t="s">
        <v>49</v>
      </c>
    </row>
    <row r="10" spans="5:5" x14ac:dyDescent="0.25">
      <c r="E10" t="s">
        <v>50</v>
      </c>
    </row>
    <row r="22" spans="5:5" x14ac:dyDescent="0.25">
      <c r="E22" t="s">
        <v>46</v>
      </c>
    </row>
    <row r="23" spans="5:5" x14ac:dyDescent="0.25">
      <c r="E23" t="s">
        <v>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BFE603B-6A2E-4301-A53E-5AE68E843D04}"/>
</file>

<file path=customXml/itemProps2.xml><?xml version="1.0" encoding="utf-8"?>
<ds:datastoreItem xmlns:ds="http://schemas.openxmlformats.org/officeDocument/2006/customXml" ds:itemID="{6AB1A231-9EFC-4A67-888B-24412ADF5A91}"/>
</file>

<file path=customXml/itemProps3.xml><?xml version="1.0" encoding="utf-8"?>
<ds:datastoreItem xmlns:ds="http://schemas.openxmlformats.org/officeDocument/2006/customXml" ds:itemID="{3CA150E7-B503-4111-9446-375016E01B30}"/>
</file>

<file path=customXml/itemProps4.xml><?xml version="1.0" encoding="utf-8"?>
<ds:datastoreItem xmlns:ds="http://schemas.openxmlformats.org/officeDocument/2006/customXml" ds:itemID="{02C58E9D-284F-4334-A14E-846F4220DC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Recon</vt:lpstr>
      <vt:lpstr>ROL Scenarios</vt:lpstr>
      <vt:lpstr>Summary </vt:lpstr>
      <vt:lpstr>Research Notes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Brandkamp, Bob</dc:creator>
  <cp:lastModifiedBy>Andrews, Liz</cp:lastModifiedBy>
  <cp:lastPrinted>2020-09-23T23:45:51Z</cp:lastPrinted>
  <dcterms:created xsi:type="dcterms:W3CDTF">2020-09-13T22:25:43Z</dcterms:created>
  <dcterms:modified xsi:type="dcterms:W3CDTF">2020-09-23T23:46:06Z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