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UG-19____ Proposed Base prelim" sheetId="2" r:id="rId1"/>
    <sheet name="Compare to UG-170486" sheetId="3" r:id="rId2"/>
  </sheets>
  <definedNames>
    <definedName name="_xlnm.Print_Area" localSheetId="0">'UG-19____ Proposed Base prelim'!$A$1:$I$33,'UG-19____ Proposed Base prelim'!$A$42:$F$62,'UG-19____ Proposed Base prelim'!$P$1:$AE$30,'UG-19____ Proposed Base prelim'!$B$69:$I$101,'UG-19____ Proposed Base prelim'!$P$32:$AE$97</definedName>
  </definedNames>
  <calcPr calcId="152511"/>
</workbook>
</file>

<file path=xl/calcChain.xml><?xml version="1.0" encoding="utf-8"?>
<calcChain xmlns="http://schemas.openxmlformats.org/spreadsheetml/2006/main">
  <c r="J31" i="3" l="1"/>
  <c r="I31" i="3"/>
  <c r="D31" i="3" s="1"/>
  <c r="F31" i="3"/>
  <c r="G31" i="3"/>
  <c r="H31" i="3"/>
  <c r="J44" i="3" s="1"/>
  <c r="E31" i="3"/>
  <c r="J30" i="3"/>
  <c r="I30" i="3"/>
  <c r="F30" i="3"/>
  <c r="G30" i="3"/>
  <c r="H30" i="3"/>
  <c r="E30" i="3"/>
  <c r="J29" i="3"/>
  <c r="I29" i="3"/>
  <c r="D29" i="3" s="1"/>
  <c r="F29" i="3"/>
  <c r="G29" i="3"/>
  <c r="H29" i="3"/>
  <c r="E29" i="3"/>
  <c r="I47" i="3"/>
  <c r="I44" i="3"/>
  <c r="J43" i="3"/>
  <c r="I43" i="3"/>
  <c r="I41" i="3"/>
  <c r="J40" i="3"/>
  <c r="I40" i="3"/>
  <c r="K40" i="3" s="1"/>
  <c r="L40" i="3" s="1"/>
  <c r="L43" i="3" s="1"/>
  <c r="J37" i="3"/>
  <c r="J36" i="3"/>
  <c r="I36" i="3"/>
  <c r="G48" i="3" s="1"/>
  <c r="H36" i="3"/>
  <c r="H37" i="3" s="1"/>
  <c r="G35" i="3"/>
  <c r="F35" i="3"/>
  <c r="F46" i="3" s="1"/>
  <c r="E35" i="3"/>
  <c r="E46" i="3" s="1"/>
  <c r="G34" i="3"/>
  <c r="D34" i="3" s="1"/>
  <c r="F34" i="3"/>
  <c r="F37" i="3" s="1"/>
  <c r="E34" i="3"/>
  <c r="D30" i="3"/>
  <c r="E23" i="3"/>
  <c r="E39" i="3" s="1"/>
  <c r="E40" i="3" s="1"/>
  <c r="J22" i="3"/>
  <c r="J21" i="3"/>
  <c r="J19" i="3"/>
  <c r="I19" i="3"/>
  <c r="J18" i="3"/>
  <c r="I18" i="3"/>
  <c r="I46" i="3" s="1"/>
  <c r="F18" i="3"/>
  <c r="E18" i="3"/>
  <c r="D18" i="3"/>
  <c r="J15" i="3"/>
  <c r="I15" i="3"/>
  <c r="H15" i="3"/>
  <c r="G15" i="3"/>
  <c r="F15" i="3"/>
  <c r="F19" i="3" s="1"/>
  <c r="E15" i="3"/>
  <c r="E19" i="3" s="1"/>
  <c r="D19" i="3" s="1"/>
  <c r="D21" i="3" s="1"/>
  <c r="D15" i="3"/>
  <c r="J14" i="3"/>
  <c r="I14" i="3"/>
  <c r="H14" i="3"/>
  <c r="D14" i="3"/>
  <c r="G13" i="3"/>
  <c r="F13" i="3"/>
  <c r="E13" i="3"/>
  <c r="D13" i="3"/>
  <c r="G12" i="3"/>
  <c r="F12" i="3"/>
  <c r="E12" i="3"/>
  <c r="D12" i="3"/>
  <c r="D9" i="3"/>
  <c r="D8" i="3"/>
  <c r="D7" i="3"/>
  <c r="J41" i="3" l="1"/>
  <c r="K41" i="3" s="1"/>
  <c r="L41" i="3" s="1"/>
  <c r="L44" i="3" s="1"/>
  <c r="D35" i="3"/>
  <c r="G37" i="3"/>
  <c r="F45" i="3" s="1"/>
  <c r="D36" i="3"/>
  <c r="E37" i="3"/>
  <c r="E45" i="3" s="1"/>
  <c r="J46" i="3" s="1"/>
  <c r="K46" i="3" s="1"/>
  <c r="L46" i="3" s="1"/>
  <c r="E41" i="3"/>
  <c r="E47" i="3"/>
  <c r="E49" i="3"/>
  <c r="D46" i="3"/>
  <c r="G49" i="3"/>
  <c r="D48" i="3"/>
  <c r="F23" i="3"/>
  <c r="F39" i="3" s="1"/>
  <c r="F40" i="3" s="1"/>
  <c r="D40" i="3" s="1"/>
  <c r="I37" i="3"/>
  <c r="J47" i="3" l="1"/>
  <c r="K47" i="3" s="1"/>
  <c r="L47" i="3" s="1"/>
  <c r="D37" i="3"/>
  <c r="F41" i="3"/>
  <c r="D41" i="3" s="1"/>
  <c r="D43" i="3" s="1"/>
  <c r="F47" i="3"/>
  <c r="F49" i="3" s="1"/>
  <c r="D47" i="3" l="1"/>
  <c r="D49" i="3" s="1"/>
  <c r="R25" i="2" l="1"/>
  <c r="R21" i="2"/>
  <c r="AD94" i="2"/>
  <c r="AD49" i="2" l="1"/>
  <c r="S76" i="2" l="1"/>
  <c r="T75" i="2"/>
  <c r="U75" i="2"/>
  <c r="V75" i="2"/>
  <c r="W75" i="2"/>
  <c r="X75" i="2"/>
  <c r="Y75" i="2"/>
  <c r="Z75" i="2"/>
  <c r="AA75" i="2"/>
  <c r="AB75" i="2"/>
  <c r="AC75" i="2"/>
  <c r="AD75" i="2"/>
  <c r="S75" i="2"/>
  <c r="T74" i="2"/>
  <c r="U74" i="2"/>
  <c r="V74" i="2"/>
  <c r="W74" i="2"/>
  <c r="X74" i="2"/>
  <c r="Y74" i="2"/>
  <c r="Z74" i="2"/>
  <c r="AA74" i="2"/>
  <c r="AB74" i="2"/>
  <c r="AC74" i="2"/>
  <c r="S74" i="2"/>
  <c r="T73" i="2"/>
  <c r="U73" i="2"/>
  <c r="V73" i="2"/>
  <c r="W73" i="2"/>
  <c r="X73" i="2"/>
  <c r="Y73" i="2"/>
  <c r="Z73" i="2"/>
  <c r="AA73" i="2"/>
  <c r="AB73" i="2"/>
  <c r="AC73" i="2"/>
  <c r="AD73" i="2"/>
  <c r="S73" i="2"/>
  <c r="T49" i="2"/>
  <c r="U49" i="2"/>
  <c r="V49" i="2"/>
  <c r="W49" i="2"/>
  <c r="X49" i="2"/>
  <c r="Y49" i="2"/>
  <c r="Z49" i="2"/>
  <c r="AA49" i="2"/>
  <c r="AB49" i="2"/>
  <c r="AC49" i="2"/>
  <c r="AD74" i="2"/>
  <c r="S49" i="2"/>
  <c r="AG77" i="2"/>
  <c r="I19" i="2"/>
  <c r="I13" i="2"/>
  <c r="G13" i="2"/>
  <c r="I9" i="2"/>
  <c r="G10" i="2"/>
  <c r="G9" i="2"/>
  <c r="AD97" i="2" l="1"/>
  <c r="AC97" i="2"/>
  <c r="AB97" i="2"/>
  <c r="AA97" i="2"/>
  <c r="Z97" i="2"/>
  <c r="Y97" i="2"/>
  <c r="X97" i="2"/>
  <c r="W97" i="2"/>
  <c r="V97" i="2"/>
  <c r="U97" i="2"/>
  <c r="T97" i="2"/>
  <c r="S96" i="2"/>
  <c r="AE95" i="2"/>
  <c r="AE94" i="2"/>
  <c r="AE93" i="2"/>
  <c r="AG86" i="2"/>
  <c r="AG88" i="2" s="1"/>
  <c r="AD84" i="2"/>
  <c r="AC84" i="2"/>
  <c r="AB84" i="2"/>
  <c r="AA84" i="2"/>
  <c r="AA86" i="2" s="1"/>
  <c r="Z84" i="2"/>
  <c r="Y84" i="2"/>
  <c r="X84" i="2"/>
  <c r="W84" i="2"/>
  <c r="W86" i="2" s="1"/>
  <c r="V84" i="2"/>
  <c r="U84" i="2"/>
  <c r="T84" i="2"/>
  <c r="AG78" i="2"/>
  <c r="AD77" i="2"/>
  <c r="AC77" i="2"/>
  <c r="AB77" i="2"/>
  <c r="AA77" i="2"/>
  <c r="Z77" i="2"/>
  <c r="Y77" i="2"/>
  <c r="X77" i="2"/>
  <c r="W77" i="2"/>
  <c r="V77" i="2"/>
  <c r="U77" i="2"/>
  <c r="T77" i="2"/>
  <c r="S77" i="2"/>
  <c r="AD76" i="2"/>
  <c r="AC76" i="2"/>
  <c r="AB76" i="2"/>
  <c r="AA76" i="2"/>
  <c r="Z76" i="2"/>
  <c r="Y76" i="2"/>
  <c r="X76" i="2"/>
  <c r="W76" i="2"/>
  <c r="V76" i="2"/>
  <c r="U76" i="2"/>
  <c r="T76" i="2"/>
  <c r="AD83" i="2"/>
  <c r="AD91" i="2" s="1"/>
  <c r="AC83" i="2"/>
  <c r="AC91" i="2" s="1"/>
  <c r="AB83" i="2"/>
  <c r="AB91" i="2" s="1"/>
  <c r="AA83" i="2"/>
  <c r="Z83" i="2"/>
  <c r="Y83" i="2"/>
  <c r="Y91" i="2" s="1"/>
  <c r="X83" i="2"/>
  <c r="W83" i="2"/>
  <c r="W91" i="2" s="1"/>
  <c r="V83" i="2"/>
  <c r="V91" i="2" s="1"/>
  <c r="U83" i="2"/>
  <c r="U91" i="2" s="1"/>
  <c r="T83" i="2"/>
  <c r="S83" i="2"/>
  <c r="AD72" i="2"/>
  <c r="AD80" i="2" s="1"/>
  <c r="AD82" i="2" s="1"/>
  <c r="AC72" i="2"/>
  <c r="AC80" i="2" s="1"/>
  <c r="AC11" i="2" s="1"/>
  <c r="AB72" i="2"/>
  <c r="AB80" i="2" s="1"/>
  <c r="AB11" i="2" s="1"/>
  <c r="AA72" i="2"/>
  <c r="Z72" i="2"/>
  <c r="Y72" i="2"/>
  <c r="Y80" i="2" s="1"/>
  <c r="Y11" i="2" s="1"/>
  <c r="X72" i="2"/>
  <c r="X80" i="2" s="1"/>
  <c r="X82" i="2" s="1"/>
  <c r="W72" i="2"/>
  <c r="V72" i="2"/>
  <c r="V80" i="2" s="1"/>
  <c r="U72" i="2"/>
  <c r="U80" i="2" s="1"/>
  <c r="U11" i="2" s="1"/>
  <c r="T72" i="2"/>
  <c r="T80" i="2" s="1"/>
  <c r="T82" i="2" s="1"/>
  <c r="S72" i="2"/>
  <c r="AD69" i="2"/>
  <c r="AC69" i="2"/>
  <c r="AE68" i="2" s="1"/>
  <c r="AB69" i="2"/>
  <c r="AA69" i="2"/>
  <c r="Z69" i="2"/>
  <c r="Y69" i="2"/>
  <c r="X69" i="2"/>
  <c r="W69" i="2"/>
  <c r="V69" i="2"/>
  <c r="U69" i="2"/>
  <c r="T69" i="2"/>
  <c r="S69" i="2"/>
  <c r="AE67" i="2"/>
  <c r="AE66" i="2"/>
  <c r="AE65" i="2"/>
  <c r="AE64" i="2"/>
  <c r="AE63" i="2"/>
  <c r="AD60" i="2"/>
  <c r="AC60" i="2"/>
  <c r="AE59" i="2" s="1"/>
  <c r="AB60" i="2"/>
  <c r="AA60" i="2"/>
  <c r="Z60" i="2"/>
  <c r="Y60" i="2"/>
  <c r="X60" i="2"/>
  <c r="W60" i="2"/>
  <c r="V60" i="2"/>
  <c r="U60" i="2"/>
  <c r="T60" i="2"/>
  <c r="S60" i="2"/>
  <c r="AE58" i="2"/>
  <c r="AE57" i="2"/>
  <c r="AE56" i="2"/>
  <c r="AE55" i="2"/>
  <c r="AE54" i="2"/>
  <c r="AD51" i="2"/>
  <c r="AC51" i="2"/>
  <c r="AE50" i="2"/>
  <c r="AE49" i="2"/>
  <c r="AB51" i="2"/>
  <c r="X51" i="2"/>
  <c r="V51" i="2"/>
  <c r="U51" i="2"/>
  <c r="T51" i="2"/>
  <c r="AD45" i="2"/>
  <c r="AC45" i="2"/>
  <c r="AE44" i="2" s="1"/>
  <c r="AB45" i="2"/>
  <c r="AA45" i="2"/>
  <c r="Z45" i="2"/>
  <c r="Y45" i="2"/>
  <c r="X45" i="2"/>
  <c r="W45" i="2"/>
  <c r="V45" i="2"/>
  <c r="U45" i="2"/>
  <c r="T45" i="2"/>
  <c r="S45" i="2"/>
  <c r="AE43" i="2"/>
  <c r="AE42" i="2"/>
  <c r="AE41" i="2"/>
  <c r="AE40" i="2"/>
  <c r="AE39" i="2"/>
  <c r="Q28" i="2"/>
  <c r="Q27" i="2"/>
  <c r="P9" i="2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4" i="2"/>
  <c r="P2" i="2"/>
  <c r="C54" i="2"/>
  <c r="C45" i="2"/>
  <c r="D29" i="2"/>
  <c r="D27" i="2"/>
  <c r="D26" i="2"/>
  <c r="D52" i="2" s="1"/>
  <c r="E21" i="2"/>
  <c r="D21" i="2"/>
  <c r="F88" i="2"/>
  <c r="F90" i="2" s="1"/>
  <c r="F92" i="2" s="1"/>
  <c r="F94" i="2" s="1"/>
  <c r="H19" i="2"/>
  <c r="G19" i="2"/>
  <c r="G20" i="2" s="1"/>
  <c r="K20" i="2" s="1"/>
  <c r="K21" i="2" s="1"/>
  <c r="E15" i="2"/>
  <c r="D15" i="2"/>
  <c r="D66" i="2" s="1"/>
  <c r="K14" i="2"/>
  <c r="K15" i="2" s="1"/>
  <c r="H13" i="2"/>
  <c r="G15" i="2"/>
  <c r="K11" i="2"/>
  <c r="E11" i="2"/>
  <c r="E17" i="2" s="1"/>
  <c r="D11" i="2"/>
  <c r="D17" i="2" s="1"/>
  <c r="C10" i="2"/>
  <c r="I11" i="2"/>
  <c r="H9" i="2"/>
  <c r="H11" i="2" s="1"/>
  <c r="D73" i="2"/>
  <c r="K17" i="2" l="1"/>
  <c r="G11" i="2"/>
  <c r="G17" i="2" s="1"/>
  <c r="Y86" i="2"/>
  <c r="T11" i="2"/>
  <c r="E26" i="2"/>
  <c r="E52" i="2" s="1"/>
  <c r="C19" i="2"/>
  <c r="AE73" i="2"/>
  <c r="U86" i="2"/>
  <c r="AC86" i="2"/>
  <c r="E29" i="2"/>
  <c r="T86" i="2"/>
  <c r="Y51" i="2"/>
  <c r="U78" i="2"/>
  <c r="Z51" i="2"/>
  <c r="V85" i="2"/>
  <c r="V15" i="2" s="1"/>
  <c r="E23" i="2"/>
  <c r="E37" i="2" s="1"/>
  <c r="E38" i="2" s="1"/>
  <c r="X11" i="2"/>
  <c r="AE60" i="2"/>
  <c r="AC78" i="2"/>
  <c r="AE76" i="2"/>
  <c r="AD11" i="2"/>
  <c r="AD85" i="2"/>
  <c r="AD15" i="2" s="1"/>
  <c r="AB85" i="2"/>
  <c r="Y78" i="2"/>
  <c r="AB82" i="2"/>
  <c r="X86" i="2"/>
  <c r="AB86" i="2"/>
  <c r="P21" i="2"/>
  <c r="P22" i="2" s="1"/>
  <c r="P23" i="2" s="1"/>
  <c r="P24" i="2" s="1"/>
  <c r="C9" i="2"/>
  <c r="F11" i="2"/>
  <c r="Z85" i="2"/>
  <c r="Z91" i="2"/>
  <c r="AE45" i="2"/>
  <c r="AE69" i="2"/>
  <c r="V82" i="2"/>
  <c r="V11" i="2"/>
  <c r="T91" i="2"/>
  <c r="K23" i="2"/>
  <c r="D23" i="2"/>
  <c r="D28" i="2"/>
  <c r="S91" i="2"/>
  <c r="S85" i="2"/>
  <c r="AE48" i="2"/>
  <c r="AE51" i="2" s="1"/>
  <c r="W78" i="2"/>
  <c r="W51" i="2"/>
  <c r="AA78" i="2"/>
  <c r="AA51" i="2"/>
  <c r="S51" i="2"/>
  <c r="S80" i="2"/>
  <c r="W80" i="2"/>
  <c r="AE72" i="2"/>
  <c r="X91" i="2"/>
  <c r="AA80" i="2"/>
  <c r="AE83" i="2"/>
  <c r="S97" i="2"/>
  <c r="AE96" i="2"/>
  <c r="AE97" i="2" s="1"/>
  <c r="E27" i="2"/>
  <c r="C13" i="2"/>
  <c r="F15" i="2"/>
  <c r="X85" i="2"/>
  <c r="AC82" i="2"/>
  <c r="AE81" i="2" s="1"/>
  <c r="S84" i="2"/>
  <c r="AE84" i="2" s="1"/>
  <c r="AC85" i="2"/>
  <c r="F21" i="2"/>
  <c r="T78" i="2"/>
  <c r="Y82" i="2"/>
  <c r="Y85" i="2"/>
  <c r="AA91" i="2"/>
  <c r="G21" i="2"/>
  <c r="Z78" i="2"/>
  <c r="AD78" i="2"/>
  <c r="AE77" i="2" s="1"/>
  <c r="AE75" i="2"/>
  <c r="Z80" i="2"/>
  <c r="U82" i="2"/>
  <c r="V86" i="2"/>
  <c r="Z86" i="2"/>
  <c r="AD86" i="2"/>
  <c r="C11" i="2" l="1"/>
  <c r="AD87" i="2"/>
  <c r="C21" i="2"/>
  <c r="G23" i="2"/>
  <c r="V78" i="2"/>
  <c r="AB78" i="2"/>
  <c r="AB87" i="2"/>
  <c r="AB15" i="2"/>
  <c r="AA85" i="2"/>
  <c r="AA15" i="2" s="1"/>
  <c r="S78" i="2"/>
  <c r="V87" i="2"/>
  <c r="X78" i="2"/>
  <c r="U85" i="2"/>
  <c r="U87" i="2" s="1"/>
  <c r="X87" i="2"/>
  <c r="X15" i="2"/>
  <c r="Z82" i="2"/>
  <c r="Z11" i="2"/>
  <c r="AC15" i="2"/>
  <c r="AC87" i="2"/>
  <c r="P25" i="2"/>
  <c r="P26" i="2" s="1"/>
  <c r="P27" i="2" s="1"/>
  <c r="P28" i="2" s="1"/>
  <c r="Y15" i="2"/>
  <c r="Y87" i="2"/>
  <c r="AA82" i="2"/>
  <c r="AA11" i="2"/>
  <c r="W11" i="2"/>
  <c r="W82" i="2"/>
  <c r="AE91" i="2"/>
  <c r="Z87" i="2"/>
  <c r="Z15" i="2"/>
  <c r="W85" i="2"/>
  <c r="E28" i="2"/>
  <c r="E66" i="2"/>
  <c r="C15" i="2"/>
  <c r="S15" i="2"/>
  <c r="D30" i="2"/>
  <c r="D65" i="2"/>
  <c r="T85" i="2"/>
  <c r="S86" i="2"/>
  <c r="AE86" i="2" s="1"/>
  <c r="AE80" i="2"/>
  <c r="AE82" i="2" s="1"/>
  <c r="S82" i="2"/>
  <c r="S11" i="2"/>
  <c r="AE74" i="2"/>
  <c r="AE78" i="2" s="1"/>
  <c r="D50" i="2"/>
  <c r="D54" i="2" s="1"/>
  <c r="D37" i="2"/>
  <c r="D38" i="2" s="1"/>
  <c r="F17" i="2"/>
  <c r="AE85" i="2" l="1"/>
  <c r="AE87" i="2" s="1"/>
  <c r="S87" i="2"/>
  <c r="AA87" i="2"/>
  <c r="U15" i="2"/>
  <c r="AC89" i="2"/>
  <c r="Y89" i="2"/>
  <c r="Z89" i="2"/>
  <c r="U89" i="2"/>
  <c r="AB89" i="2"/>
  <c r="AA89" i="2"/>
  <c r="S89" i="2"/>
  <c r="X89" i="2"/>
  <c r="T89" i="2"/>
  <c r="W89" i="2"/>
  <c r="V89" i="2"/>
  <c r="AD89" i="2"/>
  <c r="AE20" i="2"/>
  <c r="D64" i="2"/>
  <c r="D67" i="2" s="1"/>
  <c r="F23" i="2"/>
  <c r="C17" i="2"/>
  <c r="E65" i="2"/>
  <c r="E30" i="2"/>
  <c r="T87" i="2"/>
  <c r="T15" i="2"/>
  <c r="W15" i="2"/>
  <c r="W87" i="2"/>
  <c r="F37" i="2" l="1"/>
  <c r="F38" i="2" s="1"/>
  <c r="E50" i="2"/>
  <c r="E54" i="2" s="1"/>
  <c r="C23" i="2"/>
  <c r="AE89" i="2"/>
  <c r="E64" i="2" l="1"/>
  <c r="E67" i="2" s="1"/>
  <c r="AE24" i="2"/>
  <c r="AE11" i="2"/>
  <c r="AB12" i="2" s="1"/>
  <c r="AB21" i="2" s="1"/>
  <c r="AE15" i="2"/>
  <c r="Z16" i="2" s="1"/>
  <c r="AC16" i="2" l="1"/>
  <c r="AC25" i="2" s="1"/>
  <c r="T16" i="2"/>
  <c r="T25" i="2" s="1"/>
  <c r="Z25" i="2"/>
  <c r="U16" i="2"/>
  <c r="U25" i="2" s="1"/>
  <c r="AD16" i="2"/>
  <c r="AD25" i="2" s="1"/>
  <c r="AA16" i="2"/>
  <c r="AA25" i="2" s="1"/>
  <c r="S16" i="2"/>
  <c r="S25" i="2" s="1"/>
  <c r="Y16" i="2"/>
  <c r="Y25" i="2" s="1"/>
  <c r="AA12" i="2"/>
  <c r="AA21" i="2" s="1"/>
  <c r="Z12" i="2"/>
  <c r="Z21" i="2" s="1"/>
  <c r="AC12" i="2"/>
  <c r="AC21" i="2" s="1"/>
  <c r="X12" i="2"/>
  <c r="X21" i="2" s="1"/>
  <c r="W12" i="2"/>
  <c r="W21" i="2" s="1"/>
  <c r="Y12" i="2"/>
  <c r="Y21" i="2" s="1"/>
  <c r="U12" i="2"/>
  <c r="U21" i="2" s="1"/>
  <c r="AD12" i="2"/>
  <c r="AD21" i="2" s="1"/>
  <c r="T12" i="2"/>
  <c r="T21" i="2" s="1"/>
  <c r="S12" i="2"/>
  <c r="V12" i="2"/>
  <c r="V21" i="2" s="1"/>
  <c r="X16" i="2"/>
  <c r="X25" i="2" s="1"/>
  <c r="V16" i="2"/>
  <c r="V25" i="2" s="1"/>
  <c r="AB16" i="2"/>
  <c r="AB25" i="2" s="1"/>
  <c r="W16" i="2"/>
  <c r="W25" i="2" s="1"/>
  <c r="AE25" i="2" l="1"/>
  <c r="AE16" i="2"/>
  <c r="S21" i="2"/>
  <c r="AE21" i="2" s="1"/>
  <c r="AE12" i="2"/>
</calcChain>
</file>

<file path=xl/comments1.xml><?xml version="1.0" encoding="utf-8"?>
<comments xmlns="http://schemas.openxmlformats.org/spreadsheetml/2006/main">
  <authors>
    <author>Author</author>
  </authors>
  <commentList>
    <comment ref="Q43" authorId="0" shapeId="0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actual billed usage
</t>
        </r>
      </text>
    </comment>
  </commentList>
</comments>
</file>

<file path=xl/sharedStrings.xml><?xml version="1.0" encoding="utf-8"?>
<sst xmlns="http://schemas.openxmlformats.org/spreadsheetml/2006/main" count="291" uniqueCount="197">
  <si>
    <t>Avista Utilities</t>
  </si>
  <si>
    <t>AVISTA UTILITIES</t>
  </si>
  <si>
    <t>Natural Gas Decoupling Mechanism</t>
  </si>
  <si>
    <t>REVENUE CONVERSION FACTOR</t>
  </si>
  <si>
    <t>Development of Decoupled Revenue by Rate Schedule - Natural Gas</t>
  </si>
  <si>
    <t>WASHINGTON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</si>
  <si>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</si>
  <si>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</si>
  <si>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</si>
  <si>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</si>
  <si>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</si>
  <si>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</si>
  <si>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</si>
  <si>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</si>
  <si>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SCHEDULE 101/102</t>
  </si>
  <si>
    <t>SCH. 111/112/116</t>
  </si>
  <si>
    <t>SCH. 121/122/126</t>
  </si>
  <si>
    <t>SCH 131</t>
  </si>
  <si>
    <t>146 &amp; 148</t>
  </si>
  <si>
    <t xml:space="preserve">Line </t>
  </si>
  <si>
    <t>No.</t>
  </si>
  <si>
    <t>Description</t>
  </si>
  <si>
    <t>Factor</t>
  </si>
  <si>
    <t>Revenues</t>
  </si>
  <si>
    <t>Expense:</t>
  </si>
  <si>
    <t>Schedule 150 PGA Rates excluded from base rates</t>
  </si>
  <si>
    <t xml:space="preserve">  Uncollectibles  </t>
  </si>
  <si>
    <t>Variable Gas Supply Revenue</t>
  </si>
  <si>
    <t xml:space="preserve">  Commission Fees </t>
  </si>
  <si>
    <t>Delivery Revenue  (Ln 3 - Ln 6)</t>
  </si>
  <si>
    <t xml:space="preserve">  Washington Excise Tax  </t>
  </si>
  <si>
    <t xml:space="preserve">    Total Expense</t>
  </si>
  <si>
    <t>Basic Charge Revenue (Ln 8 * Ln 9)</t>
  </si>
  <si>
    <t>Excluded From Decoupling</t>
  </si>
  <si>
    <t>Net Operating Income Before FIT</t>
  </si>
  <si>
    <t>Decoupled Revenue</t>
  </si>
  <si>
    <t xml:space="preserve">  Federal Income Tax @ 21%</t>
  </si>
  <si>
    <t>Residential</t>
  </si>
  <si>
    <t>Non-Residential Group</t>
  </si>
  <si>
    <t>Average Number of Customers (Line 8 / 12)</t>
  </si>
  <si>
    <t>Annual Therms</t>
  </si>
  <si>
    <t>Basic Charge Revenues</t>
  </si>
  <si>
    <t>(Per Order No. 6; UE-120437, dated 6/20/2012 - "hard" CF rounded to 6 digits)</t>
  </si>
  <si>
    <t>Customer Bills</t>
  </si>
  <si>
    <t>Average Basic Charge</t>
  </si>
  <si>
    <t>Attachment 5, Page 4</t>
  </si>
  <si>
    <t>Attachment 5, Page 1</t>
  </si>
  <si>
    <t>check calculations - DO NOT PRINT</t>
  </si>
  <si>
    <t>avg decoupled rev/th</t>
  </si>
  <si>
    <t>check to avg rates</t>
  </si>
  <si>
    <t>Development of Decoupled Revenue Per Customer - Natural Gas</t>
  </si>
  <si>
    <t>Line No.</t>
  </si>
  <si>
    <t>Source</t>
  </si>
  <si>
    <t>Residential Schedules*</t>
  </si>
  <si>
    <t>Non-Residential Schedules**</t>
  </si>
  <si>
    <t>(a)</t>
  </si>
  <si>
    <t>(b)</t>
  </si>
  <si>
    <t>(c)</t>
  </si>
  <si>
    <t>(d)</t>
  </si>
  <si>
    <t>Decoupled Revenues</t>
  </si>
  <si>
    <t>Revenue Data</t>
  </si>
  <si>
    <t>Decoupled Revenue Per Customer</t>
  </si>
  <si>
    <t xml:space="preserve">*Rate Schedules 101, 102.  </t>
  </si>
  <si>
    <t xml:space="preserve">**Rate Schedules 111, 112, 116, 121, 122, 126, 131.  </t>
  </si>
  <si>
    <t>Attachment 5, Page 2</t>
  </si>
  <si>
    <t>From Revenue Per Customer</t>
  </si>
  <si>
    <t>From Basic Charges</t>
  </si>
  <si>
    <t>From Gas Supply</t>
  </si>
  <si>
    <t>Total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</si>
  <si>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</si>
  <si>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</si>
  <si>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</si>
  <si>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</si>
  <si>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</si>
  <si>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</si>
  <si>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</si>
  <si>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</si>
  <si>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</si>
  <si>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</si>
  <si>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</si>
  <si>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</si>
  <si>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</si>
  <si>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</si>
  <si>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</si>
  <si>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</si>
  <si>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</si>
  <si>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</si>
  <si>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</si>
  <si>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</si>
  <si>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</si>
  <si>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</si>
  <si>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</si>
  <si>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</si>
  <si>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Natural Gas Delivery Volume</t>
  </si>
  <si>
    <t>Residential*</t>
  </si>
  <si>
    <t xml:space="preserve"> - Weather-Normalized Therm Delivery Volume</t>
  </si>
  <si>
    <t>Monthly Rate Year</t>
  </si>
  <si>
    <t xml:space="preserve">  - % of Annual Total</t>
  </si>
  <si>
    <t>% of Total</t>
  </si>
  <si>
    <t>Non-Residential**</t>
  </si>
  <si>
    <t>Monthly Decoupled Revenue Per Customer ("RPC")</t>
  </si>
  <si>
    <t>Attachment 5, P. 2 L. 3</t>
  </si>
  <si>
    <t xml:space="preserve">  -Monthly Decoupled RPC</t>
  </si>
  <si>
    <t>Attachment 5, Page 3</t>
  </si>
  <si>
    <t>Normalized Usage by Month</t>
  </si>
  <si>
    <t>WASHINGTON GAS SYSTEM</t>
  </si>
  <si>
    <t>Annual Total</t>
  </si>
  <si>
    <t>Revenue Run Billed Usage</t>
  </si>
  <si>
    <t>Small Service Schedule 101/102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</si>
  <si>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</si>
  <si>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</si>
  <si>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</si>
  <si>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</si>
  <si>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</si>
  <si>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</si>
  <si>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</si>
  <si>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</si>
  <si>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</si>
  <si>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</si>
  <si>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</si>
  <si>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</si>
  <si>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101/102 Customers</t>
  </si>
  <si>
    <t>101/102</t>
  </si>
  <si>
    <t>Schedule 101 Norm Use/Customer</t>
  </si>
  <si>
    <t>Schedule 132 Usage</t>
  </si>
  <si>
    <t>111/112</t>
  </si>
  <si>
    <t>Schedule 132 Customers</t>
  </si>
  <si>
    <t>121/122</t>
  </si>
  <si>
    <t>Non-Residential Group Usage</t>
  </si>
  <si>
    <t>131/132</t>
  </si>
  <si>
    <t>Non-Residential Group Customers</t>
  </si>
  <si>
    <t>Sum</t>
  </si>
  <si>
    <t>Non-Residential Group Norm Use/Customer</t>
  </si>
  <si>
    <t>112/122/132</t>
  </si>
  <si>
    <t>Non-Res Group</t>
  </si>
  <si>
    <t>WA Jurisdiction % of Annual Usage</t>
  </si>
  <si>
    <t>Schedule 122</t>
  </si>
  <si>
    <t>Schedule 111/112 Customers</t>
  </si>
  <si>
    <t>Schedule 121/122 Customers</t>
  </si>
  <si>
    <t>Schedule Shifting 121 to 146</t>
  </si>
  <si>
    <t>Schedlule 131/132 Customers</t>
  </si>
  <si>
    <t>Washington Docket No. UG-19____  2018 Test Year at Present Rates</t>
  </si>
  <si>
    <t>Total Normalized 12 ME Dec 2018 Revenue</t>
  </si>
  <si>
    <t>Normalized Therms (12ME Dec 2018 Test Year)</t>
  </si>
  <si>
    <t>Proposed Revenue Decrease (Attachment 2)</t>
  </si>
  <si>
    <t>Customer Bills (12ME Dec 2018 Test Year)</t>
  </si>
  <si>
    <t xml:space="preserve"> Present Basic / Minimum Charges</t>
  </si>
  <si>
    <t>Present Base Rate Revenue</t>
  </si>
  <si>
    <t>Test Year # of Customers 12 ME 12.2018</t>
  </si>
  <si>
    <t xml:space="preserve">  -UG-19____ Decoupled RPC</t>
  </si>
  <si>
    <t>WUTC Docket No. UG-19____</t>
  </si>
  <si>
    <t>Twelve Months Ended December 31, 2018</t>
  </si>
  <si>
    <t>Large Service Schedule 111/112/116</t>
  </si>
  <si>
    <t>Extra Large Service Schedule 121/122/126</t>
  </si>
  <si>
    <t>Schedule 121/122/126 Adjustments</t>
  </si>
  <si>
    <t>TWELVE MONTHS ENDED DECEMBER 31, 2018</t>
  </si>
  <si>
    <t>Miller wp</t>
  </si>
  <si>
    <t>Open</t>
  </si>
  <si>
    <t>Schedule 111/112/116 Adjustments</t>
  </si>
  <si>
    <t xml:space="preserve">Decoupled Revenue Comparison </t>
  </si>
  <si>
    <t>12 ME December 2016 Test Year</t>
  </si>
  <si>
    <t>UG-170486 Allowed Base</t>
  </si>
  <si>
    <t>Natural Gas Service</t>
  </si>
  <si>
    <t>Revenue at Present Rates</t>
  </si>
  <si>
    <t>Usage</t>
  </si>
  <si>
    <t>Fixed Charge per Bill</t>
  </si>
  <si>
    <t>PGA Sch 150 Rate</t>
  </si>
  <si>
    <t>Decoupled Gas Cost Revenue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</si>
  <si>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</si>
  <si>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</si>
  <si>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</si>
  <si>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</si>
  <si>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</si>
  <si>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</si>
  <si>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UG-170486 Base</t>
  </si>
  <si>
    <t>Allowed Decoupled Revenues</t>
  </si>
  <si>
    <t>Decoupling Revenue Adjustment</t>
  </si>
  <si>
    <t>Non-Residential</t>
  </si>
  <si>
    <t>Average Customers</t>
  </si>
  <si>
    <t>Total Revenue with Decoupling excl Gas Cost</t>
  </si>
  <si>
    <t>Test Year Annual Decoupled Revenue per Customer</t>
  </si>
  <si>
    <t>change</t>
  </si>
  <si>
    <t>$ per cust</t>
  </si>
  <si>
    <t>est decoupled revenue impact</t>
  </si>
  <si>
    <t>Not Decoupled</t>
  </si>
  <si>
    <t>Average Rate per Therm</t>
  </si>
  <si>
    <t>Change in Fixed Cost Revenue</t>
  </si>
  <si>
    <t>Change in Allowed Decoupled Revenue</t>
  </si>
  <si>
    <t>Change in Revenue Not Subject to Decoupling</t>
  </si>
  <si>
    <t xml:space="preserve">     Total Change in Base Rate Revenue</t>
  </si>
  <si>
    <t>12 ME December 2018 Test Year</t>
  </si>
  <si>
    <t>UG-19____ Proposed Base at Present Rates</t>
  </si>
  <si>
    <t>UG-19____ Base</t>
  </si>
  <si>
    <t>UG-170486 Allowed Annual Decoupled Revenue per Customer</t>
  </si>
  <si>
    <t>UG-170486 Allowed Decoupled Revenues</t>
  </si>
  <si>
    <t>Revenue Requirement Otherwise Decoupled</t>
  </si>
  <si>
    <t>UG-170486 Decoupled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</si>
</sst>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[$-409]mmm\-yy;@"/>
    <numFmt numFmtId="169" formatCode="0.0%"/>
    <numFmt numFmtId="170" formatCode="&quot;$&quot;#,##0.00"/>
    <numFmt numFmtId="171" formatCode="&quot;$&quot;#,##0"/>
    <numFmt numFmtId="172" formatCode="&quot;$&quot;#,##0.00000"/>
    <numFmt numFmtId="173" formatCode="_(&quot;$&quot;* #,##0.000000_);_(&quot;$&quot;* \(#,##0.0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4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9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2" fillId="0" borderId="0"/>
    <xf numFmtId="0" fontId="19" fillId="3" borderId="2" applyNumberFormat="0">
      <alignment horizontal="center" vertical="center" wrapText="1"/>
    </xf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3" borderId="2" applyNumberFormat="0">
      <alignment horizontal="center" vertical="center" wrapTex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4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0" fontId="6" fillId="2" borderId="1" xfId="0" applyFont="1" applyFill="1" applyBorder="1"/>
    <xf numFmtId="0" fontId="0" fillId="2" borderId="0" xfId="0" applyFill="1" applyBorder="1"/>
    <xf numFmtId="165" fontId="6" fillId="2" borderId="0" xfId="2" applyNumberFormat="1" applyFont="1" applyFill="1"/>
    <xf numFmtId="165" fontId="6" fillId="0" borderId="0" xfId="2" applyNumberFormat="1" applyFont="1" applyFill="1"/>
    <xf numFmtId="165" fontId="6" fillId="0" borderId="1" xfId="2" applyNumberFormat="1" applyFont="1" applyFill="1" applyBorder="1"/>
    <xf numFmtId="165" fontId="6" fillId="0" borderId="0" xfId="2" applyNumberFormat="1" applyFont="1" applyFill="1" applyBorder="1"/>
    <xf numFmtId="165" fontId="0" fillId="0" borderId="0" xfId="2" applyNumberFormat="1" applyFont="1"/>
    <xf numFmtId="0" fontId="8" fillId="0" borderId="2" xfId="0" applyFont="1" applyBorder="1" applyAlignment="1">
      <alignment horizontal="center"/>
    </xf>
    <xf numFmtId="0" fontId="11" fillId="2" borderId="0" xfId="0" applyFont="1" applyFill="1"/>
    <xf numFmtId="165" fontId="6" fillId="2" borderId="0" xfId="0" applyNumberFormat="1" applyFont="1" applyFill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0" fontId="9" fillId="0" borderId="0" xfId="0" applyFont="1" applyAlignment="1">
      <alignment horizontal="center"/>
    </xf>
    <xf numFmtId="166" fontId="6" fillId="2" borderId="0" xfId="0" applyNumberFormat="1" applyFont="1" applyFill="1"/>
    <xf numFmtId="166" fontId="6" fillId="2" borderId="0" xfId="1" applyNumberFormat="1" applyFont="1" applyFill="1"/>
    <xf numFmtId="166" fontId="6" fillId="2" borderId="1" xfId="1" applyNumberFormat="1" applyFont="1" applyFill="1" applyBorder="1"/>
    <xf numFmtId="166" fontId="6" fillId="2" borderId="0" xfId="1" applyNumberFormat="1" applyFont="1" applyFill="1" applyBorder="1"/>
    <xf numFmtId="166" fontId="0" fillId="0" borderId="0" xfId="1" applyNumberFormat="1" applyFont="1"/>
    <xf numFmtId="0" fontId="6" fillId="0" borderId="0" xfId="0" applyFont="1" applyFill="1"/>
    <xf numFmtId="167" fontId="6" fillId="0" borderId="0" xfId="2" applyNumberFormat="1" applyFont="1" applyFill="1"/>
    <xf numFmtId="0" fontId="0" fillId="0" borderId="1" xfId="0" applyBorder="1"/>
    <xf numFmtId="0" fontId="0" fillId="0" borderId="0" xfId="0" applyBorder="1"/>
    <xf numFmtId="167" fontId="0" fillId="0" borderId="0" xfId="0" applyNumberFormat="1"/>
    <xf numFmtId="164" fontId="9" fillId="0" borderId="0" xfId="5" applyNumberFormat="1" applyFont="1"/>
    <xf numFmtId="164" fontId="13" fillId="0" borderId="0" xfId="5" applyNumberFormat="1" applyFont="1"/>
    <xf numFmtId="165" fontId="0" fillId="0" borderId="0" xfId="0" applyNumberFormat="1"/>
    <xf numFmtId="37" fontId="6" fillId="2" borderId="0" xfId="0" applyNumberFormat="1" applyFont="1" applyFill="1"/>
    <xf numFmtId="164" fontId="14" fillId="0" borderId="0" xfId="0" applyNumberFormat="1" applyFont="1"/>
    <xf numFmtId="7" fontId="6" fillId="0" borderId="0" xfId="2" applyNumberFormat="1" applyFont="1" applyFill="1"/>
    <xf numFmtId="7" fontId="6" fillId="0" borderId="0" xfId="2" applyNumberFormat="1" applyFont="1" applyFill="1" applyAlignment="1">
      <alignment horizontal="center"/>
    </xf>
    <xf numFmtId="165" fontId="6" fillId="2" borderId="1" xfId="2" applyNumberFormat="1" applyFont="1" applyFill="1" applyBorder="1" applyAlignment="1">
      <alignment horizontal="center"/>
    </xf>
    <xf numFmtId="44" fontId="0" fillId="0" borderId="0" xfId="0" applyNumberFormat="1"/>
    <xf numFmtId="164" fontId="9" fillId="0" borderId="4" xfId="0" applyNumberFormat="1" applyFont="1" applyBorder="1"/>
    <xf numFmtId="165" fontId="6" fillId="2" borderId="0" xfId="2" applyNumberFormat="1" applyFont="1" applyFill="1" applyAlignment="1">
      <alignment horizontal="center"/>
    </xf>
    <xf numFmtId="0" fontId="6" fillId="0" borderId="0" xfId="0" applyFont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0" fontId="13" fillId="0" borderId="0" xfId="0" applyNumberFormat="1" applyFont="1"/>
    <xf numFmtId="0" fontId="6" fillId="2" borderId="0" xfId="0" applyFont="1" applyFill="1" applyAlignment="1">
      <alignment horizontal="center"/>
    </xf>
    <xf numFmtId="0" fontId="15" fillId="0" borderId="0" xfId="0" applyFont="1"/>
    <xf numFmtId="164" fontId="16" fillId="0" borderId="0" xfId="0" applyNumberFormat="1" applyFont="1"/>
    <xf numFmtId="7" fontId="6" fillId="2" borderId="0" xfId="2" applyNumberFormat="1" applyFont="1" applyFill="1"/>
    <xf numFmtId="0" fontId="17" fillId="0" borderId="0" xfId="0" applyFont="1"/>
    <xf numFmtId="0" fontId="18" fillId="0" borderId="0" xfId="0" applyFont="1"/>
    <xf numFmtId="0" fontId="6" fillId="2" borderId="0" xfId="4" applyFont="1" applyFill="1"/>
    <xf numFmtId="0" fontId="6" fillId="2" borderId="2" xfId="4" applyFont="1" applyFill="1" applyBorder="1"/>
    <xf numFmtId="0" fontId="6" fillId="2" borderId="0" xfId="4" applyFont="1" applyFill="1" applyAlignment="1">
      <alignment horizontal="center"/>
    </xf>
    <xf numFmtId="0" fontId="6" fillId="2" borderId="0" xfId="4" applyFont="1" applyFill="1" applyAlignment="1">
      <alignment horizontal="left"/>
    </xf>
    <xf numFmtId="165" fontId="6" fillId="2" borderId="0" xfId="7" applyNumberFormat="1" applyFont="1" applyFill="1"/>
    <xf numFmtId="166" fontId="6" fillId="2" borderId="0" xfId="8" applyNumberFormat="1" applyFont="1" applyFill="1" applyBorder="1"/>
    <xf numFmtId="44" fontId="6" fillId="2" borderId="0" xfId="7" applyNumberFormat="1" applyFont="1" applyFill="1"/>
    <xf numFmtId="0" fontId="6" fillId="2" borderId="0" xfId="4" quotePrefix="1" applyFont="1" applyFill="1" applyAlignment="1">
      <alignment horizontal="left"/>
    </xf>
    <xf numFmtId="165" fontId="6" fillId="2" borderId="0" xfId="4" applyNumberFormat="1" applyFont="1" applyFill="1"/>
    <xf numFmtId="0" fontId="6" fillId="0" borderId="0" xfId="0" applyFont="1" applyAlignment="1">
      <alignment horizontal="right"/>
    </xf>
    <xf numFmtId="165" fontId="6" fillId="0" borderId="0" xfId="2" applyNumberFormat="1" applyFont="1"/>
    <xf numFmtId="165" fontId="6" fillId="0" borderId="5" xfId="2" applyNumberFormat="1" applyFont="1" applyBorder="1"/>
    <xf numFmtId="0" fontId="21" fillId="2" borderId="0" xfId="4" applyFont="1" applyFill="1"/>
    <xf numFmtId="0" fontId="21" fillId="2" borderId="0" xfId="4" applyFont="1" applyFill="1" applyAlignment="1">
      <alignment horizontal="center"/>
    </xf>
    <xf numFmtId="41" fontId="10" fillId="2" borderId="2" xfId="9" applyNumberFormat="1" applyFont="1" applyFill="1" applyBorder="1">
      <alignment horizontal="center" vertical="center" wrapText="1"/>
    </xf>
    <xf numFmtId="0" fontId="21" fillId="2" borderId="2" xfId="4" applyFont="1" applyFill="1" applyBorder="1"/>
    <xf numFmtId="41" fontId="10" fillId="2" borderId="2" xfId="9" applyNumberFormat="1" applyFont="1" applyFill="1" applyBorder="1" applyAlignment="1">
      <alignment horizontal="center" vertical="center" wrapText="1"/>
    </xf>
    <xf numFmtId="168" fontId="10" fillId="2" borderId="2" xfId="9" applyNumberFormat="1" applyFont="1" applyFill="1" applyBorder="1">
      <alignment horizontal="center" vertical="center" wrapText="1"/>
    </xf>
    <xf numFmtId="0" fontId="22" fillId="2" borderId="0" xfId="4" applyFont="1" applyFill="1" applyAlignment="1">
      <alignment horizontal="left"/>
    </xf>
    <xf numFmtId="0" fontId="23" fillId="2" borderId="0" xfId="4" applyFont="1" applyFill="1"/>
    <xf numFmtId="165" fontId="21" fillId="2" borderId="0" xfId="7" applyNumberFormat="1" applyFont="1" applyFill="1"/>
    <xf numFmtId="3" fontId="21" fillId="2" borderId="0" xfId="4" applyNumberFormat="1" applyFont="1" applyFill="1"/>
    <xf numFmtId="0" fontId="24" fillId="2" borderId="0" xfId="4" applyFont="1" applyFill="1"/>
    <xf numFmtId="0" fontId="21" fillId="2" borderId="0" xfId="4" quotePrefix="1" applyFont="1" applyFill="1" applyAlignment="1">
      <alignment horizontal="left"/>
    </xf>
    <xf numFmtId="166" fontId="25" fillId="0" borderId="0" xfId="0" applyNumberFormat="1" applyFont="1"/>
    <xf numFmtId="3" fontId="9" fillId="2" borderId="0" xfId="4" applyNumberFormat="1" applyFont="1" applyFill="1"/>
    <xf numFmtId="0" fontId="9" fillId="2" borderId="0" xfId="4" quotePrefix="1" applyFont="1" applyFill="1" applyAlignment="1">
      <alignment horizontal="center"/>
    </xf>
    <xf numFmtId="10" fontId="9" fillId="2" borderId="0" xfId="10" applyNumberFormat="1" applyFont="1" applyFill="1"/>
    <xf numFmtId="0" fontId="9" fillId="2" borderId="0" xfId="4" applyFont="1" applyFill="1" applyAlignment="1">
      <alignment horizontal="center"/>
    </xf>
    <xf numFmtId="0" fontId="9" fillId="2" borderId="0" xfId="4" applyFont="1" applyFill="1"/>
    <xf numFmtId="10" fontId="21" fillId="2" borderId="0" xfId="10" applyNumberFormat="1" applyFont="1" applyFill="1"/>
    <xf numFmtId="44" fontId="21" fillId="2" borderId="0" xfId="11" applyFont="1" applyFill="1" applyAlignment="1">
      <alignment horizontal="center"/>
    </xf>
    <xf numFmtId="44" fontId="21" fillId="2" borderId="0" xfId="4" applyNumberFormat="1" applyFont="1" applyFill="1"/>
    <xf numFmtId="166" fontId="21" fillId="2" borderId="0" xfId="8" applyNumberFormat="1" applyFont="1" applyFill="1" applyAlignment="1">
      <alignment horizontal="center"/>
    </xf>
    <xf numFmtId="0" fontId="25" fillId="0" borderId="0" xfId="0" applyFont="1"/>
    <xf numFmtId="0" fontId="26" fillId="0" borderId="0" xfId="0" applyFont="1" applyFill="1" applyBorder="1"/>
    <xf numFmtId="17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6" fontId="26" fillId="0" borderId="0" xfId="1" applyNumberFormat="1" applyFont="1" applyFill="1" applyBorder="1"/>
    <xf numFmtId="166" fontId="26" fillId="0" borderId="0" xfId="0" applyNumberFormat="1" applyFont="1" applyFill="1" applyBorder="1"/>
    <xf numFmtId="166" fontId="26" fillId="0" borderId="5" xfId="1" applyNumberFormat="1" applyFont="1" applyFill="1" applyBorder="1"/>
    <xf numFmtId="166" fontId="26" fillId="0" borderId="5" xfId="0" applyNumberFormat="1" applyFont="1" applyFill="1" applyBorder="1"/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5" xfId="0" applyNumberFormat="1" applyBorder="1"/>
    <xf numFmtId="169" fontId="26" fillId="0" borderId="0" xfId="3" applyNumberFormat="1" applyFont="1" applyFill="1" applyBorder="1"/>
    <xf numFmtId="169" fontId="26" fillId="0" borderId="0" xfId="0" applyNumberFormat="1" applyFont="1" applyFill="1" applyBorder="1"/>
    <xf numFmtId="0" fontId="20" fillId="2" borderId="0" xfId="4" applyFont="1" applyFill="1" applyAlignment="1">
      <alignment horizontal="center"/>
    </xf>
    <xf numFmtId="0" fontId="20" fillId="2" borderId="0" xfId="4" quotePrefix="1" applyFont="1" applyFill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20" fillId="2" borderId="0" xfId="4" applyFont="1" applyFill="1" applyAlignment="1">
      <alignment horizontal="left"/>
    </xf>
    <xf numFmtId="0" fontId="20" fillId="2" borderId="0" xfId="4" quotePrefix="1" applyFont="1" applyFill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41" fontId="3" fillId="2" borderId="2" xfId="6" applyNumberFormat="1" applyFont="1" applyFill="1" applyBorder="1" applyAlignment="1">
      <alignment horizontal="center" vertical="top" wrapText="1"/>
    </xf>
    <xf numFmtId="41" fontId="3" fillId="2" borderId="2" xfId="6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6" xfId="0" applyFont="1" applyBorder="1"/>
    <xf numFmtId="5" fontId="6" fillId="0" borderId="0" xfId="0" applyNumberFormat="1" applyFont="1"/>
    <xf numFmtId="5" fontId="6" fillId="0" borderId="0" xfId="1" applyNumberFormat="1" applyFont="1"/>
    <xf numFmtId="5" fontId="6" fillId="0" borderId="1" xfId="1" applyNumberFormat="1" applyFont="1" applyBorder="1"/>
    <xf numFmtId="166" fontId="6" fillId="0" borderId="0" xfId="0" applyNumberFormat="1" applyFont="1"/>
    <xf numFmtId="166" fontId="6" fillId="0" borderId="0" xfId="1" applyNumberFormat="1" applyFont="1"/>
    <xf numFmtId="166" fontId="6" fillId="0" borderId="1" xfId="1" applyNumberFormat="1" applyFont="1" applyBorder="1"/>
    <xf numFmtId="170" fontId="6" fillId="0" borderId="0" xfId="2" applyNumberFormat="1" applyFont="1"/>
    <xf numFmtId="170" fontId="6" fillId="0" borderId="1" xfId="2" applyNumberFormat="1" applyFont="1" applyBorder="1"/>
    <xf numFmtId="171" fontId="6" fillId="0" borderId="0" xfId="2" applyNumberFormat="1" applyFont="1"/>
    <xf numFmtId="172" fontId="6" fillId="2" borderId="0" xfId="0" applyNumberFormat="1" applyFont="1" applyFill="1"/>
    <xf numFmtId="5" fontId="6" fillId="0" borderId="5" xfId="0" applyNumberFormat="1" applyFont="1" applyBorder="1"/>
    <xf numFmtId="5" fontId="6" fillId="0" borderId="5" xfId="1" applyNumberFormat="1" applyFont="1" applyBorder="1"/>
    <xf numFmtId="5" fontId="6" fillId="0" borderId="6" xfId="1" applyNumberFormat="1" applyFont="1" applyBorder="1"/>
    <xf numFmtId="5" fontId="6" fillId="0" borderId="0" xfId="0" applyNumberFormat="1" applyFont="1" applyBorder="1"/>
    <xf numFmtId="5" fontId="6" fillId="0" borderId="0" xfId="1" applyNumberFormat="1" applyFont="1" applyBorder="1"/>
    <xf numFmtId="7" fontId="6" fillId="0" borderId="0" xfId="1" applyNumberFormat="1" applyFont="1"/>
    <xf numFmtId="5" fontId="5" fillId="0" borderId="0" xfId="1" applyNumberFormat="1" applyFont="1" applyAlignment="1">
      <alignment horizontal="right"/>
    </xf>
    <xf numFmtId="5" fontId="6" fillId="0" borderId="0" xfId="1" applyNumberFormat="1" applyFont="1" applyAlignment="1">
      <alignment horizontal="center"/>
    </xf>
    <xf numFmtId="5" fontId="5" fillId="0" borderId="0" xfId="1" applyNumberFormat="1" applyFont="1" applyAlignment="1">
      <alignment horizontal="center"/>
    </xf>
    <xf numFmtId="173" fontId="6" fillId="0" borderId="0" xfId="2" applyNumberFormat="1" applyFont="1"/>
    <xf numFmtId="0" fontId="5" fillId="0" borderId="0" xfId="0" applyFont="1"/>
    <xf numFmtId="165" fontId="30" fillId="4" borderId="0" xfId="0" applyNumberFormat="1" applyFont="1" applyFill="1" applyBorder="1"/>
    <xf numFmtId="165" fontId="30" fillId="4" borderId="1" xfId="0" applyNumberFormat="1" applyFont="1" applyFill="1" applyBorder="1"/>
    <xf numFmtId="166" fontId="30" fillId="4" borderId="0" xfId="1" applyNumberFormat="1" applyFont="1" applyFill="1" applyBorder="1"/>
    <xf numFmtId="166" fontId="30" fillId="4" borderId="1" xfId="1" applyNumberFormat="1" applyFont="1" applyFill="1" applyBorder="1"/>
    <xf numFmtId="37" fontId="30" fillId="4" borderId="0" xfId="0" applyNumberFormat="1" applyFont="1" applyFill="1" applyBorder="1"/>
    <xf numFmtId="170" fontId="6" fillId="0" borderId="0" xfId="2" applyNumberFormat="1" applyFont="1" applyFill="1"/>
    <xf numFmtId="170" fontId="6" fillId="0" borderId="1" xfId="2" applyNumberFormat="1" applyFont="1" applyFill="1" applyBorder="1"/>
    <xf numFmtId="171" fontId="6" fillId="0" borderId="0" xfId="2" applyNumberFormat="1" applyFont="1" applyFill="1"/>
    <xf numFmtId="5" fontId="6" fillId="0" borderId="0" xfId="1" applyNumberFormat="1" applyFont="1" applyFill="1"/>
    <xf numFmtId="5" fontId="6" fillId="0" borderId="1" xfId="1" applyNumberFormat="1" applyFont="1" applyFill="1" applyBorder="1"/>
    <xf numFmtId="5" fontId="6" fillId="0" borderId="5" xfId="1" applyNumberFormat="1" applyFont="1" applyFill="1" applyBorder="1"/>
    <xf numFmtId="5" fontId="6" fillId="0" borderId="6" xfId="1" applyNumberFormat="1" applyFont="1" applyFill="1" applyBorder="1"/>
    <xf numFmtId="44" fontId="6" fillId="0" borderId="0" xfId="2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3" fontId="6" fillId="0" borderId="0" xfId="0" applyNumberFormat="1" applyFont="1"/>
    <xf numFmtId="173" fontId="0" fillId="0" borderId="0" xfId="0" applyNumberFormat="1"/>
  </cellXfs>
  <cellStyles count="12">
    <cellStyle name="Comma" xfId="1" builtinId="3"/>
    <cellStyle name="Comma 2" xfId="8"/>
    <cellStyle name="Currency" xfId="2" builtinId="4"/>
    <cellStyle name="Currency 2" xfId="11"/>
    <cellStyle name="Currency 2 2" xfId="7"/>
    <cellStyle name="Normal" xfId="0" builtinId="0"/>
    <cellStyle name="Normal 2" xfId="4"/>
    <cellStyle name="Normal 2 2" xfId="5"/>
    <cellStyle name="Percent" xfId="3" builtinId="5"/>
    <cellStyle name="Percent 2" xfId="10"/>
    <cellStyle name="Report Heading 2" xfId="6"/>
    <cellStyle name="Report Heading 3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"/>
  <sheetViews>
    <sheetView zoomScaleNormal="100" workbookViewId="0">
      <selection activeCell="AD39" sqref="AD39"/>
    </sheetView>
  </sheetViews>
  <sheetFormatPr defaultRowHeight="14.4" x14ac:dyDescent="0.3"/>
  <cols>
    <col min="1" max="1" width="7.33203125" customWidth="1"/>
    <col min="2" max="2" width="48.6640625" customWidth="1"/>
    <col min="3" max="3" width="19.44140625" customWidth="1"/>
    <col min="4" max="4" width="18.44140625" customWidth="1"/>
    <col min="5" max="5" width="19.44140625" customWidth="1"/>
    <col min="6" max="6" width="18.109375" customWidth="1"/>
    <col min="7" max="7" width="16.44140625" customWidth="1"/>
    <col min="8" max="8" width="14.44140625" customWidth="1"/>
    <col min="9" max="9" width="13.6640625" customWidth="1"/>
    <col min="10" max="10" width="11.77734375" customWidth="1"/>
    <col min="11" max="11" width="12" customWidth="1"/>
    <col min="12" max="12" width="11.88671875" customWidth="1"/>
    <col min="13" max="13" width="11.44140625" customWidth="1"/>
    <col min="14" max="14" width="12.5546875" customWidth="1"/>
    <col min="15" max="15" width="13.5546875" customWidth="1"/>
    <col min="16" max="16" width="7.33203125" customWidth="1"/>
    <col min="17" max="17" width="27.88671875" customWidth="1"/>
    <col min="18" max="18" width="18.109375" customWidth="1"/>
    <col min="19" max="21" width="11.44140625" bestFit="1" customWidth="1"/>
    <col min="22" max="25" width="11" bestFit="1" customWidth="1"/>
    <col min="26" max="26" width="11.44140625" customWidth="1"/>
    <col min="27" max="28" width="11" bestFit="1" customWidth="1"/>
    <col min="29" max="30" width="11.44140625" bestFit="1" customWidth="1"/>
    <col min="31" max="31" width="12" bestFit="1" customWidth="1"/>
    <col min="32" max="32" width="7.77734375" customWidth="1"/>
    <col min="33" max="33" width="16.33203125" customWidth="1"/>
  </cols>
  <sheetData>
    <row r="1" spans="1:31" ht="17.399999999999999" x14ac:dyDescent="0.3">
      <c r="B1" s="108"/>
      <c r="C1" s="108"/>
      <c r="D1" s="108"/>
      <c r="E1" s="108" t="s">
        <v>0</v>
      </c>
      <c r="F1" s="108"/>
      <c r="G1" s="108"/>
      <c r="H1" s="108"/>
      <c r="I1" s="108"/>
      <c r="P1" s="117" t="s">
        <v>0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17.399999999999999" x14ac:dyDescent="0.3">
      <c r="B2" s="108"/>
      <c r="C2" s="108"/>
      <c r="D2" s="108"/>
      <c r="E2" s="108" t="s">
        <v>2</v>
      </c>
      <c r="F2" s="108"/>
      <c r="G2" s="108"/>
      <c r="H2" s="108"/>
      <c r="I2" s="108"/>
      <c r="P2" s="117" t="str">
        <f>E2</f>
        <v>Natural Gas Decoupling Mechanism</v>
      </c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1" ht="17.399999999999999" x14ac:dyDescent="0.3">
      <c r="B3" s="109"/>
      <c r="C3" s="109"/>
      <c r="D3" s="109"/>
      <c r="E3" s="109" t="s">
        <v>4</v>
      </c>
      <c r="F3" s="109"/>
      <c r="G3" s="109"/>
      <c r="H3" s="109"/>
      <c r="I3" s="109"/>
      <c r="P3" s="118" t="s">
        <v>69</v>
      </c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ht="17.399999999999999" x14ac:dyDescent="0.3">
      <c r="B4" s="1"/>
      <c r="C4" s="1"/>
      <c r="D4" s="1"/>
      <c r="E4" s="1" t="s">
        <v>141</v>
      </c>
      <c r="F4" s="1"/>
      <c r="G4" s="1"/>
      <c r="H4" s="1"/>
      <c r="I4" s="1"/>
      <c r="P4" s="117" t="str">
        <f>E4</f>
        <v>Washington Docket No. UG-19____  2018 Test Year at Present Rates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5" spans="1:31" ht="15.6" x14ac:dyDescent="0.3">
      <c r="A5" s="1"/>
      <c r="B5" s="1"/>
      <c r="C5" s="1"/>
      <c r="D5" s="1"/>
      <c r="E5" s="1"/>
      <c r="F5" s="1"/>
      <c r="G5" s="1"/>
      <c r="H5" s="1"/>
      <c r="I5" s="1"/>
      <c r="P5" s="67"/>
      <c r="Q5" s="67"/>
      <c r="R5" s="68"/>
      <c r="S5" s="68"/>
      <c r="T5" s="68"/>
      <c r="U5" s="68"/>
      <c r="V5" s="68"/>
      <c r="W5" s="67"/>
      <c r="X5" s="67"/>
      <c r="Y5" s="67"/>
      <c r="Z5" s="67"/>
      <c r="AA5" s="67"/>
      <c r="AB5" s="67"/>
      <c r="AC5" s="67"/>
      <c r="AD5" s="67"/>
      <c r="AE5" s="67"/>
    </row>
    <row r="6" spans="1:31" ht="24.6" customHeight="1" x14ac:dyDescent="0.3">
      <c r="A6" s="2"/>
      <c r="B6" s="2"/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4" t="s">
        <v>11</v>
      </c>
      <c r="I6" s="3" t="s">
        <v>11</v>
      </c>
      <c r="K6" s="3" t="s">
        <v>12</v>
      </c>
      <c r="P6" s="69" t="s">
        <v>51</v>
      </c>
      <c r="Q6" s="70"/>
      <c r="R6" s="71" t="s">
        <v>52</v>
      </c>
      <c r="S6" s="72" t="s">
        <v>70</v>
      </c>
      <c r="T6" s="72" t="s">
        <v>71</v>
      </c>
      <c r="U6" s="72" t="s">
        <v>72</v>
      </c>
      <c r="V6" s="72" t="s">
        <v>73</v>
      </c>
      <c r="W6" s="72" t="s">
        <v>74</v>
      </c>
      <c r="X6" s="72" t="s">
        <v>75</v>
      </c>
      <c r="Y6" s="72" t="s">
        <v>76</v>
      </c>
      <c r="Z6" s="72" t="s">
        <v>77</v>
      </c>
      <c r="AA6" s="72" t="s">
        <v>78</v>
      </c>
      <c r="AB6" s="72" t="s">
        <v>79</v>
      </c>
      <c r="AC6" s="72" t="s">
        <v>80</v>
      </c>
      <c r="AD6" s="72" t="s">
        <v>81</v>
      </c>
      <c r="AE6" s="69" t="s">
        <v>13</v>
      </c>
    </row>
    <row r="7" spans="1:31" ht="15.6" x14ac:dyDescent="0.3">
      <c r="A7" s="2"/>
      <c r="B7" s="2"/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6">
        <v>132</v>
      </c>
      <c r="I7" s="5" t="s">
        <v>18</v>
      </c>
      <c r="K7" s="3">
        <v>132</v>
      </c>
      <c r="P7" s="67"/>
      <c r="Q7" s="68" t="s">
        <v>55</v>
      </c>
      <c r="R7" s="68" t="s">
        <v>56</v>
      </c>
      <c r="S7" s="68" t="s">
        <v>57</v>
      </c>
      <c r="T7" s="68" t="s">
        <v>58</v>
      </c>
      <c r="U7" s="68" t="s">
        <v>82</v>
      </c>
      <c r="V7" s="68" t="s">
        <v>83</v>
      </c>
      <c r="W7" s="68" t="s">
        <v>84</v>
      </c>
      <c r="X7" s="68" t="s">
        <v>85</v>
      </c>
      <c r="Y7" s="68" t="s">
        <v>86</v>
      </c>
      <c r="Z7" s="68" t="s">
        <v>87</v>
      </c>
      <c r="AA7" s="68" t="s">
        <v>88</v>
      </c>
      <c r="AB7" s="68" t="s">
        <v>89</v>
      </c>
      <c r="AC7" s="68" t="s">
        <v>90</v>
      </c>
      <c r="AD7" s="68" t="s">
        <v>91</v>
      </c>
      <c r="AE7" s="68" t="s">
        <v>92</v>
      </c>
    </row>
    <row r="8" spans="1:31" ht="15.6" x14ac:dyDescent="0.3">
      <c r="A8" s="2"/>
      <c r="B8" s="2"/>
      <c r="C8" s="2"/>
      <c r="D8" s="2"/>
      <c r="E8" s="2"/>
      <c r="F8" s="2"/>
      <c r="G8" s="2"/>
      <c r="H8" s="11"/>
      <c r="I8" s="12"/>
      <c r="P8" s="68">
        <v>1</v>
      </c>
      <c r="Q8" s="73"/>
      <c r="R8" s="68"/>
      <c r="S8" s="68"/>
      <c r="T8" s="68"/>
      <c r="U8" s="68"/>
      <c r="V8" s="68"/>
      <c r="W8" s="68"/>
      <c r="X8" s="68"/>
      <c r="Y8" s="67"/>
      <c r="Z8" s="67"/>
      <c r="AA8" s="67"/>
      <c r="AB8" s="67"/>
      <c r="AC8" s="67"/>
      <c r="AD8" s="67"/>
      <c r="AE8" s="67"/>
    </row>
    <row r="9" spans="1:31" ht="15.6" x14ac:dyDescent="0.3">
      <c r="A9" s="2">
        <v>1</v>
      </c>
      <c r="B9" s="2" t="s">
        <v>142</v>
      </c>
      <c r="C9" s="13">
        <f>SUM(D9:I9)</f>
        <v>93707000</v>
      </c>
      <c r="D9" s="14">
        <v>71132000</v>
      </c>
      <c r="E9" s="14">
        <v>17111000</v>
      </c>
      <c r="F9" s="14">
        <v>307000</v>
      </c>
      <c r="G9" s="14">
        <f>201000-K9</f>
        <v>0</v>
      </c>
      <c r="H9" s="15">
        <f>K9</f>
        <v>201000</v>
      </c>
      <c r="I9" s="16">
        <f>3236000+1720000</f>
        <v>4956000</v>
      </c>
      <c r="K9" s="17">
        <v>201000</v>
      </c>
      <c r="P9" s="68">
        <f t="shared" ref="P9:P28" si="0">P8+1</f>
        <v>2</v>
      </c>
      <c r="Q9" s="74" t="s">
        <v>93</v>
      </c>
      <c r="R9" s="68"/>
      <c r="S9" s="67"/>
      <c r="T9" s="67"/>
      <c r="U9" s="67"/>
      <c r="V9" s="67"/>
      <c r="W9" s="75"/>
      <c r="X9" s="75"/>
      <c r="Y9" s="67"/>
      <c r="Z9" s="67"/>
      <c r="AA9" s="67"/>
      <c r="AB9" s="67"/>
      <c r="AC9" s="67"/>
      <c r="AD9" s="67"/>
      <c r="AE9" s="76"/>
    </row>
    <row r="10" spans="1:31" ht="15.6" x14ac:dyDescent="0.3">
      <c r="A10" s="2">
        <v>2</v>
      </c>
      <c r="B10" s="19" t="s">
        <v>144</v>
      </c>
      <c r="C10" s="13">
        <f>SUM(D10:I10)</f>
        <v>0</v>
      </c>
      <c r="D10" s="14">
        <v>0</v>
      </c>
      <c r="E10" s="14">
        <v>0</v>
      </c>
      <c r="F10" s="14">
        <v>0</v>
      </c>
      <c r="G10" s="14">
        <f>0-K10</f>
        <v>0</v>
      </c>
      <c r="H10" s="15">
        <v>0</v>
      </c>
      <c r="I10" s="16">
        <v>0</v>
      </c>
      <c r="K10" s="17">
        <v>0</v>
      </c>
      <c r="P10" s="68">
        <f t="shared" si="0"/>
        <v>3</v>
      </c>
      <c r="Q10" s="77" t="s">
        <v>94</v>
      </c>
      <c r="R10" s="68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76"/>
    </row>
    <row r="11" spans="1:31" ht="15.6" x14ac:dyDescent="0.3">
      <c r="A11" s="2">
        <v>3</v>
      </c>
      <c r="B11" s="2" t="s">
        <v>147</v>
      </c>
      <c r="C11" s="13">
        <f>SUM(D11:I11)</f>
        <v>93707000</v>
      </c>
      <c r="D11" s="20">
        <f t="shared" ref="D11:I11" si="1">D9+D10</f>
        <v>71132000</v>
      </c>
      <c r="E11" s="20">
        <f t="shared" si="1"/>
        <v>17111000</v>
      </c>
      <c r="F11" s="20">
        <f t="shared" si="1"/>
        <v>307000</v>
      </c>
      <c r="G11" s="20">
        <f>G9+G10</f>
        <v>0</v>
      </c>
      <c r="H11" s="21">
        <f t="shared" si="1"/>
        <v>201000</v>
      </c>
      <c r="I11" s="22">
        <f t="shared" si="1"/>
        <v>4956000</v>
      </c>
      <c r="K11" s="17">
        <f>K9+K10</f>
        <v>201000</v>
      </c>
      <c r="P11" s="68">
        <f t="shared" si="0"/>
        <v>4</v>
      </c>
      <c r="Q11" s="78" t="s">
        <v>95</v>
      </c>
      <c r="R11" s="68" t="s">
        <v>96</v>
      </c>
      <c r="S11" s="79">
        <f>S80</f>
        <v>22749974.40532</v>
      </c>
      <c r="T11" s="79">
        <f t="shared" ref="T11:AD11" si="2">T80</f>
        <v>17283079.844430003</v>
      </c>
      <c r="U11" s="79">
        <f t="shared" si="2"/>
        <v>15602672.955779996</v>
      </c>
      <c r="V11" s="79">
        <f t="shared" si="2"/>
        <v>9757851.2954200003</v>
      </c>
      <c r="W11" s="79">
        <f t="shared" si="2"/>
        <v>5768556.9053499997</v>
      </c>
      <c r="X11" s="79">
        <f t="shared" si="2"/>
        <v>3089807.1433300003</v>
      </c>
      <c r="Y11" s="79">
        <f t="shared" si="2"/>
        <v>2296430.2068100004</v>
      </c>
      <c r="Z11" s="79">
        <f t="shared" si="2"/>
        <v>2216074.0266</v>
      </c>
      <c r="AA11" s="79">
        <f t="shared" si="2"/>
        <v>3080267.8390500001</v>
      </c>
      <c r="AB11" s="79">
        <f t="shared" si="2"/>
        <v>8570191.9442299996</v>
      </c>
      <c r="AC11" s="79">
        <f t="shared" si="2"/>
        <v>15967978.47535</v>
      </c>
      <c r="AD11" s="79">
        <f t="shared" si="2"/>
        <v>22603095.04854</v>
      </c>
      <c r="AE11" s="80">
        <f>SUM(S11:AD11)</f>
        <v>128985980.09021002</v>
      </c>
    </row>
    <row r="12" spans="1:31" ht="15.6" x14ac:dyDescent="0.3">
      <c r="A12" s="2"/>
      <c r="B12" s="2"/>
      <c r="C12" s="2"/>
      <c r="D12" s="2"/>
      <c r="E12" s="2"/>
      <c r="F12" s="2"/>
      <c r="G12" s="2"/>
      <c r="H12" s="11"/>
      <c r="I12" s="12"/>
      <c r="P12" s="68">
        <f t="shared" si="0"/>
        <v>5</v>
      </c>
      <c r="Q12" s="67" t="s">
        <v>97</v>
      </c>
      <c r="R12" s="81" t="s">
        <v>98</v>
      </c>
      <c r="S12" s="82">
        <f t="shared" ref="S12:AD12" si="3">S11/$AE11</f>
        <v>0.17637555949421135</v>
      </c>
      <c r="T12" s="82">
        <f t="shared" si="3"/>
        <v>0.13399192557472206</v>
      </c>
      <c r="U12" s="82">
        <f t="shared" si="3"/>
        <v>0.12096409970190421</v>
      </c>
      <c r="V12" s="82">
        <f t="shared" si="3"/>
        <v>7.5650479909487603E-2</v>
      </c>
      <c r="W12" s="82">
        <f t="shared" si="3"/>
        <v>4.4722355881744627E-2</v>
      </c>
      <c r="X12" s="82">
        <f t="shared" si="3"/>
        <v>2.39545967799683E-2</v>
      </c>
      <c r="Y12" s="82">
        <f t="shared" si="3"/>
        <v>1.7803719483341727E-2</v>
      </c>
      <c r="Z12" s="82">
        <f t="shared" si="3"/>
        <v>1.7180735650883339E-2</v>
      </c>
      <c r="AA12" s="82">
        <f t="shared" si="3"/>
        <v>2.3880640647113174E-2</v>
      </c>
      <c r="AB12" s="82">
        <f t="shared" si="3"/>
        <v>6.6442817570066079E-2</v>
      </c>
      <c r="AC12" s="82">
        <f t="shared" si="3"/>
        <v>0.12379623323544418</v>
      </c>
      <c r="AD12" s="82">
        <f t="shared" si="3"/>
        <v>0.17523683607111318</v>
      </c>
      <c r="AE12" s="82">
        <f>SUM(S12:AD12)</f>
        <v>0.99999999999999978</v>
      </c>
    </row>
    <row r="13" spans="1:31" ht="15.6" x14ac:dyDescent="0.3">
      <c r="A13" s="2">
        <v>4</v>
      </c>
      <c r="B13" s="2" t="s">
        <v>143</v>
      </c>
      <c r="C13" s="24">
        <f>SUM(D13:I13)</f>
        <v>275981665</v>
      </c>
      <c r="D13" s="25">
        <v>128985980</v>
      </c>
      <c r="E13" s="25">
        <v>54329806</v>
      </c>
      <c r="F13" s="25">
        <v>1555071</v>
      </c>
      <c r="G13" s="25">
        <f>985267-K13</f>
        <v>0</v>
      </c>
      <c r="H13" s="26">
        <f>K13</f>
        <v>985267</v>
      </c>
      <c r="I13" s="27">
        <f>35607936+43918147+10599458</f>
        <v>90125541</v>
      </c>
      <c r="K13" s="28">
        <v>985267</v>
      </c>
      <c r="P13" s="68">
        <f t="shared" si="0"/>
        <v>6</v>
      </c>
      <c r="Q13" s="67"/>
      <c r="R13" s="83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</row>
    <row r="14" spans="1:31" ht="15.6" x14ac:dyDescent="0.3">
      <c r="A14" s="2">
        <v>5</v>
      </c>
      <c r="B14" s="2" t="s">
        <v>25</v>
      </c>
      <c r="C14" s="29"/>
      <c r="D14" s="30">
        <v>0</v>
      </c>
      <c r="E14" s="30">
        <v>0</v>
      </c>
      <c r="F14" s="30">
        <v>0</v>
      </c>
      <c r="G14" s="30">
        <v>0</v>
      </c>
      <c r="H14" s="31"/>
      <c r="I14" s="32"/>
      <c r="K14" s="33">
        <f>G14</f>
        <v>0</v>
      </c>
      <c r="P14" s="68">
        <f t="shared" si="0"/>
        <v>7</v>
      </c>
      <c r="Q14" s="77" t="s">
        <v>99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</row>
    <row r="15" spans="1:31" ht="15.6" x14ac:dyDescent="0.3">
      <c r="A15" s="2">
        <v>6</v>
      </c>
      <c r="B15" s="2" t="s">
        <v>27</v>
      </c>
      <c r="C15" s="13">
        <f>SUM(D15:G15)</f>
        <v>0</v>
      </c>
      <c r="D15" s="13">
        <f>D13*D14</f>
        <v>0</v>
      </c>
      <c r="E15" s="13">
        <f>E13*E14</f>
        <v>0</v>
      </c>
      <c r="F15" s="13">
        <f>F13*F14</f>
        <v>0</v>
      </c>
      <c r="G15" s="13">
        <f>G13*G14</f>
        <v>0</v>
      </c>
      <c r="H15" s="31"/>
      <c r="I15" s="32"/>
      <c r="K15" s="17">
        <f>K13*K14</f>
        <v>0</v>
      </c>
      <c r="P15" s="68">
        <f t="shared" si="0"/>
        <v>8</v>
      </c>
      <c r="Q15" s="78" t="s">
        <v>95</v>
      </c>
      <c r="R15" s="68" t="s">
        <v>96</v>
      </c>
      <c r="S15" s="79">
        <f>S85</f>
        <v>7868879.8314100001</v>
      </c>
      <c r="T15" s="79">
        <f t="shared" ref="T15:AD15" si="4">T85</f>
        <v>7414470.7568700006</v>
      </c>
      <c r="U15" s="79">
        <f t="shared" si="4"/>
        <v>5947208.9858100004</v>
      </c>
      <c r="V15" s="79">
        <f t="shared" si="4"/>
        <v>4624106.7723699994</v>
      </c>
      <c r="W15" s="79">
        <f t="shared" si="4"/>
        <v>3350493.2149800006</v>
      </c>
      <c r="X15" s="79">
        <f t="shared" si="4"/>
        <v>2437871.6305</v>
      </c>
      <c r="Y15" s="79">
        <f t="shared" si="4"/>
        <v>1760019.38356</v>
      </c>
      <c r="Z15" s="79">
        <f t="shared" si="4"/>
        <v>1925464.61497</v>
      </c>
      <c r="AA15" s="79">
        <f t="shared" si="4"/>
        <v>2291323.42368</v>
      </c>
      <c r="AB15" s="79">
        <f t="shared" si="4"/>
        <v>4176692.7944399994</v>
      </c>
      <c r="AC15" s="79">
        <f t="shared" si="4"/>
        <v>6339582.8774500005</v>
      </c>
      <c r="AD15" s="79">
        <f t="shared" si="4"/>
        <v>7748762.6948600374</v>
      </c>
      <c r="AE15" s="80">
        <f>SUM(S15:AD15)</f>
        <v>55884876.980900034</v>
      </c>
    </row>
    <row r="16" spans="1:31" ht="15.6" x14ac:dyDescent="0.3">
      <c r="A16" s="2"/>
      <c r="B16" s="2"/>
      <c r="C16" s="2"/>
      <c r="D16" s="2"/>
      <c r="E16" s="2"/>
      <c r="F16" s="2"/>
      <c r="G16" s="2"/>
      <c r="H16" s="31"/>
      <c r="I16" s="32"/>
      <c r="P16" s="68">
        <f t="shared" si="0"/>
        <v>9</v>
      </c>
      <c r="Q16" s="67" t="s">
        <v>97</v>
      </c>
      <c r="R16" s="81" t="s">
        <v>98</v>
      </c>
      <c r="S16" s="85">
        <f t="shared" ref="S16:AD16" si="5">S15/$AE15</f>
        <v>0.14080517407418422</v>
      </c>
      <c r="T16" s="85">
        <f t="shared" si="5"/>
        <v>0.13267401052710681</v>
      </c>
      <c r="U16" s="85">
        <f t="shared" si="5"/>
        <v>0.10641893311928732</v>
      </c>
      <c r="V16" s="85">
        <f t="shared" si="5"/>
        <v>8.2743436546355756E-2</v>
      </c>
      <c r="W16" s="85">
        <f t="shared" si="5"/>
        <v>5.9953486452607029E-2</v>
      </c>
      <c r="X16" s="85">
        <f t="shared" si="5"/>
        <v>4.3623100956868881E-2</v>
      </c>
      <c r="Y16" s="85">
        <f t="shared" si="5"/>
        <v>3.1493661230774968E-2</v>
      </c>
      <c r="Z16" s="85">
        <f t="shared" si="5"/>
        <v>3.4454126393229291E-2</v>
      </c>
      <c r="AA16" s="85">
        <f t="shared" si="5"/>
        <v>4.1000777803682262E-2</v>
      </c>
      <c r="AB16" s="85">
        <f t="shared" si="5"/>
        <v>7.4737442758753533E-2</v>
      </c>
      <c r="AC16" s="85">
        <f t="shared" si="5"/>
        <v>0.11344004353121689</v>
      </c>
      <c r="AD16" s="85">
        <f t="shared" si="5"/>
        <v>0.1386558066059331</v>
      </c>
      <c r="AE16" s="85">
        <f>SUM(S16:AD16)</f>
        <v>1</v>
      </c>
    </row>
    <row r="17" spans="1:31" ht="15.6" x14ac:dyDescent="0.3">
      <c r="A17" s="2">
        <v>7</v>
      </c>
      <c r="B17" s="2" t="s">
        <v>29</v>
      </c>
      <c r="C17" s="13">
        <f>SUM(D17:G17)</f>
        <v>88550000</v>
      </c>
      <c r="D17" s="20">
        <f>D11-D15</f>
        <v>71132000</v>
      </c>
      <c r="E17" s="20">
        <f>E11-E15</f>
        <v>17111000</v>
      </c>
      <c r="F17" s="20">
        <f>F11-F15</f>
        <v>307000</v>
      </c>
      <c r="G17" s="20">
        <f>G11-G15</f>
        <v>0</v>
      </c>
      <c r="H17" s="21"/>
      <c r="I17" s="12"/>
      <c r="K17" s="36">
        <f>K11-K15</f>
        <v>201000</v>
      </c>
      <c r="P17" s="68">
        <f t="shared" si="0"/>
        <v>10</v>
      </c>
      <c r="Q17" s="67"/>
      <c r="R17" s="68"/>
      <c r="S17" s="85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6" x14ac:dyDescent="0.3">
      <c r="A18" s="2"/>
      <c r="B18" s="2"/>
      <c r="C18" s="2"/>
      <c r="D18" s="2"/>
      <c r="E18" s="2"/>
      <c r="F18" s="2"/>
      <c r="G18" s="2"/>
      <c r="H18" s="11"/>
      <c r="I18" s="12"/>
      <c r="P18" s="68">
        <f t="shared" si="0"/>
        <v>11</v>
      </c>
      <c r="Q18" s="74" t="s">
        <v>100</v>
      </c>
      <c r="R18" s="68"/>
      <c r="S18" s="85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6" x14ac:dyDescent="0.3">
      <c r="A19" s="2">
        <v>8</v>
      </c>
      <c r="B19" s="2" t="s">
        <v>145</v>
      </c>
      <c r="C19" s="24">
        <f>SUM(D19:I19)</f>
        <v>1978935</v>
      </c>
      <c r="D19" s="37">
        <v>1941495</v>
      </c>
      <c r="E19" s="37">
        <v>36840</v>
      </c>
      <c r="F19" s="37">
        <v>36</v>
      </c>
      <c r="G19" s="37">
        <f>24-K19</f>
        <v>0</v>
      </c>
      <c r="H19" s="26">
        <f>K19</f>
        <v>24</v>
      </c>
      <c r="I19" s="27">
        <f>480+48+12</f>
        <v>540</v>
      </c>
      <c r="K19">
        <v>24</v>
      </c>
      <c r="P19" s="68">
        <f t="shared" si="0"/>
        <v>12</v>
      </c>
      <c r="Q19" s="77" t="s">
        <v>94</v>
      </c>
      <c r="R19" s="68"/>
      <c r="S19" s="85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6" x14ac:dyDescent="0.3">
      <c r="A20" s="2">
        <v>9</v>
      </c>
      <c r="B20" s="2" t="s">
        <v>146</v>
      </c>
      <c r="C20" s="13"/>
      <c r="D20" s="39">
        <v>9.5</v>
      </c>
      <c r="E20" s="39">
        <v>97.25</v>
      </c>
      <c r="F20" s="39">
        <v>240.44</v>
      </c>
      <c r="G20" s="40">
        <f>G19*G18</f>
        <v>0</v>
      </c>
      <c r="H20" s="41"/>
      <c r="I20" s="12"/>
      <c r="K20" s="42">
        <f>G20</f>
        <v>0</v>
      </c>
      <c r="P20" s="68">
        <f t="shared" si="0"/>
        <v>13</v>
      </c>
      <c r="Q20" s="67" t="s">
        <v>149</v>
      </c>
      <c r="R20" s="68" t="s">
        <v>101</v>
      </c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86">
        <f>D54</f>
        <v>325.64999999999998</v>
      </c>
    </row>
    <row r="21" spans="1:31" ht="15.6" x14ac:dyDescent="0.3">
      <c r="A21" s="2">
        <v>10</v>
      </c>
      <c r="B21" s="2" t="s">
        <v>32</v>
      </c>
      <c r="C21" s="13">
        <f>SUM(D21:G21)</f>
        <v>22035548.34</v>
      </c>
      <c r="D21" s="44">
        <f>D20*D19</f>
        <v>18444202.5</v>
      </c>
      <c r="E21" s="44">
        <f>E20*E19</f>
        <v>3582690</v>
      </c>
      <c r="F21" s="44">
        <f>F20*F19</f>
        <v>8655.84</v>
      </c>
      <c r="G21" s="44">
        <f>G20*G19</f>
        <v>0</v>
      </c>
      <c r="H21" s="41"/>
      <c r="I21" s="12"/>
      <c r="K21" s="36">
        <f>K19*K20</f>
        <v>0</v>
      </c>
      <c r="P21" s="68">
        <f t="shared" si="0"/>
        <v>14</v>
      </c>
      <c r="Q21" s="67" t="s">
        <v>102</v>
      </c>
      <c r="R21" s="68" t="str">
        <f>"("&amp;P$12&amp;") x ("&amp;P20&amp;")"</f>
        <v>(5) x (13)</v>
      </c>
      <c r="S21" s="87">
        <f t="shared" ref="S21:AD21" si="6">$AE20*S$12</f>
        <v>57.436700949289921</v>
      </c>
      <c r="T21" s="87">
        <f t="shared" si="6"/>
        <v>43.634470563408236</v>
      </c>
      <c r="U21" s="87">
        <f t="shared" si="6"/>
        <v>39.3919590679251</v>
      </c>
      <c r="V21" s="87">
        <f t="shared" si="6"/>
        <v>24.635578782524636</v>
      </c>
      <c r="W21" s="87">
        <f t="shared" si="6"/>
        <v>14.563835192890137</v>
      </c>
      <c r="X21" s="87">
        <f t="shared" si="6"/>
        <v>7.8008144413966765</v>
      </c>
      <c r="Y21" s="87">
        <f t="shared" si="6"/>
        <v>5.7977812497502326</v>
      </c>
      <c r="Z21" s="87">
        <f t="shared" si="6"/>
        <v>5.5949065647101595</v>
      </c>
      <c r="AA21" s="87">
        <f t="shared" si="6"/>
        <v>7.7767306267324043</v>
      </c>
      <c r="AB21" s="87">
        <f t="shared" si="6"/>
        <v>21.637103541692017</v>
      </c>
      <c r="AC21" s="87">
        <f t="shared" si="6"/>
        <v>40.314243353122393</v>
      </c>
      <c r="AD21" s="87">
        <f t="shared" si="6"/>
        <v>57.065875666558</v>
      </c>
      <c r="AE21" s="86">
        <f>SUM(S21:AD21)</f>
        <v>325.64999999999998</v>
      </c>
    </row>
    <row r="22" spans="1:31" ht="15.6" x14ac:dyDescent="0.3">
      <c r="A22" s="2"/>
      <c r="B22" s="2"/>
      <c r="C22" s="13"/>
      <c r="D22" s="44"/>
      <c r="E22" s="44"/>
      <c r="F22" s="44"/>
      <c r="G22" s="44"/>
      <c r="H22" s="119" t="s">
        <v>33</v>
      </c>
      <c r="I22" s="111"/>
      <c r="K22" s="36"/>
      <c r="P22" s="68">
        <f t="shared" si="0"/>
        <v>15</v>
      </c>
      <c r="Q22" s="67"/>
      <c r="R22" s="88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86"/>
    </row>
    <row r="23" spans="1:31" ht="15.6" x14ac:dyDescent="0.3">
      <c r="A23" s="2">
        <v>11</v>
      </c>
      <c r="B23" s="2" t="s">
        <v>35</v>
      </c>
      <c r="C23" s="13">
        <f>SUM(D23:G23)</f>
        <v>66514451.659999996</v>
      </c>
      <c r="D23" s="44">
        <f>D17-D21</f>
        <v>52687797.5</v>
      </c>
      <c r="E23" s="44">
        <f>E17-E21</f>
        <v>13528310</v>
      </c>
      <c r="F23" s="44">
        <f>F17-F21</f>
        <v>298344.15999999997</v>
      </c>
      <c r="G23" s="44">
        <f>G17-G21</f>
        <v>0</v>
      </c>
      <c r="H23" s="110"/>
      <c r="I23" s="111"/>
      <c r="K23" s="36">
        <f>K17-K21</f>
        <v>201000</v>
      </c>
      <c r="P23" s="68">
        <f t="shared" si="0"/>
        <v>16</v>
      </c>
      <c r="Q23" s="77" t="s">
        <v>99</v>
      </c>
      <c r="R23" s="88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86"/>
    </row>
    <row r="24" spans="1:31" ht="15.6" x14ac:dyDescent="0.3">
      <c r="A24" s="45"/>
      <c r="B24" s="45"/>
      <c r="C24" s="45"/>
      <c r="D24" s="45"/>
      <c r="E24" s="45"/>
      <c r="F24" s="45"/>
      <c r="G24" s="45"/>
      <c r="H24" s="46"/>
      <c r="I24" s="47"/>
      <c r="P24" s="68">
        <f t="shared" si="0"/>
        <v>17</v>
      </c>
      <c r="Q24" s="67" t="s">
        <v>149</v>
      </c>
      <c r="R24" s="68" t="s">
        <v>101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86">
        <f>E54</f>
        <v>4499.3999999999996</v>
      </c>
    </row>
    <row r="25" spans="1:31" ht="15.6" x14ac:dyDescent="0.3">
      <c r="C25" s="2"/>
      <c r="D25" s="49" t="s">
        <v>37</v>
      </c>
      <c r="E25" s="2" t="s">
        <v>38</v>
      </c>
      <c r="P25" s="68">
        <f t="shared" si="0"/>
        <v>18</v>
      </c>
      <c r="Q25" s="67" t="s">
        <v>102</v>
      </c>
      <c r="R25" s="68" t="str">
        <f>"("&amp;P$16&amp;") x ("&amp;P24&amp;")"</f>
        <v>(9) x (17)</v>
      </c>
      <c r="S25" s="87">
        <f t="shared" ref="S25:AD25" si="7">$AE24*S$16</f>
        <v>633.53880022938438</v>
      </c>
      <c r="T25" s="87">
        <f t="shared" si="7"/>
        <v>596.95344296566429</v>
      </c>
      <c r="U25" s="87">
        <f t="shared" si="7"/>
        <v>478.82134767692133</v>
      </c>
      <c r="V25" s="87">
        <f t="shared" si="7"/>
        <v>372.29581839667304</v>
      </c>
      <c r="W25" s="87">
        <f t="shared" si="7"/>
        <v>269.75471694486004</v>
      </c>
      <c r="X25" s="87">
        <f t="shared" si="7"/>
        <v>196.27778044533582</v>
      </c>
      <c r="Y25" s="87">
        <f t="shared" si="7"/>
        <v>141.70257934174887</v>
      </c>
      <c r="Z25" s="87">
        <f t="shared" si="7"/>
        <v>155.02289629369585</v>
      </c>
      <c r="AA25" s="87">
        <f t="shared" si="7"/>
        <v>184.47889964988795</v>
      </c>
      <c r="AB25" s="87">
        <f t="shared" si="7"/>
        <v>336.27364994873562</v>
      </c>
      <c r="AC25" s="87">
        <f t="shared" si="7"/>
        <v>510.41213186435726</v>
      </c>
      <c r="AD25" s="87">
        <f t="shared" si="7"/>
        <v>623.86793624273537</v>
      </c>
      <c r="AE25" s="86">
        <f>SUM(S25:AD25)</f>
        <v>4499.3999999999996</v>
      </c>
    </row>
    <row r="26" spans="1:31" ht="15.6" x14ac:dyDescent="0.3">
      <c r="A26" s="2">
        <v>12</v>
      </c>
      <c r="B26" s="2" t="s">
        <v>39</v>
      </c>
      <c r="C26" s="24"/>
      <c r="D26" s="24">
        <f>D19/12</f>
        <v>161791.25</v>
      </c>
      <c r="E26" s="24">
        <f>(E19+F19+G19)/12</f>
        <v>3073</v>
      </c>
      <c r="P26" s="68">
        <f t="shared" si="0"/>
        <v>19</v>
      </c>
      <c r="Q26" s="67"/>
      <c r="R26" s="88"/>
      <c r="S26" s="68"/>
      <c r="T26" s="68"/>
      <c r="U26" s="68"/>
      <c r="V26" s="68"/>
      <c r="W26" s="67"/>
      <c r="X26" s="67"/>
      <c r="Y26" s="67"/>
      <c r="Z26" s="67"/>
      <c r="AA26" s="67"/>
      <c r="AB26" s="67"/>
      <c r="AC26" s="67"/>
      <c r="AD26" s="67"/>
      <c r="AE26" s="86"/>
    </row>
    <row r="27" spans="1:31" ht="15.6" x14ac:dyDescent="0.3">
      <c r="A27" s="2">
        <v>13</v>
      </c>
      <c r="B27" s="2" t="s">
        <v>40</v>
      </c>
      <c r="C27" s="24"/>
      <c r="D27" s="24">
        <f>D13</f>
        <v>128985980</v>
      </c>
      <c r="E27" s="24">
        <f>E13+F13+G13</f>
        <v>55884877</v>
      </c>
      <c r="P27" s="68">
        <f t="shared" si="0"/>
        <v>20</v>
      </c>
      <c r="Q27" s="67" t="str">
        <f>B57</f>
        <v xml:space="preserve">*Rate Schedules 101, 102.  </v>
      </c>
      <c r="R27" s="88"/>
      <c r="S27" s="68"/>
      <c r="T27" s="68"/>
      <c r="U27" s="68"/>
      <c r="V27" s="68"/>
      <c r="W27" s="67"/>
      <c r="X27" s="67"/>
      <c r="Y27" s="67"/>
      <c r="Z27" s="67"/>
      <c r="AA27" s="67"/>
      <c r="AB27" s="67"/>
      <c r="AC27" s="67"/>
      <c r="AD27" s="67"/>
      <c r="AE27" s="86"/>
    </row>
    <row r="28" spans="1:31" ht="15.6" x14ac:dyDescent="0.3">
      <c r="A28" s="2">
        <v>14</v>
      </c>
      <c r="B28" s="2" t="s">
        <v>41</v>
      </c>
      <c r="C28" s="13"/>
      <c r="D28" s="13">
        <f>D21</f>
        <v>18444202.5</v>
      </c>
      <c r="E28" s="13">
        <f>E21+F21+G21</f>
        <v>3591345.84</v>
      </c>
      <c r="F28" s="42"/>
      <c r="P28" s="68">
        <f t="shared" si="0"/>
        <v>21</v>
      </c>
      <c r="Q28" s="67" t="str">
        <f>B58</f>
        <v xml:space="preserve">**Rate Schedules 111, 112, 116, 121, 122, 126, 131.  </v>
      </c>
      <c r="R28" s="68"/>
      <c r="S28" s="68"/>
      <c r="T28" s="68"/>
      <c r="U28" s="68"/>
      <c r="V28" s="68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6" x14ac:dyDescent="0.3">
      <c r="A29" s="2">
        <v>15</v>
      </c>
      <c r="B29" s="2" t="s">
        <v>43</v>
      </c>
      <c r="C29" s="24"/>
      <c r="D29" s="24">
        <f>D19</f>
        <v>1941495</v>
      </c>
      <c r="E29" s="24">
        <f>E19+F19+G19</f>
        <v>36876</v>
      </c>
      <c r="F29" s="42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ht="18" x14ac:dyDescent="0.35">
      <c r="A30" s="2">
        <v>16</v>
      </c>
      <c r="B30" s="2" t="s">
        <v>44</v>
      </c>
      <c r="C30" s="13"/>
      <c r="D30" s="52">
        <f>D28/D29</f>
        <v>9.5</v>
      </c>
      <c r="E30" s="52">
        <f>E28/E29</f>
        <v>97.38978848031239</v>
      </c>
      <c r="F30" s="42"/>
      <c r="P30" s="53" t="s">
        <v>103</v>
      </c>
    </row>
    <row r="31" spans="1:31" x14ac:dyDescent="0.3">
      <c r="D31" s="42"/>
    </row>
    <row r="32" spans="1:31" x14ac:dyDescent="0.3">
      <c r="D32" s="42"/>
      <c r="P32" t="s">
        <v>150</v>
      </c>
    </row>
    <row r="33" spans="1:31" ht="18" x14ac:dyDescent="0.35">
      <c r="A33" s="53" t="s">
        <v>46</v>
      </c>
      <c r="B33" s="54"/>
      <c r="D33" s="42"/>
      <c r="P33" t="s">
        <v>104</v>
      </c>
    </row>
    <row r="34" spans="1:31" x14ac:dyDescent="0.3">
      <c r="D34" s="42"/>
      <c r="P34" t="s">
        <v>151</v>
      </c>
    </row>
    <row r="35" spans="1:31" x14ac:dyDescent="0.3">
      <c r="D35" s="42"/>
    </row>
    <row r="36" spans="1:31" x14ac:dyDescent="0.3">
      <c r="C36" t="s">
        <v>47</v>
      </c>
      <c r="D36" s="36"/>
      <c r="F36" s="36"/>
      <c r="P36" s="90" t="s">
        <v>105</v>
      </c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x14ac:dyDescent="0.3">
      <c r="C37" t="s">
        <v>48</v>
      </c>
      <c r="D37" s="33">
        <f>D23/D13</f>
        <v>0.4084769329193762</v>
      </c>
      <c r="E37" s="33">
        <f>E23/E13</f>
        <v>0.24900346597961348</v>
      </c>
      <c r="F37" s="33">
        <f>F23/F13</f>
        <v>0.19185243631962784</v>
      </c>
      <c r="P37" s="90"/>
      <c r="Q37" s="90"/>
      <c r="R37" s="90"/>
      <c r="S37" s="91">
        <v>43101</v>
      </c>
      <c r="T37" s="91">
        <v>43132</v>
      </c>
      <c r="U37" s="91">
        <v>43160</v>
      </c>
      <c r="V37" s="91">
        <v>43191</v>
      </c>
      <c r="W37" s="91">
        <v>43221</v>
      </c>
      <c r="X37" s="91">
        <v>43252</v>
      </c>
      <c r="Y37" s="91">
        <v>43282</v>
      </c>
      <c r="Z37" s="91">
        <v>43313</v>
      </c>
      <c r="AA37" s="91">
        <v>43344</v>
      </c>
      <c r="AB37" s="91">
        <v>43374</v>
      </c>
      <c r="AC37" s="91">
        <v>43405</v>
      </c>
      <c r="AD37" s="91">
        <v>43435</v>
      </c>
      <c r="AE37" s="92" t="s">
        <v>106</v>
      </c>
    </row>
    <row r="38" spans="1:31" x14ac:dyDescent="0.3">
      <c r="C38" t="s">
        <v>49</v>
      </c>
      <c r="D38" s="33">
        <f>D37+D14</f>
        <v>0.4084769329193762</v>
      </c>
      <c r="E38" s="33">
        <f>E37+E14</f>
        <v>0.24900346597961348</v>
      </c>
      <c r="F38" s="33">
        <f>F37+F14</f>
        <v>0.19185243631962784</v>
      </c>
      <c r="P38" s="90" t="s">
        <v>107</v>
      </c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x14ac:dyDescent="0.3">
      <c r="P39" s="90"/>
      <c r="Q39" s="90" t="s">
        <v>108</v>
      </c>
      <c r="R39" s="90"/>
      <c r="S39" s="93">
        <v>23907481.40532</v>
      </c>
      <c r="T39" s="93">
        <v>17408468.844430003</v>
      </c>
      <c r="U39" s="93">
        <v>18772678.955779996</v>
      </c>
      <c r="V39" s="93">
        <v>12814031.29542</v>
      </c>
      <c r="W39" s="93">
        <v>6121244.9053499997</v>
      </c>
      <c r="X39" s="93">
        <v>2888718.1433300003</v>
      </c>
      <c r="Y39" s="93">
        <v>2443732.2068100004</v>
      </c>
      <c r="Z39" s="93">
        <v>2085808.0266</v>
      </c>
      <c r="AA39" s="93">
        <v>2442167.8390500001</v>
      </c>
      <c r="AB39" s="93">
        <v>5295338.9442299996</v>
      </c>
      <c r="AC39" s="93">
        <v>10842675.47535</v>
      </c>
      <c r="AD39" s="93">
        <v>18945996.04854</v>
      </c>
      <c r="AE39" s="94">
        <f t="shared" ref="AE39:AE44" si="8">SUM(S39:AD39)</f>
        <v>123968342.09021002</v>
      </c>
    </row>
    <row r="40" spans="1:31" x14ac:dyDescent="0.3">
      <c r="P40" s="90"/>
      <c r="Q40" s="90" t="s">
        <v>152</v>
      </c>
      <c r="R40" s="90"/>
      <c r="S40" s="93">
        <v>8018208.2324099997</v>
      </c>
      <c r="T40" s="93">
        <v>6561360.7318700003</v>
      </c>
      <c r="U40" s="93">
        <v>6797194.94881</v>
      </c>
      <c r="V40" s="93">
        <v>5166624.3463699995</v>
      </c>
      <c r="W40" s="93">
        <v>3145531.1909800004</v>
      </c>
      <c r="X40" s="93">
        <v>1896315.6935000003</v>
      </c>
      <c r="Y40" s="93">
        <v>1581289.0838300001</v>
      </c>
      <c r="Z40" s="93">
        <v>1451036.2879699999</v>
      </c>
      <c r="AA40" s="93">
        <v>1613677.3076800001</v>
      </c>
      <c r="AB40" s="93">
        <v>2564277.13344</v>
      </c>
      <c r="AC40" s="93">
        <v>4331827.7364500007</v>
      </c>
      <c r="AD40" s="93">
        <v>9510569.9868700001</v>
      </c>
      <c r="AE40" s="94">
        <f t="shared" si="8"/>
        <v>52637912.680180006</v>
      </c>
    </row>
    <row r="41" spans="1:31" x14ac:dyDescent="0.3">
      <c r="P41" s="90"/>
      <c r="Q41" s="90" t="s">
        <v>153</v>
      </c>
      <c r="R41" s="90"/>
      <c r="S41" s="93">
        <v>547570.59900000005</v>
      </c>
      <c r="T41" s="93">
        <v>455180.02499999997</v>
      </c>
      <c r="U41" s="93">
        <v>474318.03700000001</v>
      </c>
      <c r="V41" s="93">
        <v>397963.42600000004</v>
      </c>
      <c r="W41" s="93">
        <v>332257.02400000003</v>
      </c>
      <c r="X41" s="93">
        <v>303322.93700000003</v>
      </c>
      <c r="Y41" s="93">
        <v>280882.29972999997</v>
      </c>
      <c r="Z41" s="93">
        <v>293436.32699999999</v>
      </c>
      <c r="AA41" s="93">
        <v>292153.11600000004</v>
      </c>
      <c r="AB41" s="93">
        <v>342720.66100000002</v>
      </c>
      <c r="AC41" s="93">
        <v>412245.14099999995</v>
      </c>
      <c r="AD41" s="93">
        <v>-2363729.2920099623</v>
      </c>
      <c r="AE41" s="94">
        <f t="shared" si="8"/>
        <v>1768320.3007200374</v>
      </c>
    </row>
    <row r="42" spans="1:31" ht="15.6" x14ac:dyDescent="0.3">
      <c r="B42" s="108"/>
      <c r="C42" s="108" t="s">
        <v>0</v>
      </c>
      <c r="D42" s="108"/>
      <c r="E42" s="108"/>
      <c r="P42" s="90"/>
      <c r="Q42" s="90" t="s">
        <v>109</v>
      </c>
      <c r="R42" s="90"/>
      <c r="S42" s="93">
        <v>139102.27900000001</v>
      </c>
      <c r="T42" s="93">
        <v>117327.56</v>
      </c>
      <c r="U42" s="93">
        <v>113117.076</v>
      </c>
      <c r="V42" s="93">
        <v>93219.127999999997</v>
      </c>
      <c r="W42" s="93">
        <v>72900.841</v>
      </c>
      <c r="X42" s="93">
        <v>47469.584999999992</v>
      </c>
      <c r="Y42" s="93">
        <v>41737.258000000002</v>
      </c>
      <c r="Z42" s="93">
        <v>43515.435999999994</v>
      </c>
      <c r="AA42" s="93">
        <v>44833.752</v>
      </c>
      <c r="AB42" s="93">
        <v>68693.988999999987</v>
      </c>
      <c r="AC42" s="93">
        <v>88518.618999999992</v>
      </c>
      <c r="AD42" s="93">
        <v>114831.204</v>
      </c>
      <c r="AE42" s="94">
        <f t="shared" si="8"/>
        <v>985266.72699999996</v>
      </c>
    </row>
    <row r="43" spans="1:31" ht="15.6" x14ac:dyDescent="0.3">
      <c r="B43" s="108"/>
      <c r="C43" s="108" t="s">
        <v>2</v>
      </c>
      <c r="D43" s="108"/>
      <c r="E43" s="108"/>
      <c r="P43" s="90"/>
      <c r="Q43" s="90" t="s">
        <v>110</v>
      </c>
      <c r="R43" s="90"/>
      <c r="S43" s="93">
        <v>3967685</v>
      </c>
      <c r="T43" s="93">
        <v>3629622</v>
      </c>
      <c r="U43" s="93">
        <v>3567188</v>
      </c>
      <c r="V43" s="93">
        <v>3349134</v>
      </c>
      <c r="W43" s="93">
        <v>3031743</v>
      </c>
      <c r="X43" s="93">
        <v>2500055</v>
      </c>
      <c r="Y43" s="93">
        <v>2416869</v>
      </c>
      <c r="Z43" s="93">
        <v>2200204</v>
      </c>
      <c r="AA43" s="93">
        <v>2275935</v>
      </c>
      <c r="AB43" s="93">
        <v>2340543</v>
      </c>
      <c r="AC43" s="93">
        <v>3067907</v>
      </c>
      <c r="AD43" s="93">
        <v>3261051</v>
      </c>
      <c r="AE43" s="94">
        <f t="shared" si="8"/>
        <v>35607936</v>
      </c>
    </row>
    <row r="44" spans="1:31" ht="15.6" x14ac:dyDescent="0.3">
      <c r="B44" s="109"/>
      <c r="C44" s="109" t="s">
        <v>50</v>
      </c>
      <c r="D44" s="109"/>
      <c r="E44" s="109"/>
      <c r="P44" s="90"/>
      <c r="Q44" s="90" t="s">
        <v>111</v>
      </c>
      <c r="R44" s="90"/>
      <c r="S44" s="93">
        <v>5265223</v>
      </c>
      <c r="T44" s="93">
        <v>4912508</v>
      </c>
      <c r="U44" s="93">
        <v>4547047</v>
      </c>
      <c r="V44" s="93">
        <v>4301458</v>
      </c>
      <c r="W44" s="93">
        <v>4021819</v>
      </c>
      <c r="X44" s="93">
        <v>3930521</v>
      </c>
      <c r="Y44" s="93">
        <v>3756231</v>
      </c>
      <c r="Z44" s="93">
        <v>4538638</v>
      </c>
      <c r="AA44" s="93">
        <v>4562727</v>
      </c>
      <c r="AB44" s="93">
        <v>4393442</v>
      </c>
      <c r="AC44" s="93">
        <v>5173852</v>
      </c>
      <c r="AD44" s="93">
        <v>5114139</v>
      </c>
      <c r="AE44" s="94">
        <f t="shared" si="8"/>
        <v>54517605</v>
      </c>
    </row>
    <row r="45" spans="1:31" ht="15.6" x14ac:dyDescent="0.3">
      <c r="B45" s="112"/>
      <c r="C45" s="112" t="str">
        <f>E4</f>
        <v>Washington Docket No. UG-19____  2018 Test Year at Present Rates</v>
      </c>
      <c r="D45" s="112"/>
      <c r="E45" s="112"/>
      <c r="P45" s="90" t="s">
        <v>112</v>
      </c>
      <c r="Q45" s="90"/>
      <c r="R45" s="90"/>
      <c r="S45" s="95">
        <f t="shared" ref="S45:AA45" si="9">SUM(S39:S44)</f>
        <v>41845270.515729994</v>
      </c>
      <c r="T45" s="95">
        <f t="shared" si="9"/>
        <v>33084467.1613</v>
      </c>
      <c r="U45" s="95">
        <f t="shared" si="9"/>
        <v>34271544.017590001</v>
      </c>
      <c r="V45" s="95">
        <f t="shared" si="9"/>
        <v>26122430.195789997</v>
      </c>
      <c r="W45" s="95">
        <f t="shared" si="9"/>
        <v>16725495.96133</v>
      </c>
      <c r="X45" s="95">
        <f t="shared" si="9"/>
        <v>11566402.358830001</v>
      </c>
      <c r="Y45" s="95">
        <f t="shared" si="9"/>
        <v>10520740.848370001</v>
      </c>
      <c r="Z45" s="95">
        <f t="shared" si="9"/>
        <v>10612638.077570001</v>
      </c>
      <c r="AA45" s="95">
        <f t="shared" si="9"/>
        <v>11231494.014730001</v>
      </c>
      <c r="AB45" s="95">
        <f>SUM(AB39:AB44)</f>
        <v>15005015.727669999</v>
      </c>
      <c r="AC45" s="95">
        <f t="shared" ref="AC45:AE45" si="10">SUM(AC39:AC44)</f>
        <v>23917025.971800003</v>
      </c>
      <c r="AD45" s="95">
        <f t="shared" si="10"/>
        <v>34582857.947400041</v>
      </c>
      <c r="AE45" s="95">
        <f t="shared" si="10"/>
        <v>269485382.79811007</v>
      </c>
    </row>
    <row r="46" spans="1:31" ht="15.6" x14ac:dyDescent="0.3">
      <c r="A46" s="55"/>
      <c r="B46" s="55"/>
      <c r="C46" s="55"/>
      <c r="D46" s="55"/>
      <c r="E46" s="55"/>
      <c r="P46" s="90"/>
      <c r="Q46" s="90"/>
      <c r="R46" s="90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34.200000000000003" customHeight="1" x14ac:dyDescent="0.3">
      <c r="A47" s="122" t="s">
        <v>51</v>
      </c>
      <c r="B47" s="56"/>
      <c r="C47" s="121" t="s">
        <v>52</v>
      </c>
      <c r="D47" s="121" t="s">
        <v>53</v>
      </c>
      <c r="E47" s="121" t="s">
        <v>54</v>
      </c>
      <c r="P47" s="90" t="s">
        <v>113</v>
      </c>
      <c r="Q47" s="90"/>
      <c r="R47" s="90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.6" x14ac:dyDescent="0.3">
      <c r="A48" s="55"/>
      <c r="B48" s="57" t="s">
        <v>55</v>
      </c>
      <c r="C48" s="57" t="s">
        <v>56</v>
      </c>
      <c r="D48" s="57" t="s">
        <v>57</v>
      </c>
      <c r="E48" s="57" t="s">
        <v>58</v>
      </c>
      <c r="P48" s="90"/>
      <c r="Q48" s="90" t="s">
        <v>158</v>
      </c>
      <c r="R48" s="90"/>
      <c r="S48" s="93">
        <v>310813</v>
      </c>
      <c r="T48" s="93">
        <v>271139</v>
      </c>
      <c r="U48" s="93">
        <v>287680</v>
      </c>
      <c r="V48" s="93">
        <v>236730</v>
      </c>
      <c r="W48" s="93">
        <v>223368</v>
      </c>
      <c r="X48" s="93">
        <v>191219</v>
      </c>
      <c r="Y48" s="93">
        <v>179209</v>
      </c>
      <c r="Z48" s="93">
        <v>175800</v>
      </c>
      <c r="AA48" s="93">
        <v>195692</v>
      </c>
      <c r="AB48" s="93">
        <v>211707</v>
      </c>
      <c r="AC48" s="93">
        <v>246977</v>
      </c>
      <c r="AD48" s="93">
        <v>-2530334</v>
      </c>
      <c r="AE48" s="93">
        <f>SUM(S48:AD48)</f>
        <v>0</v>
      </c>
    </row>
    <row r="49" spans="1:33" ht="15.6" x14ac:dyDescent="0.3">
      <c r="A49" s="57"/>
      <c r="B49" s="58"/>
      <c r="C49" s="57"/>
      <c r="D49" s="57"/>
      <c r="E49" s="57"/>
      <c r="P49" s="90"/>
      <c r="Q49" s="90" t="s">
        <v>154</v>
      </c>
      <c r="R49" s="90"/>
      <c r="S49" s="93">
        <f>-S48</f>
        <v>-310813</v>
      </c>
      <c r="T49" s="93">
        <f t="shared" ref="T49:AC49" si="11">-T48</f>
        <v>-271139</v>
      </c>
      <c r="U49" s="93">
        <f t="shared" si="11"/>
        <v>-287680</v>
      </c>
      <c r="V49" s="93">
        <f t="shared" si="11"/>
        <v>-236730</v>
      </c>
      <c r="W49" s="93">
        <f t="shared" si="11"/>
        <v>-223368</v>
      </c>
      <c r="X49" s="93">
        <f t="shared" si="11"/>
        <v>-191219</v>
      </c>
      <c r="Y49" s="93">
        <f t="shared" si="11"/>
        <v>-179209</v>
      </c>
      <c r="Z49" s="93">
        <f t="shared" si="11"/>
        <v>-175800</v>
      </c>
      <c r="AA49" s="93">
        <f t="shared" si="11"/>
        <v>-195692</v>
      </c>
      <c r="AB49" s="93">
        <f t="shared" si="11"/>
        <v>-211707</v>
      </c>
      <c r="AC49" s="93">
        <f t="shared" si="11"/>
        <v>-246977</v>
      </c>
      <c r="AD49" s="93">
        <f>-AD48-128508</f>
        <v>2401826</v>
      </c>
      <c r="AE49" s="93">
        <f>SUM(S49:AD49)</f>
        <v>-128508</v>
      </c>
    </row>
    <row r="50" spans="1:33" ht="15.6" x14ac:dyDescent="0.3">
      <c r="A50" s="57">
        <v>1</v>
      </c>
      <c r="B50" s="58" t="s">
        <v>59</v>
      </c>
      <c r="C50" s="57" t="s">
        <v>46</v>
      </c>
      <c r="D50" s="59">
        <f>D23</f>
        <v>52687797.5</v>
      </c>
      <c r="E50" s="59">
        <f>SUM(E23:G23)</f>
        <v>13826654.16</v>
      </c>
      <c r="P50" s="90"/>
      <c r="Q50" s="90" t="s">
        <v>157</v>
      </c>
      <c r="R50" s="90"/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/>
      <c r="AD50" s="93"/>
      <c r="AE50" s="93">
        <f>SUM(S50:AD50)</f>
        <v>0</v>
      </c>
    </row>
    <row r="51" spans="1:33" ht="15.6" x14ac:dyDescent="0.3">
      <c r="A51" s="57"/>
      <c r="B51" s="58"/>
      <c r="C51" s="57"/>
      <c r="D51" s="57"/>
      <c r="E51" s="57"/>
      <c r="P51" s="90" t="s">
        <v>114</v>
      </c>
      <c r="Q51" s="90"/>
      <c r="R51" s="90"/>
      <c r="S51" s="95">
        <f t="shared" ref="S51:AA51" si="12">SUM(S48:S50)</f>
        <v>0</v>
      </c>
      <c r="T51" s="95">
        <f t="shared" si="12"/>
        <v>0</v>
      </c>
      <c r="U51" s="95">
        <f t="shared" si="12"/>
        <v>0</v>
      </c>
      <c r="V51" s="95">
        <f t="shared" si="12"/>
        <v>0</v>
      </c>
      <c r="W51" s="95">
        <f t="shared" si="12"/>
        <v>0</v>
      </c>
      <c r="X51" s="95">
        <f t="shared" si="12"/>
        <v>0</v>
      </c>
      <c r="Y51" s="95">
        <f t="shared" si="12"/>
        <v>0</v>
      </c>
      <c r="Z51" s="95">
        <f t="shared" si="12"/>
        <v>0</v>
      </c>
      <c r="AA51" s="95">
        <f t="shared" si="12"/>
        <v>0</v>
      </c>
      <c r="AB51" s="95">
        <f>SUM(AB48:AB50)</f>
        <v>0</v>
      </c>
      <c r="AC51" s="95">
        <f t="shared" ref="AC51:AE51" si="13">SUM(AC48:AC50)</f>
        <v>0</v>
      </c>
      <c r="AD51" s="95">
        <f t="shared" si="13"/>
        <v>-128508</v>
      </c>
      <c r="AE51" s="95">
        <f t="shared" si="13"/>
        <v>-128508</v>
      </c>
    </row>
    <row r="52" spans="1:33" ht="15.6" x14ac:dyDescent="0.3">
      <c r="A52" s="57">
        <v>2</v>
      </c>
      <c r="B52" s="55" t="s">
        <v>148</v>
      </c>
      <c r="C52" s="57" t="s">
        <v>60</v>
      </c>
      <c r="D52" s="60">
        <f>D26</f>
        <v>161791.25</v>
      </c>
      <c r="E52" s="60">
        <f>E26</f>
        <v>3073</v>
      </c>
      <c r="P52" s="90"/>
      <c r="Q52" s="90"/>
      <c r="R52" s="90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3" ht="15.6" x14ac:dyDescent="0.3">
      <c r="A53" s="57"/>
      <c r="B53" s="58"/>
      <c r="C53" s="57"/>
      <c r="D53" s="57"/>
      <c r="E53" s="57"/>
      <c r="P53" s="90" t="s">
        <v>115</v>
      </c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3" ht="15.6" x14ac:dyDescent="0.3">
      <c r="A54" s="57">
        <v>3</v>
      </c>
      <c r="B54" s="58" t="s">
        <v>61</v>
      </c>
      <c r="C54" s="57" t="str">
        <f>"("&amp;A50&amp;") / ("&amp;A$11&amp;")"</f>
        <v>(1) / (3)</v>
      </c>
      <c r="D54" s="61">
        <f>ROUND(D50/D52,2)</f>
        <v>325.64999999999998</v>
      </c>
      <c r="E54" s="61">
        <f>ROUND(E50/E52,2)</f>
        <v>4499.3999999999996</v>
      </c>
      <c r="P54" s="90"/>
      <c r="Q54" s="90" t="s">
        <v>108</v>
      </c>
      <c r="R54" s="90"/>
      <c r="S54" s="93">
        <v>-3627217</v>
      </c>
      <c r="T54" s="93">
        <v>792412</v>
      </c>
      <c r="U54" s="93">
        <v>-2982167</v>
      </c>
      <c r="V54" s="93">
        <v>-3042381</v>
      </c>
      <c r="W54" s="93">
        <v>-2830192</v>
      </c>
      <c r="X54" s="93">
        <v>-255260</v>
      </c>
      <c r="Y54" s="93">
        <v>-147302</v>
      </c>
      <c r="Z54" s="93">
        <v>130266</v>
      </c>
      <c r="AA54" s="93">
        <v>638100</v>
      </c>
      <c r="AB54" s="93">
        <v>3105368</v>
      </c>
      <c r="AC54" s="93">
        <v>4733169</v>
      </c>
      <c r="AD54" s="93">
        <v>1645863</v>
      </c>
      <c r="AE54" s="94">
        <f t="shared" ref="AE54:AE59" si="14">SUM(S54:AD54)</f>
        <v>-1839341</v>
      </c>
      <c r="AG54" s="94">
        <v>-1839341</v>
      </c>
    </row>
    <row r="55" spans="1:33" ht="15.6" x14ac:dyDescent="0.3">
      <c r="A55" s="57"/>
      <c r="B55" s="58"/>
      <c r="C55" s="57"/>
      <c r="D55" s="57"/>
      <c r="E55" s="57"/>
      <c r="P55" s="90"/>
      <c r="Q55" s="90" t="s">
        <v>152</v>
      </c>
      <c r="R55" s="90"/>
      <c r="S55" s="93">
        <v>-1398759</v>
      </c>
      <c r="T55" s="93">
        <v>663173</v>
      </c>
      <c r="U55" s="93">
        <v>-1183036</v>
      </c>
      <c r="V55" s="93">
        <v>-889852</v>
      </c>
      <c r="W55" s="93">
        <v>-931502</v>
      </c>
      <c r="X55" s="93">
        <v>32961</v>
      </c>
      <c r="Y55" s="93">
        <v>-100104</v>
      </c>
      <c r="Z55" s="93">
        <v>142574</v>
      </c>
      <c r="AA55" s="93">
        <v>344478</v>
      </c>
      <c r="AB55" s="93">
        <v>1123980</v>
      </c>
      <c r="AC55" s="93">
        <v>1417730</v>
      </c>
      <c r="AD55" s="93">
        <v>231177</v>
      </c>
      <c r="AE55" s="94">
        <f t="shared" si="14"/>
        <v>-547180</v>
      </c>
      <c r="AG55" s="94">
        <v>-547180</v>
      </c>
    </row>
    <row r="56" spans="1:33" ht="15.6" x14ac:dyDescent="0.3">
      <c r="A56" s="57"/>
      <c r="B56" s="58"/>
      <c r="C56" s="57"/>
      <c r="D56" s="57"/>
      <c r="E56" s="57"/>
      <c r="P56" s="90"/>
      <c r="Q56" s="90" t="s">
        <v>153</v>
      </c>
      <c r="R56" s="90"/>
      <c r="S56" s="93">
        <v>-119441</v>
      </c>
      <c r="T56" s="93">
        <v>42521</v>
      </c>
      <c r="U56" s="93">
        <v>-77373</v>
      </c>
      <c r="V56" s="93">
        <v>-45834</v>
      </c>
      <c r="W56" s="93">
        <v>-48353</v>
      </c>
      <c r="X56" s="93">
        <v>46913</v>
      </c>
      <c r="Y56" s="93">
        <v>-2048</v>
      </c>
      <c r="Z56" s="93">
        <v>38418</v>
      </c>
      <c r="AA56" s="93">
        <v>41015</v>
      </c>
      <c r="AB56" s="93">
        <v>86853</v>
      </c>
      <c r="AC56" s="93">
        <v>43909</v>
      </c>
      <c r="AD56" s="93">
        <v>-159399</v>
      </c>
      <c r="AE56" s="94">
        <f t="shared" si="14"/>
        <v>-152819</v>
      </c>
      <c r="AG56" s="94">
        <v>-152819</v>
      </c>
    </row>
    <row r="57" spans="1:33" ht="15.6" x14ac:dyDescent="0.3">
      <c r="A57" s="57"/>
      <c r="B57" s="62" t="s">
        <v>62</v>
      </c>
      <c r="C57" s="55"/>
      <c r="D57" s="63"/>
      <c r="E57" s="63"/>
      <c r="P57" s="90"/>
      <c r="Q57" s="90" t="s">
        <v>109</v>
      </c>
      <c r="R57" s="90"/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4">
        <f t="shared" si="14"/>
        <v>0</v>
      </c>
    </row>
    <row r="58" spans="1:33" ht="15.6" x14ac:dyDescent="0.3">
      <c r="A58" s="57"/>
      <c r="B58" s="62" t="s">
        <v>63</v>
      </c>
      <c r="C58" s="55"/>
      <c r="D58" s="55"/>
      <c r="E58" s="55"/>
      <c r="P58" s="90"/>
      <c r="Q58" s="90" t="s">
        <v>110</v>
      </c>
      <c r="R58" s="90"/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93">
        <v>0</v>
      </c>
      <c r="AB58" s="93">
        <v>0</v>
      </c>
      <c r="AC58" s="93">
        <v>0</v>
      </c>
      <c r="AD58" s="93">
        <v>0</v>
      </c>
      <c r="AE58" s="94">
        <f t="shared" si="14"/>
        <v>0</v>
      </c>
    </row>
    <row r="59" spans="1:33" ht="15.6" x14ac:dyDescent="0.3">
      <c r="A59" s="45"/>
      <c r="B59" s="45"/>
      <c r="C59" s="45"/>
      <c r="D59" s="45"/>
      <c r="E59" s="45"/>
      <c r="P59" s="90"/>
      <c r="Q59" s="90" t="s">
        <v>111</v>
      </c>
      <c r="R59" s="90"/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4">
        <f t="shared" si="14"/>
        <v>0</v>
      </c>
    </row>
    <row r="60" spans="1:33" ht="15.6" x14ac:dyDescent="0.3">
      <c r="A60" s="45"/>
      <c r="B60" s="45"/>
      <c r="C60" s="45"/>
      <c r="D60" s="45"/>
      <c r="E60" s="45"/>
      <c r="P60" s="90" t="s">
        <v>115</v>
      </c>
      <c r="Q60" s="90"/>
      <c r="R60" s="90"/>
      <c r="S60" s="96">
        <f t="shared" ref="S60:AA60" si="15">SUM(S54:S59)</f>
        <v>-5145417</v>
      </c>
      <c r="T60" s="96">
        <f t="shared" si="15"/>
        <v>1498106</v>
      </c>
      <c r="U60" s="96">
        <f t="shared" si="15"/>
        <v>-4242576</v>
      </c>
      <c r="V60" s="96">
        <f t="shared" si="15"/>
        <v>-3978067</v>
      </c>
      <c r="W60" s="96">
        <f t="shared" si="15"/>
        <v>-3810047</v>
      </c>
      <c r="X60" s="96">
        <f t="shared" si="15"/>
        <v>-175386</v>
      </c>
      <c r="Y60" s="96">
        <f t="shared" si="15"/>
        <v>-249454</v>
      </c>
      <c r="Z60" s="96">
        <f t="shared" si="15"/>
        <v>311258</v>
      </c>
      <c r="AA60" s="96">
        <f t="shared" si="15"/>
        <v>1023593</v>
      </c>
      <c r="AB60" s="96">
        <f>SUM(AB54:AB59)</f>
        <v>4316201</v>
      </c>
      <c r="AC60" s="96">
        <f t="shared" ref="AC60:AE60" si="16">SUM(AC54:AC59)</f>
        <v>6194808</v>
      </c>
      <c r="AD60" s="96">
        <f t="shared" si="16"/>
        <v>1717641</v>
      </c>
      <c r="AE60" s="96">
        <f t="shared" si="16"/>
        <v>-2539340</v>
      </c>
    </row>
    <row r="61" spans="1:33" ht="18" x14ac:dyDescent="0.35">
      <c r="A61" s="53" t="s">
        <v>64</v>
      </c>
      <c r="B61" s="45"/>
      <c r="C61" s="45"/>
      <c r="D61" s="45"/>
      <c r="E61" s="45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3" ht="15.6" x14ac:dyDescent="0.3">
      <c r="A62" s="45"/>
      <c r="B62" s="45"/>
      <c r="C62" s="45"/>
      <c r="D62" s="45"/>
      <c r="E62" s="45"/>
      <c r="P62" s="90" t="s">
        <v>116</v>
      </c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3" ht="15.6" x14ac:dyDescent="0.3">
      <c r="A63" s="45"/>
      <c r="B63" s="45"/>
      <c r="C63" s="64" t="s">
        <v>23</v>
      </c>
      <c r="D63" s="45"/>
      <c r="E63" s="45"/>
      <c r="P63" s="90"/>
      <c r="Q63" s="90" t="s">
        <v>108</v>
      </c>
      <c r="R63" s="90"/>
      <c r="S63" s="93">
        <v>2469710</v>
      </c>
      <c r="T63" s="93">
        <v>-917801</v>
      </c>
      <c r="U63" s="93">
        <v>-187839</v>
      </c>
      <c r="V63" s="93">
        <v>-13799</v>
      </c>
      <c r="W63" s="93">
        <v>2477504</v>
      </c>
      <c r="X63" s="93">
        <v>456349</v>
      </c>
      <c r="Y63" s="93">
        <v>0</v>
      </c>
      <c r="Z63" s="93">
        <v>0</v>
      </c>
      <c r="AA63" s="93">
        <v>0</v>
      </c>
      <c r="AB63" s="93">
        <v>169485</v>
      </c>
      <c r="AC63" s="93">
        <v>392134</v>
      </c>
      <c r="AD63" s="93">
        <v>2011236</v>
      </c>
      <c r="AE63" s="94">
        <f t="shared" ref="AE63:AE68" si="17">SUM(S63:AD63)</f>
        <v>6856979</v>
      </c>
      <c r="AG63" s="94">
        <v>6856979</v>
      </c>
    </row>
    <row r="64" spans="1:33" ht="15.6" x14ac:dyDescent="0.3">
      <c r="A64" s="45"/>
      <c r="B64" s="45"/>
      <c r="C64" s="64" t="s">
        <v>65</v>
      </c>
      <c r="D64" s="65">
        <f>D54*D52</f>
        <v>52687320.5625</v>
      </c>
      <c r="E64" s="65">
        <f>E54*E52</f>
        <v>13826656.199999999</v>
      </c>
      <c r="P64" s="90"/>
      <c r="Q64" s="90" t="s">
        <v>152</v>
      </c>
      <c r="R64" s="90"/>
      <c r="S64" s="93">
        <v>792369</v>
      </c>
      <c r="T64" s="93">
        <v>-296989</v>
      </c>
      <c r="U64" s="93">
        <v>-61700</v>
      </c>
      <c r="V64" s="93">
        <v>-4598</v>
      </c>
      <c r="W64" s="93">
        <v>817214</v>
      </c>
      <c r="X64" s="93">
        <v>151843</v>
      </c>
      <c r="Y64" s="93">
        <v>0</v>
      </c>
      <c r="Z64" s="93">
        <v>0</v>
      </c>
      <c r="AA64" s="93">
        <v>0</v>
      </c>
      <c r="AB64" s="93">
        <v>56255</v>
      </c>
      <c r="AC64" s="93">
        <v>128342</v>
      </c>
      <c r="AD64" s="93">
        <v>656337</v>
      </c>
      <c r="AE64" s="94">
        <f t="shared" si="17"/>
        <v>2239073</v>
      </c>
      <c r="AG64" s="94">
        <v>2239073</v>
      </c>
    </row>
    <row r="65" spans="1:34" ht="15.6" x14ac:dyDescent="0.3">
      <c r="A65" s="45"/>
      <c r="B65" s="45"/>
      <c r="C65" s="64" t="s">
        <v>66</v>
      </c>
      <c r="D65" s="65">
        <f>D28</f>
        <v>18444202.5</v>
      </c>
      <c r="E65" s="65">
        <f>E28</f>
        <v>3591345.84</v>
      </c>
      <c r="P65" s="90"/>
      <c r="Q65" s="90" t="s">
        <v>153</v>
      </c>
      <c r="R65" s="90"/>
      <c r="S65" s="93">
        <v>28932</v>
      </c>
      <c r="T65" s="93">
        <v>-10775</v>
      </c>
      <c r="U65" s="93">
        <v>-2195</v>
      </c>
      <c r="V65" s="93">
        <v>-197</v>
      </c>
      <c r="W65" s="93">
        <v>35346</v>
      </c>
      <c r="X65" s="93">
        <v>6516</v>
      </c>
      <c r="Y65" s="93">
        <v>0</v>
      </c>
      <c r="Z65" s="93">
        <v>0</v>
      </c>
      <c r="AA65" s="93">
        <v>0</v>
      </c>
      <c r="AB65" s="93">
        <v>2607</v>
      </c>
      <c r="AC65" s="93">
        <v>5529</v>
      </c>
      <c r="AD65" s="93">
        <v>2315</v>
      </c>
      <c r="AE65" s="94">
        <f t="shared" si="17"/>
        <v>68078</v>
      </c>
      <c r="AG65" s="94">
        <v>68078</v>
      </c>
    </row>
    <row r="66" spans="1:34" ht="15.6" x14ac:dyDescent="0.3">
      <c r="A66" s="45"/>
      <c r="B66" s="45"/>
      <c r="C66" s="64" t="s">
        <v>67</v>
      </c>
      <c r="D66" s="65">
        <f>D15</f>
        <v>0</v>
      </c>
      <c r="E66" s="65">
        <f>SUM(E15:G15)</f>
        <v>0</v>
      </c>
      <c r="P66" s="90"/>
      <c r="Q66" s="90" t="s">
        <v>109</v>
      </c>
      <c r="R66" s="90"/>
      <c r="S66" s="93">
        <v>0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0</v>
      </c>
      <c r="Z66" s="93">
        <v>0</v>
      </c>
      <c r="AA66" s="93">
        <v>0</v>
      </c>
      <c r="AB66" s="93">
        <v>0</v>
      </c>
      <c r="AC66" s="93">
        <v>0</v>
      </c>
      <c r="AD66" s="93">
        <v>0</v>
      </c>
      <c r="AE66" s="94">
        <f t="shared" si="17"/>
        <v>0</v>
      </c>
    </row>
    <row r="67" spans="1:34" ht="15.6" x14ac:dyDescent="0.3">
      <c r="A67" s="45"/>
      <c r="B67" s="45"/>
      <c r="C67" s="64" t="s">
        <v>68</v>
      </c>
      <c r="D67" s="66">
        <f>SUM(D64:D66)</f>
        <v>71131523.0625</v>
      </c>
      <c r="E67" s="66">
        <f>SUM(E64:E66)</f>
        <v>17418002.039999999</v>
      </c>
      <c r="P67" s="90"/>
      <c r="Q67" s="90" t="s">
        <v>110</v>
      </c>
      <c r="R67" s="90"/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4">
        <f t="shared" si="17"/>
        <v>0</v>
      </c>
    </row>
    <row r="68" spans="1:34" x14ac:dyDescent="0.3">
      <c r="P68" s="90"/>
      <c r="Q68" s="90" t="s">
        <v>111</v>
      </c>
      <c r="R68" s="90"/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4">
        <f t="shared" si="17"/>
        <v>0</v>
      </c>
    </row>
    <row r="69" spans="1:34" x14ac:dyDescent="0.3">
      <c r="B69" s="104"/>
      <c r="C69" s="104"/>
      <c r="D69" s="106" t="s">
        <v>1</v>
      </c>
      <c r="E69" s="104"/>
      <c r="P69" s="90" t="s">
        <v>117</v>
      </c>
      <c r="Q69" s="90"/>
      <c r="R69" s="90"/>
      <c r="S69" s="96">
        <f t="shared" ref="S69:AE69" si="18">SUM(S63:S68)</f>
        <v>3291011</v>
      </c>
      <c r="T69" s="96">
        <f t="shared" si="18"/>
        <v>-1225565</v>
      </c>
      <c r="U69" s="96">
        <f t="shared" si="18"/>
        <v>-251734</v>
      </c>
      <c r="V69" s="96">
        <f t="shared" si="18"/>
        <v>-18594</v>
      </c>
      <c r="W69" s="96">
        <f t="shared" si="18"/>
        <v>3330064</v>
      </c>
      <c r="X69" s="96">
        <f t="shared" si="18"/>
        <v>614708</v>
      </c>
      <c r="Y69" s="96">
        <f t="shared" si="18"/>
        <v>0</v>
      </c>
      <c r="Z69" s="96">
        <f t="shared" si="18"/>
        <v>0</v>
      </c>
      <c r="AA69" s="96">
        <f t="shared" si="18"/>
        <v>0</v>
      </c>
      <c r="AB69" s="96">
        <f t="shared" si="18"/>
        <v>228347</v>
      </c>
      <c r="AC69" s="96">
        <f t="shared" si="18"/>
        <v>526005</v>
      </c>
      <c r="AD69" s="96">
        <f t="shared" si="18"/>
        <v>2669888</v>
      </c>
      <c r="AE69" s="96">
        <f t="shared" si="18"/>
        <v>9164130</v>
      </c>
    </row>
    <row r="70" spans="1:34" x14ac:dyDescent="0.3">
      <c r="B70" s="104"/>
      <c r="C70" s="104"/>
      <c r="D70" s="106" t="s">
        <v>3</v>
      </c>
      <c r="E70" s="104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</row>
    <row r="71" spans="1:34" x14ac:dyDescent="0.3">
      <c r="B71" s="105"/>
      <c r="C71" s="105"/>
      <c r="D71" s="107" t="s">
        <v>5</v>
      </c>
      <c r="E71" s="105"/>
      <c r="P71" s="90" t="s">
        <v>118</v>
      </c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G71" s="97" t="s">
        <v>156</v>
      </c>
    </row>
    <row r="72" spans="1:34" x14ac:dyDescent="0.3">
      <c r="B72" s="114"/>
      <c r="C72" s="114"/>
      <c r="D72" s="120" t="s">
        <v>155</v>
      </c>
      <c r="E72" s="114"/>
      <c r="F72" s="114"/>
      <c r="P72" s="90"/>
      <c r="Q72" s="90" t="s">
        <v>108</v>
      </c>
      <c r="R72" s="90"/>
      <c r="S72" s="94">
        <f t="shared" ref="S72:AA72" si="19">S39+S54+S63</f>
        <v>22749974.40532</v>
      </c>
      <c r="T72" s="94">
        <f t="shared" si="19"/>
        <v>17283079.844430003</v>
      </c>
      <c r="U72" s="94">
        <f t="shared" si="19"/>
        <v>15602672.955779996</v>
      </c>
      <c r="V72" s="94">
        <f t="shared" si="19"/>
        <v>9757851.2954200003</v>
      </c>
      <c r="W72" s="94">
        <f t="shared" si="19"/>
        <v>5768556.9053499997</v>
      </c>
      <c r="X72" s="94">
        <f t="shared" si="19"/>
        <v>3089807.1433300003</v>
      </c>
      <c r="Y72" s="94">
        <f t="shared" si="19"/>
        <v>2296430.2068100004</v>
      </c>
      <c r="Z72" s="94">
        <f t="shared" si="19"/>
        <v>2216074.0266</v>
      </c>
      <c r="AA72" s="94">
        <f t="shared" si="19"/>
        <v>3080267.8390500001</v>
      </c>
      <c r="AB72" s="94">
        <f>AB39+AB54+AB63</f>
        <v>8570191.9442299996</v>
      </c>
      <c r="AC72" s="94">
        <f t="shared" ref="AC72:AD72" si="20">AC39+AC54+AC63</f>
        <v>15967978.47535</v>
      </c>
      <c r="AD72" s="94">
        <f t="shared" si="20"/>
        <v>22603095.04854</v>
      </c>
      <c r="AE72" s="94">
        <f t="shared" ref="AE72:AE77" si="21">SUM(S72:AD72)</f>
        <v>128985980.09021002</v>
      </c>
      <c r="AG72" s="28">
        <v>128985980</v>
      </c>
      <c r="AH72" s="98"/>
    </row>
    <row r="73" spans="1:34" x14ac:dyDescent="0.3">
      <c r="B73" s="114"/>
      <c r="C73" s="114"/>
      <c r="D73" s="120" t="str">
        <f>E4</f>
        <v>Washington Docket No. UG-19____  2018 Test Year at Present Rates</v>
      </c>
      <c r="E73" s="114"/>
      <c r="F73" s="114"/>
      <c r="P73" s="90"/>
      <c r="Q73" s="90" t="s">
        <v>152</v>
      </c>
      <c r="R73" s="90"/>
      <c r="S73" s="94">
        <f>S40+S55+S64+S48</f>
        <v>7722631.2324099997</v>
      </c>
      <c r="T73" s="94">
        <f t="shared" ref="T73:AD73" si="22">T40+T55+T64+T48</f>
        <v>7198683.7318700003</v>
      </c>
      <c r="U73" s="94">
        <f t="shared" si="22"/>
        <v>5840138.94881</v>
      </c>
      <c r="V73" s="94">
        <f t="shared" si="22"/>
        <v>4508904.3463699995</v>
      </c>
      <c r="W73" s="94">
        <f t="shared" si="22"/>
        <v>3254611.1909800004</v>
      </c>
      <c r="X73" s="94">
        <f t="shared" si="22"/>
        <v>2272338.6935000001</v>
      </c>
      <c r="Y73" s="94">
        <f t="shared" si="22"/>
        <v>1660394.0838300001</v>
      </c>
      <c r="Z73" s="94">
        <f t="shared" si="22"/>
        <v>1769410.2879699999</v>
      </c>
      <c r="AA73" s="94">
        <f t="shared" si="22"/>
        <v>2153847.3076800001</v>
      </c>
      <c r="AB73" s="94">
        <f t="shared" si="22"/>
        <v>3956219.13344</v>
      </c>
      <c r="AC73" s="94">
        <f t="shared" si="22"/>
        <v>6124876.7364500007</v>
      </c>
      <c r="AD73" s="94">
        <f t="shared" si="22"/>
        <v>7867749.9868700001</v>
      </c>
      <c r="AE73" s="94">
        <f t="shared" si="21"/>
        <v>54329805.680180006</v>
      </c>
      <c r="AG73" s="28">
        <v>54329806</v>
      </c>
      <c r="AH73" s="98"/>
    </row>
    <row r="74" spans="1:34" x14ac:dyDescent="0.3">
      <c r="B74" s="114"/>
      <c r="C74" s="114"/>
      <c r="D74" s="114"/>
      <c r="E74" s="114"/>
      <c r="F74" s="114"/>
      <c r="P74" s="90"/>
      <c r="Q74" s="90" t="s">
        <v>153</v>
      </c>
      <c r="R74" s="90"/>
      <c r="S74" s="94">
        <f>S41+S56+S65+S49</f>
        <v>146248.59900000005</v>
      </c>
      <c r="T74" s="94">
        <f t="shared" ref="T74:AD74" si="23">T41+T56+T65+T49</f>
        <v>215787.02499999997</v>
      </c>
      <c r="U74" s="94">
        <f t="shared" si="23"/>
        <v>107070.03700000001</v>
      </c>
      <c r="V74" s="94">
        <f t="shared" si="23"/>
        <v>115202.42600000004</v>
      </c>
      <c r="W74" s="94">
        <f t="shared" si="23"/>
        <v>95882.024000000034</v>
      </c>
      <c r="X74" s="94">
        <f t="shared" si="23"/>
        <v>165532.93700000003</v>
      </c>
      <c r="Y74" s="94">
        <f t="shared" si="23"/>
        <v>99625.29972999997</v>
      </c>
      <c r="Z74" s="94">
        <f t="shared" si="23"/>
        <v>156054.32699999999</v>
      </c>
      <c r="AA74" s="94">
        <f t="shared" si="23"/>
        <v>137476.11600000004</v>
      </c>
      <c r="AB74" s="94">
        <f t="shared" si="23"/>
        <v>220473.66100000002</v>
      </c>
      <c r="AC74" s="94">
        <f t="shared" si="23"/>
        <v>214706.14099999995</v>
      </c>
      <c r="AD74" s="94">
        <f t="shared" si="23"/>
        <v>-118987.29200996226</v>
      </c>
      <c r="AE74" s="94">
        <f t="shared" si="21"/>
        <v>1555071.3007200379</v>
      </c>
      <c r="AG74" s="28">
        <v>1555071</v>
      </c>
      <c r="AH74" s="98"/>
    </row>
    <row r="75" spans="1:34" x14ac:dyDescent="0.3">
      <c r="A75" s="7"/>
      <c r="B75" s="114"/>
      <c r="C75" s="114"/>
      <c r="D75" s="114"/>
      <c r="E75" s="114"/>
      <c r="F75" s="114"/>
      <c r="P75" s="90"/>
      <c r="Q75" s="90" t="s">
        <v>109</v>
      </c>
      <c r="R75" s="90"/>
      <c r="S75" s="94">
        <f>S42+S57+S66+0</f>
        <v>139102.27900000001</v>
      </c>
      <c r="T75" s="94">
        <f t="shared" ref="T75:AD75" si="24">T42+T57+T66+0</f>
        <v>117327.56</v>
      </c>
      <c r="U75" s="94">
        <f t="shared" si="24"/>
        <v>113117.076</v>
      </c>
      <c r="V75" s="94">
        <f t="shared" si="24"/>
        <v>93219.127999999997</v>
      </c>
      <c r="W75" s="94">
        <f t="shared" si="24"/>
        <v>72900.841</v>
      </c>
      <c r="X75" s="94">
        <f t="shared" si="24"/>
        <v>47469.584999999992</v>
      </c>
      <c r="Y75" s="94">
        <f t="shared" si="24"/>
        <v>41737.258000000002</v>
      </c>
      <c r="Z75" s="94">
        <f t="shared" si="24"/>
        <v>43515.435999999994</v>
      </c>
      <c r="AA75" s="94">
        <f t="shared" si="24"/>
        <v>44833.752</v>
      </c>
      <c r="AB75" s="94">
        <f t="shared" si="24"/>
        <v>68693.988999999987</v>
      </c>
      <c r="AC75" s="94">
        <f t="shared" si="24"/>
        <v>88518.618999999992</v>
      </c>
      <c r="AD75" s="94">
        <f t="shared" si="24"/>
        <v>114831.204</v>
      </c>
      <c r="AE75" s="94">
        <f t="shared" si="21"/>
        <v>985266.72699999996</v>
      </c>
      <c r="AG75" s="28">
        <v>985267</v>
      </c>
      <c r="AH75" s="98"/>
    </row>
    <row r="76" spans="1:34" x14ac:dyDescent="0.3">
      <c r="A76" s="7"/>
      <c r="B76" s="113" t="s">
        <v>19</v>
      </c>
      <c r="D76" s="7"/>
      <c r="E76" s="9"/>
      <c r="F76" s="7"/>
      <c r="P76" s="90"/>
      <c r="Q76" s="90" t="s">
        <v>110</v>
      </c>
      <c r="R76" s="90"/>
      <c r="S76" s="94">
        <f>S43+S58+S67+S50</f>
        <v>3967685</v>
      </c>
      <c r="T76" s="94">
        <f t="shared" ref="T76:AA76" si="25">T43+T58+T67+T50</f>
        <v>3629622</v>
      </c>
      <c r="U76" s="94">
        <f t="shared" si="25"/>
        <v>3567188</v>
      </c>
      <c r="V76" s="94">
        <f t="shared" si="25"/>
        <v>3349134</v>
      </c>
      <c r="W76" s="94">
        <f t="shared" si="25"/>
        <v>3031743</v>
      </c>
      <c r="X76" s="94">
        <f t="shared" si="25"/>
        <v>2500055</v>
      </c>
      <c r="Y76" s="94">
        <f t="shared" si="25"/>
        <v>2416869</v>
      </c>
      <c r="Z76" s="94">
        <f t="shared" si="25"/>
        <v>2200204</v>
      </c>
      <c r="AA76" s="94">
        <f t="shared" si="25"/>
        <v>2275935</v>
      </c>
      <c r="AB76" s="94">
        <f>AB43+AB58+AB67+AB50</f>
        <v>2340543</v>
      </c>
      <c r="AC76" s="94">
        <f t="shared" ref="AC76:AD76" si="26">AC43+AC58+AC67+AC50</f>
        <v>3067907</v>
      </c>
      <c r="AD76" s="94">
        <f t="shared" si="26"/>
        <v>3261051</v>
      </c>
      <c r="AE76" s="94">
        <f t="shared" si="21"/>
        <v>35607936</v>
      </c>
      <c r="AG76" s="28">
        <v>35607936</v>
      </c>
      <c r="AH76" s="98"/>
    </row>
    <row r="77" spans="1:34" x14ac:dyDescent="0.3">
      <c r="A77" s="7"/>
      <c r="B77" s="115" t="s">
        <v>20</v>
      </c>
      <c r="D77" s="18" t="s">
        <v>21</v>
      </c>
      <c r="E77" s="9"/>
      <c r="F77" s="18" t="s">
        <v>22</v>
      </c>
      <c r="P77" s="90"/>
      <c r="Q77" s="90" t="s">
        <v>111</v>
      </c>
      <c r="R77" s="90"/>
      <c r="S77" s="94">
        <f t="shared" ref="S77:AA77" si="27">S44+S59+S68</f>
        <v>5265223</v>
      </c>
      <c r="T77" s="94">
        <f t="shared" si="27"/>
        <v>4912508</v>
      </c>
      <c r="U77" s="94">
        <f t="shared" si="27"/>
        <v>4547047</v>
      </c>
      <c r="V77" s="94">
        <f t="shared" si="27"/>
        <v>4301458</v>
      </c>
      <c r="W77" s="94">
        <f t="shared" si="27"/>
        <v>4021819</v>
      </c>
      <c r="X77" s="94">
        <f t="shared" si="27"/>
        <v>3930521</v>
      </c>
      <c r="Y77" s="94">
        <f t="shared" si="27"/>
        <v>3756231</v>
      </c>
      <c r="Z77" s="94">
        <f t="shared" si="27"/>
        <v>4538638</v>
      </c>
      <c r="AA77" s="94">
        <f t="shared" si="27"/>
        <v>4562727</v>
      </c>
      <c r="AB77" s="94">
        <f>AB44+AB59+AB68</f>
        <v>4393442</v>
      </c>
      <c r="AC77" s="94">
        <f t="shared" ref="AC77:AD77" si="28">AC44+AC59+AC68</f>
        <v>5173852</v>
      </c>
      <c r="AD77" s="94">
        <f t="shared" si="28"/>
        <v>5114139</v>
      </c>
      <c r="AE77" s="94">
        <f t="shared" si="21"/>
        <v>54517605</v>
      </c>
      <c r="AG77" s="98">
        <f>43918147+10599458</f>
        <v>54517605</v>
      </c>
      <c r="AH77" s="98"/>
    </row>
    <row r="78" spans="1:34" x14ac:dyDescent="0.3">
      <c r="A78" s="7"/>
      <c r="B78" s="113"/>
      <c r="D78" s="9"/>
      <c r="E78" s="9"/>
      <c r="F78" s="9"/>
      <c r="P78" s="90" t="s">
        <v>119</v>
      </c>
      <c r="Q78" s="90"/>
      <c r="R78" s="90"/>
      <c r="S78" s="96">
        <f t="shared" ref="S78:AA78" si="29">SUM(S72:S77)</f>
        <v>39990864.515729994</v>
      </c>
      <c r="T78" s="96">
        <f t="shared" si="29"/>
        <v>33357008.1613</v>
      </c>
      <c r="U78" s="96">
        <f t="shared" si="29"/>
        <v>29777234.017589998</v>
      </c>
      <c r="V78" s="96">
        <f t="shared" si="29"/>
        <v>22125769.19579</v>
      </c>
      <c r="W78" s="96">
        <f t="shared" si="29"/>
        <v>16245512.96133</v>
      </c>
      <c r="X78" s="96">
        <f t="shared" si="29"/>
        <v>12005724.358830001</v>
      </c>
      <c r="Y78" s="96">
        <f t="shared" si="29"/>
        <v>10271286.848370001</v>
      </c>
      <c r="Z78" s="96">
        <f t="shared" si="29"/>
        <v>10923896.077570001</v>
      </c>
      <c r="AA78" s="96">
        <f t="shared" si="29"/>
        <v>12255087.014730001</v>
      </c>
      <c r="AB78" s="96">
        <f>SUM(AB72:AB77)</f>
        <v>19549563.727669999</v>
      </c>
      <c r="AC78" s="96">
        <f t="shared" ref="AC78:AE78" si="30">SUM(AC72:AC77)</f>
        <v>30637838.971799999</v>
      </c>
      <c r="AD78" s="96">
        <f t="shared" si="30"/>
        <v>38841878.947400041</v>
      </c>
      <c r="AE78" s="96">
        <f t="shared" si="30"/>
        <v>275981664.79811007</v>
      </c>
      <c r="AG78" s="99">
        <f>SUM(AG72:AG77)</f>
        <v>275981665</v>
      </c>
    </row>
    <row r="79" spans="1:34" x14ac:dyDescent="0.3">
      <c r="A79" s="23"/>
      <c r="B79" s="114">
        <v>1</v>
      </c>
      <c r="D79" s="10" t="s">
        <v>23</v>
      </c>
      <c r="E79" s="9"/>
      <c r="F79" s="9">
        <v>1</v>
      </c>
      <c r="P79" s="90"/>
      <c r="Q79" s="90"/>
      <c r="R79" s="90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</row>
    <row r="80" spans="1:34" x14ac:dyDescent="0.3">
      <c r="A80" s="23"/>
      <c r="B80" s="114"/>
      <c r="D80" s="10"/>
      <c r="E80" s="9"/>
      <c r="F80" s="9"/>
      <c r="P80" s="90"/>
      <c r="Q80" s="90" t="s">
        <v>120</v>
      </c>
      <c r="R80" s="90"/>
      <c r="S80" s="94">
        <f t="shared" ref="S80:AA80" si="31">S72</f>
        <v>22749974.40532</v>
      </c>
      <c r="T80" s="94">
        <f t="shared" si="31"/>
        <v>17283079.844430003</v>
      </c>
      <c r="U80" s="94">
        <f t="shared" si="31"/>
        <v>15602672.955779996</v>
      </c>
      <c r="V80" s="94">
        <f t="shared" si="31"/>
        <v>9757851.2954200003</v>
      </c>
      <c r="W80" s="94">
        <f t="shared" si="31"/>
        <v>5768556.9053499997</v>
      </c>
      <c r="X80" s="94">
        <f t="shared" si="31"/>
        <v>3089807.1433300003</v>
      </c>
      <c r="Y80" s="94">
        <f t="shared" si="31"/>
        <v>2296430.2068100004</v>
      </c>
      <c r="Z80" s="94">
        <f t="shared" si="31"/>
        <v>2216074.0266</v>
      </c>
      <c r="AA80" s="94">
        <f t="shared" si="31"/>
        <v>3080267.8390500001</v>
      </c>
      <c r="AB80" s="94">
        <f>AB72</f>
        <v>8570191.9442299996</v>
      </c>
      <c r="AC80" s="94">
        <f t="shared" ref="AC80:AD80" si="32">AC72</f>
        <v>15967978.47535</v>
      </c>
      <c r="AD80" s="94">
        <f t="shared" si="32"/>
        <v>22603095.04854</v>
      </c>
      <c r="AE80" s="94">
        <f>SUM(S80:AD80)</f>
        <v>128985980.09021002</v>
      </c>
    </row>
    <row r="81" spans="1:34" x14ac:dyDescent="0.3">
      <c r="A81" s="23"/>
      <c r="B81" s="114"/>
      <c r="D81" s="10" t="s">
        <v>24</v>
      </c>
      <c r="E81" s="9"/>
      <c r="F81" s="9"/>
      <c r="P81" s="90"/>
      <c r="Q81" s="90" t="s">
        <v>121</v>
      </c>
      <c r="R81" s="90"/>
      <c r="S81" s="94">
        <v>160611</v>
      </c>
      <c r="T81" s="94">
        <v>160378</v>
      </c>
      <c r="U81" s="94">
        <v>161228</v>
      </c>
      <c r="V81" s="94">
        <v>160935</v>
      </c>
      <c r="W81" s="94">
        <v>161371</v>
      </c>
      <c r="X81" s="94">
        <v>161247</v>
      </c>
      <c r="Y81" s="94">
        <v>161588</v>
      </c>
      <c r="Z81" s="94">
        <v>161900</v>
      </c>
      <c r="AA81" s="94">
        <v>160395</v>
      </c>
      <c r="AB81" s="94">
        <v>164606</v>
      </c>
      <c r="AC81" s="94">
        <v>163386</v>
      </c>
      <c r="AD81" s="94">
        <v>163850</v>
      </c>
      <c r="AE81" s="94">
        <f>SUM(S81:AD81)</f>
        <v>1941495</v>
      </c>
      <c r="AG81" s="98">
        <v>1941495</v>
      </c>
      <c r="AH81" t="s">
        <v>122</v>
      </c>
    </row>
    <row r="82" spans="1:34" x14ac:dyDescent="0.3">
      <c r="A82" s="23"/>
      <c r="B82" s="114">
        <v>2</v>
      </c>
      <c r="D82" s="9" t="s">
        <v>26</v>
      </c>
      <c r="E82" s="9"/>
      <c r="F82" s="34">
        <v>6.1830000000000001E-3</v>
      </c>
      <c r="P82" s="90"/>
      <c r="Q82" s="90" t="s">
        <v>123</v>
      </c>
      <c r="R82" s="90"/>
      <c r="S82" s="94">
        <f t="shared" ref="S82:AA82" si="33">S80/S81</f>
        <v>141.64642773732808</v>
      </c>
      <c r="T82" s="94">
        <f t="shared" si="33"/>
        <v>107.76465503017873</v>
      </c>
      <c r="U82" s="94">
        <f t="shared" si="33"/>
        <v>96.773965786215769</v>
      </c>
      <c r="V82" s="94">
        <f t="shared" si="33"/>
        <v>60.632250880293292</v>
      </c>
      <c r="W82" s="94">
        <f t="shared" si="33"/>
        <v>35.747172077696732</v>
      </c>
      <c r="X82" s="94">
        <f t="shared" si="33"/>
        <v>19.161951188735298</v>
      </c>
      <c r="Y82" s="94">
        <f t="shared" si="33"/>
        <v>14.211638282607622</v>
      </c>
      <c r="Z82" s="94">
        <f t="shared" si="33"/>
        <v>13.687918632489191</v>
      </c>
      <c r="AA82" s="94">
        <f t="shared" si="33"/>
        <v>19.204263468624333</v>
      </c>
      <c r="AB82" s="94">
        <f>AB80/AB81</f>
        <v>52.06488186475584</v>
      </c>
      <c r="AC82" s="94">
        <f t="shared" ref="AC82:AE82" si="34">AC80/AC81</f>
        <v>97.731620061388369</v>
      </c>
      <c r="AD82" s="94">
        <f t="shared" si="34"/>
        <v>137.94992400695759</v>
      </c>
      <c r="AE82" s="94">
        <f t="shared" si="34"/>
        <v>66.436421463980082</v>
      </c>
    </row>
    <row r="83" spans="1:34" x14ac:dyDescent="0.3">
      <c r="A83" s="23"/>
      <c r="B83" s="114"/>
      <c r="D83" s="9"/>
      <c r="E83" s="9"/>
      <c r="F83" s="34"/>
      <c r="P83" s="90"/>
      <c r="Q83" s="90" t="s">
        <v>124</v>
      </c>
      <c r="R83" s="90"/>
      <c r="S83" s="94">
        <f>S75</f>
        <v>139102.27900000001</v>
      </c>
      <c r="T83" s="94">
        <f t="shared" ref="T83:AD83" si="35">T75</f>
        <v>117327.56</v>
      </c>
      <c r="U83" s="94">
        <f t="shared" si="35"/>
        <v>113117.076</v>
      </c>
      <c r="V83" s="94">
        <f t="shared" si="35"/>
        <v>93219.127999999997</v>
      </c>
      <c r="W83" s="94">
        <f t="shared" si="35"/>
        <v>72900.841</v>
      </c>
      <c r="X83" s="94">
        <f t="shared" si="35"/>
        <v>47469.584999999992</v>
      </c>
      <c r="Y83" s="94">
        <f t="shared" si="35"/>
        <v>41737.258000000002</v>
      </c>
      <c r="Z83" s="94">
        <f t="shared" si="35"/>
        <v>43515.435999999994</v>
      </c>
      <c r="AA83" s="94">
        <f t="shared" si="35"/>
        <v>44833.752</v>
      </c>
      <c r="AB83" s="94">
        <f t="shared" si="35"/>
        <v>68693.988999999987</v>
      </c>
      <c r="AC83" s="94">
        <f t="shared" si="35"/>
        <v>88518.618999999992</v>
      </c>
      <c r="AD83" s="94">
        <f t="shared" si="35"/>
        <v>114831.204</v>
      </c>
      <c r="AE83" s="94">
        <f>SUM(S83:AD83)</f>
        <v>985266.72699999996</v>
      </c>
      <c r="AG83" s="28">
        <v>36840</v>
      </c>
      <c r="AH83" t="s">
        <v>125</v>
      </c>
    </row>
    <row r="84" spans="1:34" x14ac:dyDescent="0.3">
      <c r="A84" s="23"/>
      <c r="B84" s="114">
        <v>3</v>
      </c>
      <c r="D84" s="9" t="s">
        <v>28</v>
      </c>
      <c r="E84" s="9"/>
      <c r="F84" s="35">
        <v>2E-3</v>
      </c>
      <c r="P84" s="90"/>
      <c r="Q84" s="90" t="s">
        <v>126</v>
      </c>
      <c r="R84" s="90"/>
      <c r="S84" s="94">
        <f>S96</f>
        <v>2</v>
      </c>
      <c r="T84" s="94">
        <f t="shared" ref="T84:AD84" si="36">T96</f>
        <v>2</v>
      </c>
      <c r="U84" s="94">
        <f t="shared" si="36"/>
        <v>2</v>
      </c>
      <c r="V84" s="94">
        <f t="shared" si="36"/>
        <v>2</v>
      </c>
      <c r="W84" s="94">
        <f t="shared" si="36"/>
        <v>2</v>
      </c>
      <c r="X84" s="94">
        <f t="shared" si="36"/>
        <v>2</v>
      </c>
      <c r="Y84" s="94">
        <f t="shared" si="36"/>
        <v>2</v>
      </c>
      <c r="Z84" s="94">
        <f t="shared" si="36"/>
        <v>2</v>
      </c>
      <c r="AA84" s="94">
        <f t="shared" si="36"/>
        <v>2</v>
      </c>
      <c r="AB84" s="94">
        <f t="shared" si="36"/>
        <v>2</v>
      </c>
      <c r="AC84" s="94">
        <f t="shared" si="36"/>
        <v>2</v>
      </c>
      <c r="AD84" s="94">
        <f t="shared" si="36"/>
        <v>2</v>
      </c>
      <c r="AE84" s="94">
        <f>SUM(S84:AD84)</f>
        <v>24</v>
      </c>
      <c r="AG84" s="28">
        <v>36</v>
      </c>
      <c r="AH84" t="s">
        <v>127</v>
      </c>
    </row>
    <row r="85" spans="1:34" x14ac:dyDescent="0.3">
      <c r="A85" s="23"/>
      <c r="B85" s="114"/>
      <c r="D85" s="9"/>
      <c r="E85" s="9"/>
      <c r="F85" s="34"/>
      <c r="P85" s="90"/>
      <c r="Q85" s="90" t="s">
        <v>128</v>
      </c>
      <c r="R85" s="90"/>
      <c r="S85" s="94">
        <f>SUM(S73:S75)-S83</f>
        <v>7868879.8314100001</v>
      </c>
      <c r="T85" s="94">
        <f t="shared" ref="T85:AA85" si="37">SUM(T73:T75)-T83</f>
        <v>7414470.7568700006</v>
      </c>
      <c r="U85" s="94">
        <f t="shared" si="37"/>
        <v>5947208.9858100004</v>
      </c>
      <c r="V85" s="94">
        <f t="shared" si="37"/>
        <v>4624106.7723699994</v>
      </c>
      <c r="W85" s="94">
        <f t="shared" si="37"/>
        <v>3350493.2149800006</v>
      </c>
      <c r="X85" s="94">
        <f t="shared" si="37"/>
        <v>2437871.6305</v>
      </c>
      <c r="Y85" s="94">
        <f t="shared" si="37"/>
        <v>1760019.38356</v>
      </c>
      <c r="Z85" s="94">
        <f t="shared" si="37"/>
        <v>1925464.61497</v>
      </c>
      <c r="AA85" s="94">
        <f t="shared" si="37"/>
        <v>2291323.42368</v>
      </c>
      <c r="AB85" s="94">
        <f>SUM(AB73:AB75)-AB83</f>
        <v>4176692.7944399994</v>
      </c>
      <c r="AC85" s="94">
        <f t="shared" ref="AC85:AD85" si="38">SUM(AC73:AC75)-AC83</f>
        <v>6339582.8774500005</v>
      </c>
      <c r="AD85" s="94">
        <f t="shared" si="38"/>
        <v>7748762.6948600374</v>
      </c>
      <c r="AE85" s="94">
        <f>SUM(S85:AD85)</f>
        <v>55884876.980900034</v>
      </c>
      <c r="AG85" s="28">
        <v>24</v>
      </c>
      <c r="AH85" t="s">
        <v>129</v>
      </c>
    </row>
    <row r="86" spans="1:34" x14ac:dyDescent="0.3">
      <c r="A86" s="23"/>
      <c r="B86" s="114">
        <v>4</v>
      </c>
      <c r="D86" s="9" t="s">
        <v>30</v>
      </c>
      <c r="E86" s="9"/>
      <c r="F86" s="34">
        <v>3.8281999999999997E-2</v>
      </c>
      <c r="P86" s="90"/>
      <c r="Q86" s="90" t="s">
        <v>130</v>
      </c>
      <c r="R86" s="90"/>
      <c r="S86" s="94">
        <f t="shared" ref="S86" si="39">S97-S84</f>
        <v>3023</v>
      </c>
      <c r="T86" s="94">
        <f>T97-T84</f>
        <v>3037</v>
      </c>
      <c r="U86" s="94">
        <f t="shared" ref="U86:AA86" si="40">U97-U84</f>
        <v>3097</v>
      </c>
      <c r="V86" s="94">
        <f t="shared" si="40"/>
        <v>3086</v>
      </c>
      <c r="W86" s="94">
        <f t="shared" si="40"/>
        <v>3066</v>
      </c>
      <c r="X86" s="94">
        <f t="shared" si="40"/>
        <v>3089</v>
      </c>
      <c r="Y86" s="94">
        <f t="shared" si="40"/>
        <v>3078</v>
      </c>
      <c r="Z86" s="94">
        <f t="shared" si="40"/>
        <v>3070</v>
      </c>
      <c r="AA86" s="94">
        <f t="shared" si="40"/>
        <v>2996</v>
      </c>
      <c r="AB86" s="94">
        <f>AB97-AB84</f>
        <v>3147</v>
      </c>
      <c r="AC86" s="94">
        <f t="shared" ref="AC86:AD86" si="41">AC97-AC84</f>
        <v>3078</v>
      </c>
      <c r="AD86" s="94">
        <f t="shared" si="41"/>
        <v>3109</v>
      </c>
      <c r="AE86" s="94">
        <f>SUM(S86:AD86)</f>
        <v>36876</v>
      </c>
      <c r="AG86" s="28">
        <f>SUM(AG83:AG85)</f>
        <v>36900</v>
      </c>
      <c r="AH86" t="s">
        <v>131</v>
      </c>
    </row>
    <row r="87" spans="1:34" x14ac:dyDescent="0.3">
      <c r="A87" s="23"/>
      <c r="B87" s="114"/>
      <c r="D87" s="9"/>
      <c r="E87" s="9"/>
      <c r="F87" s="38"/>
      <c r="P87" s="90"/>
      <c r="Q87" s="90" t="s">
        <v>132</v>
      </c>
      <c r="R87" s="90"/>
      <c r="S87" s="94">
        <f t="shared" ref="S87:AA87" si="42">S85/S86</f>
        <v>2603.0035830003308</v>
      </c>
      <c r="T87" s="94">
        <f t="shared" si="42"/>
        <v>2441.3799001876855</v>
      </c>
      <c r="U87" s="94">
        <f t="shared" si="42"/>
        <v>1920.3128788537297</v>
      </c>
      <c r="V87" s="94">
        <f t="shared" si="42"/>
        <v>1498.4143786033699</v>
      </c>
      <c r="W87" s="94">
        <f t="shared" si="42"/>
        <v>1092.7896982974562</v>
      </c>
      <c r="X87" s="94">
        <f t="shared" si="42"/>
        <v>789.21062819682743</v>
      </c>
      <c r="Y87" s="94">
        <f t="shared" si="42"/>
        <v>571.80616749837554</v>
      </c>
      <c r="Z87" s="94">
        <f t="shared" si="42"/>
        <v>627.18717100000003</v>
      </c>
      <c r="AA87" s="94">
        <f t="shared" si="42"/>
        <v>764.79420016021368</v>
      </c>
      <c r="AB87" s="94">
        <f>AB85/AB86</f>
        <v>1327.1982187607243</v>
      </c>
      <c r="AC87" s="94">
        <f t="shared" ref="AC87:AE87" si="43">AC85/AC86</f>
        <v>2059.6435599252763</v>
      </c>
      <c r="AD87" s="94">
        <f t="shared" si="43"/>
        <v>2492.3649710067666</v>
      </c>
      <c r="AE87" s="94">
        <f t="shared" si="43"/>
        <v>1515.4809898280735</v>
      </c>
      <c r="AG87" s="28">
        <v>-24</v>
      </c>
      <c r="AH87" t="s">
        <v>133</v>
      </c>
    </row>
    <row r="88" spans="1:34" x14ac:dyDescent="0.3">
      <c r="A88" s="23"/>
      <c r="B88" s="114">
        <v>6</v>
      </c>
      <c r="D88" s="9" t="s">
        <v>31</v>
      </c>
      <c r="E88" s="9"/>
      <c r="F88" s="43">
        <f>SUM(F82:F86)</f>
        <v>4.6464999999999992E-2</v>
      </c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G88" s="28">
        <f>AG86+AG87</f>
        <v>36876</v>
      </c>
      <c r="AH88" t="s">
        <v>134</v>
      </c>
    </row>
    <row r="89" spans="1:34" x14ac:dyDescent="0.3">
      <c r="A89" s="23"/>
      <c r="B89" s="114"/>
      <c r="D89" s="9"/>
      <c r="E89" s="9"/>
      <c r="F89" s="9"/>
      <c r="P89" s="90"/>
      <c r="Q89" s="90" t="s">
        <v>135</v>
      </c>
      <c r="R89" s="90"/>
      <c r="S89" s="100">
        <f t="shared" ref="S89:AD89" si="44">S78/$AE78</f>
        <v>0.14490406290209412</v>
      </c>
      <c r="T89" s="100">
        <f t="shared" si="44"/>
        <v>0.12086675462915908</v>
      </c>
      <c r="U89" s="100">
        <f t="shared" si="44"/>
        <v>0.10789569676439575</v>
      </c>
      <c r="V89" s="100">
        <f t="shared" si="44"/>
        <v>8.01711563410408E-2</v>
      </c>
      <c r="W89" s="100">
        <f t="shared" si="44"/>
        <v>5.8864464685413585E-2</v>
      </c>
      <c r="X89" s="100">
        <f t="shared" si="44"/>
        <v>4.3501891212999945E-2</v>
      </c>
      <c r="Y89" s="100">
        <f t="shared" si="44"/>
        <v>3.7217279835904296E-2</v>
      </c>
      <c r="Z89" s="100">
        <f t="shared" si="44"/>
        <v>3.9581963119039811E-2</v>
      </c>
      <c r="AA89" s="100">
        <f t="shared" si="44"/>
        <v>4.4405439121091655E-2</v>
      </c>
      <c r="AB89" s="100">
        <f t="shared" si="44"/>
        <v>7.0836458436364477E-2</v>
      </c>
      <c r="AC89" s="100">
        <f t="shared" si="44"/>
        <v>0.11101403781375338</v>
      </c>
      <c r="AD89" s="100">
        <f t="shared" si="44"/>
        <v>0.14074079513874296</v>
      </c>
      <c r="AE89" s="101">
        <f>SUM(S89:AD89)</f>
        <v>0.99999999999999989</v>
      </c>
    </row>
    <row r="90" spans="1:34" x14ac:dyDescent="0.3">
      <c r="A90" s="23"/>
      <c r="B90" s="114">
        <v>7</v>
      </c>
      <c r="D90" s="9" t="s">
        <v>34</v>
      </c>
      <c r="E90" s="9"/>
      <c r="F90" s="9">
        <f>F79-F88</f>
        <v>0.95353500000000002</v>
      </c>
    </row>
    <row r="91" spans="1:34" x14ac:dyDescent="0.3">
      <c r="A91" s="23"/>
      <c r="B91" s="114"/>
      <c r="D91" s="9"/>
      <c r="E91" s="9"/>
      <c r="F91" s="9"/>
      <c r="Q91" t="s">
        <v>136</v>
      </c>
      <c r="S91" s="98">
        <f>S83-S75</f>
        <v>0</v>
      </c>
      <c r="T91" s="98">
        <f t="shared" ref="T91:AA91" si="45">T83-T75</f>
        <v>0</v>
      </c>
      <c r="U91" s="98">
        <f t="shared" si="45"/>
        <v>0</v>
      </c>
      <c r="V91" s="98">
        <f t="shared" si="45"/>
        <v>0</v>
      </c>
      <c r="W91" s="98">
        <f t="shared" si="45"/>
        <v>0</v>
      </c>
      <c r="X91" s="98">
        <f t="shared" si="45"/>
        <v>0</v>
      </c>
      <c r="Y91" s="98">
        <f t="shared" si="45"/>
        <v>0</v>
      </c>
      <c r="Z91" s="98">
        <f t="shared" si="45"/>
        <v>0</v>
      </c>
      <c r="AA91" s="98">
        <f t="shared" si="45"/>
        <v>0</v>
      </c>
      <c r="AB91" s="98">
        <f>AB83-AB75</f>
        <v>0</v>
      </c>
      <c r="AC91" s="98">
        <f t="shared" ref="AC91:AD91" si="46">AC83-AC75</f>
        <v>0</v>
      </c>
      <c r="AD91" s="98">
        <f t="shared" si="46"/>
        <v>0</v>
      </c>
      <c r="AE91" s="98">
        <f>SUM(S91:AD91)</f>
        <v>0</v>
      </c>
    </row>
    <row r="92" spans="1:34" x14ac:dyDescent="0.3">
      <c r="A92" s="23"/>
      <c r="B92" s="114">
        <v>8</v>
      </c>
      <c r="D92" s="9" t="s">
        <v>36</v>
      </c>
      <c r="E92" s="48"/>
      <c r="F92" s="9">
        <f>F90*0.21</f>
        <v>0.20024234999999999</v>
      </c>
    </row>
    <row r="93" spans="1:34" x14ac:dyDescent="0.3">
      <c r="A93" s="8"/>
      <c r="B93" s="114"/>
      <c r="D93" s="9"/>
      <c r="E93" s="9"/>
      <c r="F93" s="9"/>
      <c r="Q93" t="s">
        <v>137</v>
      </c>
      <c r="S93" s="28">
        <v>3000</v>
      </c>
      <c r="T93" s="94">
        <v>3014</v>
      </c>
      <c r="U93" s="28">
        <v>3074</v>
      </c>
      <c r="V93" s="28">
        <v>3063</v>
      </c>
      <c r="W93" s="28">
        <v>3043</v>
      </c>
      <c r="X93" s="28">
        <v>3066</v>
      </c>
      <c r="Y93" s="28">
        <v>3055</v>
      </c>
      <c r="Z93" s="28">
        <v>3046</v>
      </c>
      <c r="AA93" s="28">
        <v>2976</v>
      </c>
      <c r="AB93" s="28">
        <v>3122</v>
      </c>
      <c r="AC93" s="28">
        <v>3055</v>
      </c>
      <c r="AD93" s="28">
        <v>3326</v>
      </c>
      <c r="AE93" s="98">
        <f>SUM(S93:AD93)</f>
        <v>36840</v>
      </c>
    </row>
    <row r="94" spans="1:34" x14ac:dyDescent="0.3">
      <c r="A94" s="23"/>
      <c r="B94" s="114">
        <v>9</v>
      </c>
      <c r="D94" s="9" t="s">
        <v>3</v>
      </c>
      <c r="E94" s="9"/>
      <c r="F94" s="9">
        <f>ROUND(F90-F92,6)</f>
        <v>0.75329299999999999</v>
      </c>
      <c r="Q94" t="s">
        <v>138</v>
      </c>
      <c r="S94" s="28">
        <v>23</v>
      </c>
      <c r="T94" s="28">
        <v>23</v>
      </c>
      <c r="U94" s="28">
        <v>23</v>
      </c>
      <c r="V94" s="28">
        <v>23</v>
      </c>
      <c r="W94" s="28">
        <v>23</v>
      </c>
      <c r="X94" s="28">
        <v>23</v>
      </c>
      <c r="Y94" s="28">
        <v>23</v>
      </c>
      <c r="Z94" s="28">
        <v>24</v>
      </c>
      <c r="AA94" s="28">
        <v>20</v>
      </c>
      <c r="AB94" s="28">
        <v>25</v>
      </c>
      <c r="AC94" s="28">
        <v>23</v>
      </c>
      <c r="AD94" s="28">
        <f>-208-9</f>
        <v>-217</v>
      </c>
      <c r="AE94" s="28">
        <f>SUM(S94:AD94)</f>
        <v>36</v>
      </c>
    </row>
    <row r="95" spans="1:34" x14ac:dyDescent="0.3">
      <c r="A95" s="8"/>
      <c r="B95" s="114"/>
      <c r="D95" s="9"/>
      <c r="E95" s="9"/>
      <c r="F95" s="50"/>
      <c r="Q95" t="s">
        <v>139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f>SUM(S95:AD95)</f>
        <v>0</v>
      </c>
    </row>
    <row r="96" spans="1:34" x14ac:dyDescent="0.3">
      <c r="A96" s="8"/>
      <c r="B96" s="114"/>
      <c r="D96" s="51" t="s">
        <v>42</v>
      </c>
      <c r="E96" s="9"/>
      <c r="F96" s="50"/>
      <c r="Q96" t="s">
        <v>140</v>
      </c>
      <c r="S96" s="28">
        <f>3-1</f>
        <v>2</v>
      </c>
      <c r="T96" s="28">
        <v>2</v>
      </c>
      <c r="U96" s="28">
        <v>2</v>
      </c>
      <c r="V96" s="28">
        <v>2</v>
      </c>
      <c r="W96" s="28">
        <v>2</v>
      </c>
      <c r="X96" s="28">
        <v>2</v>
      </c>
      <c r="Y96" s="28">
        <v>2</v>
      </c>
      <c r="Z96" s="28">
        <v>2</v>
      </c>
      <c r="AA96" s="28">
        <v>2</v>
      </c>
      <c r="AB96" s="28">
        <v>2</v>
      </c>
      <c r="AC96" s="28">
        <v>2</v>
      </c>
      <c r="AD96" s="28">
        <v>2</v>
      </c>
      <c r="AE96" s="28">
        <f>SUM(S96:AD96)</f>
        <v>24</v>
      </c>
    </row>
    <row r="97" spans="3:31" x14ac:dyDescent="0.3">
      <c r="S97" s="99">
        <f t="shared" ref="S97:AA97" si="47">SUM(S93:S96)</f>
        <v>3025</v>
      </c>
      <c r="T97" s="99">
        <f t="shared" si="47"/>
        <v>3039</v>
      </c>
      <c r="U97" s="99">
        <f t="shared" si="47"/>
        <v>3099</v>
      </c>
      <c r="V97" s="99">
        <f t="shared" si="47"/>
        <v>3088</v>
      </c>
      <c r="W97" s="99">
        <f t="shared" si="47"/>
        <v>3068</v>
      </c>
      <c r="X97" s="99">
        <f t="shared" si="47"/>
        <v>3091</v>
      </c>
      <c r="Y97" s="99">
        <f t="shared" si="47"/>
        <v>3080</v>
      </c>
      <c r="Z97" s="99">
        <f t="shared" si="47"/>
        <v>3072</v>
      </c>
      <c r="AA97" s="99">
        <f t="shared" si="47"/>
        <v>2998</v>
      </c>
      <c r="AB97" s="99">
        <f>SUM(AB93:AB96)</f>
        <v>3149</v>
      </c>
      <c r="AC97" s="99">
        <f t="shared" ref="AC97:AE97" si="48">SUM(AC93:AC96)</f>
        <v>3080</v>
      </c>
      <c r="AD97" s="99">
        <f t="shared" si="48"/>
        <v>3111</v>
      </c>
      <c r="AE97" s="99">
        <f t="shared" si="48"/>
        <v>36900</v>
      </c>
    </row>
    <row r="100" spans="3:31" ht="18" x14ac:dyDescent="0.35">
      <c r="C100" s="116" t="s">
        <v>45</v>
      </c>
    </row>
  </sheetData>
  <printOptions horizontalCentered="1"/>
  <pageMargins left="0.45" right="0.45" top="0.75" bottom="0.75" header="0.3" footer="0.3"/>
  <pageSetup scale="63" orientation="landscape" r:id="rId1"/>
  <headerFooter scaleWithDoc="0">
    <oddFooter>&amp;L&amp;F / &amp;A</oddFooter>
  </headerFooter>
  <rowBreaks count="1" manualBreakCount="1">
    <brk id="79" min="15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20" workbookViewId="0">
      <selection activeCell="H47" sqref="H47"/>
    </sheetView>
  </sheetViews>
  <sheetFormatPr defaultRowHeight="14.4" x14ac:dyDescent="0.3"/>
  <cols>
    <col min="1" max="1" width="21.5546875" customWidth="1"/>
    <col min="3" max="3" width="10.6640625" customWidth="1"/>
    <col min="4" max="4" width="16.33203125" customWidth="1"/>
    <col min="5" max="5" width="18.33203125" customWidth="1"/>
    <col min="6" max="6" width="16.44140625" customWidth="1"/>
    <col min="7" max="7" width="18.88671875" customWidth="1"/>
    <col min="8" max="8" width="16" customWidth="1"/>
    <col min="9" max="9" width="18.109375" customWidth="1"/>
    <col min="10" max="10" width="16.6640625" customWidth="1"/>
    <col min="11" max="11" width="11.88671875" customWidth="1"/>
    <col min="12" max="12" width="13.88671875" customWidth="1"/>
  </cols>
  <sheetData>
    <row r="1" spans="1:12" ht="15.6" x14ac:dyDescent="0.3">
      <c r="A1" s="45" t="s">
        <v>159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6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.6" x14ac:dyDescent="0.3">
      <c r="A3" s="146" t="s">
        <v>160</v>
      </c>
      <c r="B3" s="146"/>
      <c r="C3" s="146"/>
      <c r="D3" s="146" t="s">
        <v>161</v>
      </c>
      <c r="E3" s="45"/>
      <c r="F3" s="45"/>
      <c r="G3" s="45"/>
      <c r="H3" s="45"/>
      <c r="I3" s="45"/>
      <c r="J3" s="45"/>
      <c r="K3" s="45"/>
      <c r="L3" s="45"/>
    </row>
    <row r="4" spans="1:12" ht="15.6" x14ac:dyDescent="0.3">
      <c r="A4" s="45" t="s">
        <v>162</v>
      </c>
      <c r="B4" s="45"/>
      <c r="C4" s="45"/>
      <c r="D4" s="12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</v>
      </c>
      <c r="J4" s="3" t="s">
        <v>11</v>
      </c>
      <c r="L4" s="45"/>
    </row>
    <row r="5" spans="1:12" ht="15.6" x14ac:dyDescent="0.3">
      <c r="A5" s="45"/>
      <c r="B5" s="45"/>
      <c r="C5" s="45"/>
      <c r="D5" s="124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6">
        <v>132</v>
      </c>
      <c r="J5" s="5" t="s">
        <v>18</v>
      </c>
      <c r="L5" s="45"/>
    </row>
    <row r="6" spans="1:12" ht="15.6" x14ac:dyDescent="0.3">
      <c r="A6" s="45"/>
      <c r="B6" s="45"/>
      <c r="C6" s="45"/>
      <c r="D6" s="45"/>
      <c r="E6" s="45"/>
      <c r="F6" s="45"/>
      <c r="G6" s="45"/>
      <c r="H6" s="45"/>
      <c r="I6" s="125"/>
      <c r="J6" s="45"/>
      <c r="L6" s="45"/>
    </row>
    <row r="7" spans="1:12" ht="15.6" x14ac:dyDescent="0.3">
      <c r="A7" s="45" t="s">
        <v>163</v>
      </c>
      <c r="B7" s="45"/>
      <c r="C7" s="45"/>
      <c r="D7" s="126">
        <f>SUM(E7:K7)</f>
        <v>86686000</v>
      </c>
      <c r="E7" s="127">
        <v>65959000</v>
      </c>
      <c r="F7" s="127">
        <v>15082000</v>
      </c>
      <c r="G7" s="127">
        <v>999000</v>
      </c>
      <c r="H7" s="127">
        <v>0</v>
      </c>
      <c r="I7" s="128">
        <v>185000</v>
      </c>
      <c r="J7" s="127">
        <v>4461000</v>
      </c>
      <c r="L7" s="45"/>
    </row>
    <row r="8" spans="1:12" ht="15.6" x14ac:dyDescent="0.3">
      <c r="A8" s="45" t="s">
        <v>164</v>
      </c>
      <c r="B8" s="45"/>
      <c r="C8" s="45"/>
      <c r="D8" s="129">
        <f>SUM(E8:K8)</f>
        <v>252141683</v>
      </c>
      <c r="E8" s="130">
        <v>119446617</v>
      </c>
      <c r="F8" s="130">
        <v>47951720</v>
      </c>
      <c r="G8" s="130">
        <v>4115331</v>
      </c>
      <c r="H8" s="130">
        <v>0</v>
      </c>
      <c r="I8" s="131">
        <v>901267</v>
      </c>
      <c r="J8" s="130">
        <v>79726748</v>
      </c>
      <c r="L8" s="45"/>
    </row>
    <row r="9" spans="1:12" ht="15.6" x14ac:dyDescent="0.3">
      <c r="A9" s="45" t="s">
        <v>43</v>
      </c>
      <c r="B9" s="45"/>
      <c r="C9" s="45"/>
      <c r="D9" s="129">
        <f>SUM(E9:K9)</f>
        <v>1881282</v>
      </c>
      <c r="E9" s="130">
        <v>1847462</v>
      </c>
      <c r="F9" s="130">
        <v>32983</v>
      </c>
      <c r="G9" s="130">
        <v>273</v>
      </c>
      <c r="H9" s="130">
        <v>0</v>
      </c>
      <c r="I9" s="131">
        <v>24</v>
      </c>
      <c r="J9" s="130">
        <v>540</v>
      </c>
      <c r="L9" s="45"/>
    </row>
    <row r="10" spans="1:12" ht="15.6" x14ac:dyDescent="0.3">
      <c r="A10" s="64" t="s">
        <v>165</v>
      </c>
      <c r="B10" s="45"/>
      <c r="C10" s="45"/>
      <c r="D10" s="45"/>
      <c r="E10" s="132">
        <v>9.5</v>
      </c>
      <c r="F10" s="132">
        <v>97.25</v>
      </c>
      <c r="G10" s="132">
        <v>240.44</v>
      </c>
      <c r="H10" s="132"/>
      <c r="I10" s="133"/>
      <c r="J10" s="45"/>
      <c r="L10" s="45"/>
    </row>
    <row r="11" spans="1:12" ht="15.6" x14ac:dyDescent="0.3">
      <c r="A11" s="64" t="s">
        <v>166</v>
      </c>
      <c r="B11" s="45"/>
      <c r="C11" s="45"/>
      <c r="D11" s="45"/>
      <c r="E11" s="134">
        <v>0</v>
      </c>
      <c r="F11" s="134">
        <v>0</v>
      </c>
      <c r="G11" s="134">
        <v>0</v>
      </c>
      <c r="H11" s="132"/>
      <c r="I11" s="133"/>
      <c r="J11" s="45"/>
      <c r="L11" s="45"/>
    </row>
    <row r="12" spans="1:12" ht="15.6" x14ac:dyDescent="0.3">
      <c r="A12" s="45" t="s">
        <v>167</v>
      </c>
      <c r="B12" s="45"/>
      <c r="C12" s="135"/>
      <c r="D12" s="126">
        <f>SUM(E12:K12)</f>
        <v>0</v>
      </c>
      <c r="E12" s="127">
        <f>E8*E11</f>
        <v>0</v>
      </c>
      <c r="F12" s="127">
        <f t="shared" ref="F12:G12" si="0">F8*F11</f>
        <v>0</v>
      </c>
      <c r="G12" s="127">
        <f t="shared" si="0"/>
        <v>0</v>
      </c>
      <c r="H12" s="127"/>
      <c r="I12" s="128"/>
      <c r="J12" s="127"/>
      <c r="L12" s="45"/>
    </row>
    <row r="13" spans="1:12" ht="15.6" x14ac:dyDescent="0.3">
      <c r="A13" s="45" t="s">
        <v>168</v>
      </c>
      <c r="B13" s="45"/>
      <c r="C13" s="45"/>
      <c r="D13" s="126">
        <f>SUM(E13:K13)</f>
        <v>20824125.870000001</v>
      </c>
      <c r="E13" s="127">
        <f>E9*E10</f>
        <v>17550889</v>
      </c>
      <c r="F13" s="127">
        <f t="shared" ref="F13:G13" si="1">F9*F10</f>
        <v>3207596.75</v>
      </c>
      <c r="G13" s="127">
        <f t="shared" si="1"/>
        <v>65640.12</v>
      </c>
      <c r="H13" s="127"/>
      <c r="I13" s="128"/>
      <c r="J13" s="127"/>
      <c r="L13" s="45"/>
    </row>
    <row r="14" spans="1:12" ht="15.6" x14ac:dyDescent="0.3">
      <c r="A14" s="45" t="s">
        <v>169</v>
      </c>
      <c r="B14" s="45"/>
      <c r="C14" s="45"/>
      <c r="D14" s="126">
        <f>SUM(E14:K14)</f>
        <v>4646000</v>
      </c>
      <c r="E14" s="127"/>
      <c r="F14" s="127"/>
      <c r="G14" s="127"/>
      <c r="H14" s="127">
        <f>H7</f>
        <v>0</v>
      </c>
      <c r="I14" s="128">
        <f>I7</f>
        <v>185000</v>
      </c>
      <c r="J14" s="127">
        <f>J7</f>
        <v>4461000</v>
      </c>
      <c r="L14" s="45"/>
    </row>
    <row r="15" spans="1:12" ht="15.6" x14ac:dyDescent="0.3">
      <c r="A15" s="45" t="s">
        <v>170</v>
      </c>
      <c r="B15" s="45"/>
      <c r="C15" s="45"/>
      <c r="D15" s="136">
        <f>SUM(E15:K15)</f>
        <v>61215874.130000003</v>
      </c>
      <c r="E15" s="137">
        <f>E7-SUM(E12:E14)</f>
        <v>48408111</v>
      </c>
      <c r="F15" s="137">
        <f t="shared" ref="F15:J15" si="2">F7-SUM(F12:F14)</f>
        <v>11874403.25</v>
      </c>
      <c r="G15" s="137">
        <f t="shared" si="2"/>
        <v>933359.88</v>
      </c>
      <c r="H15" s="137">
        <f t="shared" si="2"/>
        <v>0</v>
      </c>
      <c r="I15" s="138">
        <f t="shared" si="2"/>
        <v>0</v>
      </c>
      <c r="J15" s="137">
        <f t="shared" si="2"/>
        <v>0</v>
      </c>
      <c r="L15" s="45"/>
    </row>
    <row r="16" spans="1:12" ht="15.6" x14ac:dyDescent="0.3">
      <c r="A16" s="45"/>
      <c r="B16" s="45"/>
      <c r="C16" s="45"/>
      <c r="D16" s="139"/>
      <c r="E16" s="140"/>
      <c r="F16" s="140"/>
      <c r="G16" s="140"/>
      <c r="H16" s="140"/>
      <c r="I16" s="140"/>
      <c r="J16" s="140"/>
      <c r="L16" s="45"/>
    </row>
    <row r="17" spans="1:12" ht="15.6" x14ac:dyDescent="0.3">
      <c r="A17" s="45" t="s">
        <v>171</v>
      </c>
      <c r="B17" s="45"/>
      <c r="C17" s="45"/>
      <c r="D17" s="126"/>
      <c r="E17" s="141">
        <v>314.43</v>
      </c>
      <c r="F17" s="141">
        <v>4621.5200000000004</v>
      </c>
      <c r="G17" s="127"/>
      <c r="H17" s="142" t="s">
        <v>172</v>
      </c>
      <c r="I17" s="143" t="s">
        <v>173</v>
      </c>
      <c r="J17" s="144" t="s">
        <v>174</v>
      </c>
      <c r="L17" s="45"/>
    </row>
    <row r="18" spans="1:12" ht="15.6" x14ac:dyDescent="0.3">
      <c r="A18" s="45" t="s">
        <v>175</v>
      </c>
      <c r="B18" s="45"/>
      <c r="C18" s="45"/>
      <c r="D18" s="126">
        <f>SUM(E18:F18)</f>
        <v>61215895.481666669</v>
      </c>
      <c r="E18" s="127">
        <f>E17*E9/12</f>
        <v>48408123.055</v>
      </c>
      <c r="F18" s="127">
        <f>F17*SUM(F9:H9)/12</f>
        <v>12807772.426666668</v>
      </c>
      <c r="G18" s="45"/>
      <c r="H18" s="45" t="s">
        <v>37</v>
      </c>
      <c r="I18" s="145">
        <f>E17/J18</f>
        <v>0.40526949917719313</v>
      </c>
      <c r="J18" s="130">
        <f>E8/ROUND(E9/12,0)</f>
        <v>775.85409372868696</v>
      </c>
      <c r="L18" s="45"/>
    </row>
    <row r="19" spans="1:12" ht="15.6" x14ac:dyDescent="0.3">
      <c r="A19" s="45" t="s">
        <v>176</v>
      </c>
      <c r="B19" s="45"/>
      <c r="C19" s="45"/>
      <c r="D19" s="126">
        <f>SUM(E19:F19)</f>
        <v>21.351666666567326</v>
      </c>
      <c r="E19" s="126">
        <f>E18-E15</f>
        <v>12.054999999701977</v>
      </c>
      <c r="F19" s="126">
        <f>F18-SUM(F15:H15)</f>
        <v>9.2966666668653488</v>
      </c>
      <c r="G19" s="45"/>
      <c r="H19" s="45" t="s">
        <v>177</v>
      </c>
      <c r="I19" s="145">
        <f>F17/J19</f>
        <v>0.24595654399554917</v>
      </c>
      <c r="J19" s="130">
        <f>SUM(F8:H8)/ROUND(SUM(F9:H9)/12,0)</f>
        <v>18789.985925658606</v>
      </c>
      <c r="L19" s="45"/>
    </row>
    <row r="20" spans="1:12" ht="15.6" x14ac:dyDescent="0.3">
      <c r="A20" s="45"/>
      <c r="B20" s="45"/>
      <c r="C20" s="45"/>
      <c r="D20" s="45"/>
      <c r="E20" s="127"/>
      <c r="F20" s="127"/>
      <c r="G20" s="127"/>
      <c r="H20" s="144" t="s">
        <v>178</v>
      </c>
      <c r="I20" s="45"/>
      <c r="J20" s="45"/>
      <c r="K20" s="45"/>
      <c r="L20" s="45"/>
    </row>
    <row r="21" spans="1:12" ht="15.6" x14ac:dyDescent="0.3">
      <c r="A21" s="45" t="s">
        <v>179</v>
      </c>
      <c r="B21" s="45"/>
      <c r="C21" s="45"/>
      <c r="D21" s="126">
        <f>D7+D19-D12</f>
        <v>86686021.351666659</v>
      </c>
      <c r="E21" s="45"/>
      <c r="F21" s="45"/>
      <c r="G21" s="45"/>
      <c r="H21" s="45" t="s">
        <v>37</v>
      </c>
      <c r="I21" s="45"/>
      <c r="J21" s="130">
        <f>E9/12</f>
        <v>153955.16666666666</v>
      </c>
      <c r="K21" s="45"/>
      <c r="L21" s="45"/>
    </row>
    <row r="22" spans="1:12" ht="15.6" x14ac:dyDescent="0.3">
      <c r="A22" s="45"/>
      <c r="B22" s="45"/>
      <c r="C22" s="45"/>
      <c r="D22" s="126"/>
      <c r="E22" s="45"/>
      <c r="F22" s="45"/>
      <c r="G22" s="45"/>
      <c r="H22" s="45" t="s">
        <v>177</v>
      </c>
      <c r="I22" s="45"/>
      <c r="J22" s="130">
        <f>SUM(F9:H9)/12</f>
        <v>2771.3333333333335</v>
      </c>
      <c r="K22" s="45"/>
      <c r="L22" s="45"/>
    </row>
    <row r="23" spans="1:12" ht="15.6" x14ac:dyDescent="0.3">
      <c r="A23" s="45" t="s">
        <v>180</v>
      </c>
      <c r="B23" s="45"/>
      <c r="C23" s="45"/>
      <c r="D23" s="126"/>
      <c r="E23" s="141">
        <f>E15/(E9/12)</f>
        <v>314.4299216979835</v>
      </c>
      <c r="F23" s="141">
        <f>SUM(F15:G15)/(SUM(F9:G9)/12)</f>
        <v>4621.5166454173686</v>
      </c>
      <c r="G23" s="45"/>
      <c r="H23" s="45"/>
      <c r="I23" s="45"/>
      <c r="J23" s="45"/>
      <c r="K23" s="45"/>
      <c r="L23" s="45"/>
    </row>
    <row r="24" spans="1:12" ht="15.6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15.6" x14ac:dyDescent="0.3">
      <c r="A25" s="146" t="s">
        <v>190</v>
      </c>
      <c r="B25" s="45"/>
      <c r="C25" s="45"/>
      <c r="D25" s="146" t="s">
        <v>191</v>
      </c>
      <c r="E25" s="45"/>
      <c r="F25" s="45"/>
      <c r="G25" s="45"/>
      <c r="H25" s="45"/>
      <c r="I25" s="45"/>
      <c r="J25" s="45"/>
      <c r="K25" s="45"/>
      <c r="L25" s="45"/>
    </row>
    <row r="26" spans="1:12" ht="15.6" x14ac:dyDescent="0.3">
      <c r="A26" s="45" t="s">
        <v>162</v>
      </c>
      <c r="B26" s="45"/>
      <c r="C26" s="45"/>
      <c r="D26" s="12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4" t="s">
        <v>11</v>
      </c>
      <c r="J26" s="3" t="s">
        <v>11</v>
      </c>
      <c r="L26" s="45"/>
    </row>
    <row r="27" spans="1:12" ht="15.6" x14ac:dyDescent="0.3">
      <c r="A27" s="45"/>
      <c r="B27" s="45"/>
      <c r="C27" s="45"/>
      <c r="D27" s="124" t="s">
        <v>13</v>
      </c>
      <c r="E27" s="5" t="s">
        <v>14</v>
      </c>
      <c r="F27" s="5" t="s">
        <v>15</v>
      </c>
      <c r="G27" s="5" t="s">
        <v>16</v>
      </c>
      <c r="H27" s="5" t="s">
        <v>17</v>
      </c>
      <c r="I27" s="6">
        <v>132</v>
      </c>
      <c r="J27" s="5" t="s">
        <v>18</v>
      </c>
      <c r="L27" s="45"/>
    </row>
    <row r="28" spans="1:12" ht="15.6" x14ac:dyDescent="0.3">
      <c r="A28" s="45"/>
      <c r="B28" s="45"/>
      <c r="C28" s="45"/>
      <c r="D28" s="45"/>
      <c r="E28" s="45"/>
      <c r="F28" s="45"/>
      <c r="G28" s="45"/>
      <c r="H28" s="45"/>
      <c r="I28" s="125"/>
      <c r="J28" s="45"/>
      <c r="L28" s="45"/>
    </row>
    <row r="29" spans="1:12" ht="15.6" x14ac:dyDescent="0.3">
      <c r="A29" s="45" t="s">
        <v>163</v>
      </c>
      <c r="B29" s="45"/>
      <c r="C29" s="45"/>
      <c r="D29" s="126">
        <f>SUM(E29:K29)</f>
        <v>93707000</v>
      </c>
      <c r="E29" s="147">
        <f>'UG-19____ Proposed Base prelim'!D11</f>
        <v>71132000</v>
      </c>
      <c r="F29" s="147">
        <f>'UG-19____ Proposed Base prelim'!E11</f>
        <v>17111000</v>
      </c>
      <c r="G29" s="147">
        <f>'UG-19____ Proposed Base prelim'!F11</f>
        <v>307000</v>
      </c>
      <c r="H29" s="147">
        <f>'UG-19____ Proposed Base prelim'!G11</f>
        <v>0</v>
      </c>
      <c r="I29" s="148">
        <f>'UG-19____ Proposed Base prelim'!H11</f>
        <v>201000</v>
      </c>
      <c r="J29" s="147">
        <f>'UG-19____ Proposed Base prelim'!I11</f>
        <v>4956000</v>
      </c>
      <c r="L29" s="45"/>
    </row>
    <row r="30" spans="1:12" ht="15.6" x14ac:dyDescent="0.3">
      <c r="A30" s="45" t="s">
        <v>164</v>
      </c>
      <c r="B30" s="45"/>
      <c r="C30" s="45"/>
      <c r="D30" s="129">
        <f>SUM(E30:K30)</f>
        <v>275981665</v>
      </c>
      <c r="E30" s="149">
        <f>'UG-19____ Proposed Base prelim'!D13</f>
        <v>128985980</v>
      </c>
      <c r="F30" s="149">
        <f>'UG-19____ Proposed Base prelim'!E13</f>
        <v>54329806</v>
      </c>
      <c r="G30" s="149">
        <f>'UG-19____ Proposed Base prelim'!F13</f>
        <v>1555071</v>
      </c>
      <c r="H30" s="149">
        <f>'UG-19____ Proposed Base prelim'!G13</f>
        <v>0</v>
      </c>
      <c r="I30" s="150">
        <f>'UG-19____ Proposed Base prelim'!H13</f>
        <v>985267</v>
      </c>
      <c r="J30" s="149">
        <f>'UG-19____ Proposed Base prelim'!I13</f>
        <v>90125541</v>
      </c>
      <c r="L30" s="45"/>
    </row>
    <row r="31" spans="1:12" ht="15.6" x14ac:dyDescent="0.3">
      <c r="A31" s="45" t="s">
        <v>43</v>
      </c>
      <c r="B31" s="45"/>
      <c r="C31" s="45"/>
      <c r="D31" s="129">
        <f>SUM(E31:K31)</f>
        <v>1978935</v>
      </c>
      <c r="E31" s="151">
        <f>'UG-19____ Proposed Base prelim'!D19</f>
        <v>1941495</v>
      </c>
      <c r="F31" s="151">
        <f>'UG-19____ Proposed Base prelim'!E19</f>
        <v>36840</v>
      </c>
      <c r="G31" s="151">
        <f>'UG-19____ Proposed Base prelim'!F19</f>
        <v>36</v>
      </c>
      <c r="H31" s="151">
        <f>'UG-19____ Proposed Base prelim'!G19</f>
        <v>0</v>
      </c>
      <c r="I31" s="150">
        <f>'UG-19____ Proposed Base prelim'!H19</f>
        <v>24</v>
      </c>
      <c r="J31" s="151">
        <f>'UG-19____ Proposed Base prelim'!I19</f>
        <v>540</v>
      </c>
      <c r="L31" s="45"/>
    </row>
    <row r="32" spans="1:12" ht="15.6" x14ac:dyDescent="0.3">
      <c r="A32" s="64" t="s">
        <v>165</v>
      </c>
      <c r="B32" s="45"/>
      <c r="C32" s="45"/>
      <c r="D32" s="45"/>
      <c r="E32" s="132">
        <v>9.5</v>
      </c>
      <c r="F32" s="132">
        <v>97.25</v>
      </c>
      <c r="G32" s="132">
        <v>240.44</v>
      </c>
      <c r="H32" s="152"/>
      <c r="I32" s="153"/>
      <c r="J32" s="29"/>
      <c r="L32" s="45"/>
    </row>
    <row r="33" spans="1:12" ht="15.6" x14ac:dyDescent="0.3">
      <c r="A33" s="64" t="s">
        <v>166</v>
      </c>
      <c r="B33" s="45"/>
      <c r="C33" s="45"/>
      <c r="D33" s="45"/>
      <c r="E33" s="154">
        <v>0</v>
      </c>
      <c r="F33" s="154">
        <v>0</v>
      </c>
      <c r="G33" s="154">
        <v>0</v>
      </c>
      <c r="H33" s="152"/>
      <c r="I33" s="153"/>
      <c r="J33" s="29"/>
      <c r="L33" s="45"/>
    </row>
    <row r="34" spans="1:12" ht="15.6" x14ac:dyDescent="0.3">
      <c r="A34" s="45" t="s">
        <v>167</v>
      </c>
      <c r="B34" s="45"/>
      <c r="C34" s="135"/>
      <c r="D34" s="126">
        <f>SUM(E34:K34)</f>
        <v>0</v>
      </c>
      <c r="E34" s="155">
        <f>E30*E33</f>
        <v>0</v>
      </c>
      <c r="F34" s="155">
        <f t="shared" ref="F34:G34" si="3">F30*F33</f>
        <v>0</v>
      </c>
      <c r="G34" s="155">
        <f t="shared" si="3"/>
        <v>0</v>
      </c>
      <c r="H34" s="155"/>
      <c r="I34" s="156"/>
      <c r="J34" s="155"/>
      <c r="L34" s="45"/>
    </row>
    <row r="35" spans="1:12" ht="15.6" x14ac:dyDescent="0.3">
      <c r="A35" s="45" t="s">
        <v>168</v>
      </c>
      <c r="B35" s="45"/>
      <c r="C35" s="45"/>
      <c r="D35" s="126">
        <f>SUM(E35:K35)</f>
        <v>22035548.34</v>
      </c>
      <c r="E35" s="155">
        <f>E31*E32</f>
        <v>18444202.5</v>
      </c>
      <c r="F35" s="155">
        <f t="shared" ref="F35:G35" si="4">F31*F32</f>
        <v>3582690</v>
      </c>
      <c r="G35" s="155">
        <f t="shared" si="4"/>
        <v>8655.84</v>
      </c>
      <c r="H35" s="155"/>
      <c r="I35" s="156"/>
      <c r="J35" s="155"/>
      <c r="L35" s="45"/>
    </row>
    <row r="36" spans="1:12" ht="15.6" x14ac:dyDescent="0.3">
      <c r="A36" s="45" t="s">
        <v>169</v>
      </c>
      <c r="B36" s="45"/>
      <c r="C36" s="45"/>
      <c r="D36" s="126">
        <f>SUM(E36:K36)</f>
        <v>5157000</v>
      </c>
      <c r="E36" s="155"/>
      <c r="F36" s="155"/>
      <c r="G36" s="155"/>
      <c r="H36" s="155">
        <f>H29</f>
        <v>0</v>
      </c>
      <c r="I36" s="156">
        <f>I29</f>
        <v>201000</v>
      </c>
      <c r="J36" s="155">
        <f>J29</f>
        <v>4956000</v>
      </c>
      <c r="L36" s="45"/>
    </row>
    <row r="37" spans="1:12" ht="15.6" x14ac:dyDescent="0.3">
      <c r="A37" s="45" t="s">
        <v>170</v>
      </c>
      <c r="B37" s="45"/>
      <c r="C37" s="45"/>
      <c r="D37" s="136">
        <f>SUM(E37:K37)</f>
        <v>66514451.659999996</v>
      </c>
      <c r="E37" s="157">
        <f>E29-SUM(E34:E36)</f>
        <v>52687797.5</v>
      </c>
      <c r="F37" s="157">
        <f t="shared" ref="F37:J37" si="5">F29-SUM(F34:F36)</f>
        <v>13528310</v>
      </c>
      <c r="G37" s="157">
        <f t="shared" si="5"/>
        <v>298344.15999999997</v>
      </c>
      <c r="H37" s="157">
        <f t="shared" si="5"/>
        <v>0</v>
      </c>
      <c r="I37" s="158">
        <f t="shared" si="5"/>
        <v>0</v>
      </c>
      <c r="J37" s="157">
        <f t="shared" si="5"/>
        <v>0</v>
      </c>
      <c r="L37" s="45"/>
    </row>
    <row r="38" spans="1:12" ht="15.6" x14ac:dyDescent="0.3">
      <c r="A38" s="45"/>
      <c r="B38" s="45"/>
      <c r="C38" s="45"/>
      <c r="D38" s="139"/>
      <c r="E38" s="140"/>
      <c r="F38" s="140"/>
      <c r="G38" s="140"/>
      <c r="H38" s="140"/>
      <c r="I38" s="140"/>
      <c r="J38" s="140"/>
      <c r="L38" s="45"/>
    </row>
    <row r="39" spans="1:12" ht="15.6" x14ac:dyDescent="0.3">
      <c r="A39" s="45" t="s">
        <v>193</v>
      </c>
      <c r="B39" s="45"/>
      <c r="C39" s="45"/>
      <c r="D39" s="126"/>
      <c r="E39" s="141">
        <f>$E$23</f>
        <v>314.4299216979835</v>
      </c>
      <c r="F39" s="141">
        <f>$F$23</f>
        <v>4621.5166454173686</v>
      </c>
      <c r="G39" s="127"/>
      <c r="H39" s="142" t="s">
        <v>172</v>
      </c>
      <c r="I39" s="143" t="s">
        <v>174</v>
      </c>
      <c r="J39" s="143" t="s">
        <v>192</v>
      </c>
      <c r="K39" s="45" t="s">
        <v>181</v>
      </c>
      <c r="L39" s="45" t="s">
        <v>182</v>
      </c>
    </row>
    <row r="40" spans="1:12" ht="15.6" x14ac:dyDescent="0.3">
      <c r="A40" s="45" t="s">
        <v>194</v>
      </c>
      <c r="B40" s="45"/>
      <c r="C40" s="45"/>
      <c r="D40" s="126">
        <f>SUM(E40:F40)</f>
        <v>65073930.720286451</v>
      </c>
      <c r="E40" s="127">
        <f>E39*E31/12</f>
        <v>50872010.068918876</v>
      </c>
      <c r="F40" s="127">
        <f>F39*SUM(F31:H31)/12</f>
        <v>14201920.651367575</v>
      </c>
      <c r="G40" s="45"/>
      <c r="H40" s="45" t="s">
        <v>37</v>
      </c>
      <c r="I40" s="129">
        <f>J18</f>
        <v>775.85409372868696</v>
      </c>
      <c r="J40" s="130">
        <f>E30/ROUND(E31/12,0)</f>
        <v>797.2382889035855</v>
      </c>
      <c r="K40" s="129">
        <f>J40-I40</f>
        <v>21.384195174898537</v>
      </c>
      <c r="L40" s="159">
        <f>K40*$I$18</f>
        <v>8.6663620688384793</v>
      </c>
    </row>
    <row r="41" spans="1:12" ht="15.6" x14ac:dyDescent="0.3">
      <c r="A41" s="45" t="s">
        <v>195</v>
      </c>
      <c r="B41" s="45"/>
      <c r="C41" s="45"/>
      <c r="D41" s="126">
        <f>SUM(E41:F41)</f>
        <v>-1440520.9397135489</v>
      </c>
      <c r="E41" s="126">
        <f>E40-E37</f>
        <v>-1815787.4310811237</v>
      </c>
      <c r="F41" s="126">
        <f>F40-SUM(F37:I37)</f>
        <v>375266.49136757478</v>
      </c>
      <c r="G41" s="45"/>
      <c r="H41" s="45" t="s">
        <v>177</v>
      </c>
      <c r="I41" s="129">
        <f>J19</f>
        <v>18789.985925658606</v>
      </c>
      <c r="J41" s="130">
        <f>SUM(F30:H30)/ROUND(SUM(F31:H31)/12,0)</f>
        <v>18185.771884152295</v>
      </c>
      <c r="K41" s="129">
        <f>J41-I41</f>
        <v>-604.21404150631133</v>
      </c>
      <c r="L41" s="159">
        <f>K41*$I$19</f>
        <v>-148.61039748247563</v>
      </c>
    </row>
    <row r="42" spans="1:12" ht="15.6" x14ac:dyDescent="0.3">
      <c r="A42" s="45"/>
      <c r="B42" s="45"/>
      <c r="C42" s="45"/>
      <c r="D42" s="127"/>
      <c r="E42" s="127"/>
      <c r="F42" s="127"/>
      <c r="G42" s="127"/>
      <c r="H42" s="144" t="s">
        <v>178</v>
      </c>
      <c r="I42" s="45"/>
      <c r="J42" s="45"/>
      <c r="K42" s="45"/>
      <c r="L42" s="64" t="s">
        <v>183</v>
      </c>
    </row>
    <row r="43" spans="1:12" ht="15.6" x14ac:dyDescent="0.3">
      <c r="A43" s="45" t="s">
        <v>196</v>
      </c>
      <c r="B43" s="45"/>
      <c r="C43" s="45"/>
      <c r="D43" s="126">
        <f>D29+D41</f>
        <v>92266479.060286447</v>
      </c>
      <c r="E43" s="45"/>
      <c r="F43" s="45"/>
      <c r="G43" s="45"/>
      <c r="H43" s="45" t="s">
        <v>37</v>
      </c>
      <c r="I43" s="129">
        <f>J21</f>
        <v>153955.16666666666</v>
      </c>
      <c r="J43" s="130">
        <f>E31/12</f>
        <v>161791.25</v>
      </c>
      <c r="K43" s="45"/>
      <c r="L43" s="65">
        <f>J43*L40</f>
        <v>1402141.5520699637</v>
      </c>
    </row>
    <row r="44" spans="1:12" ht="15.6" x14ac:dyDescent="0.3">
      <c r="A44" s="45"/>
      <c r="B44" s="45"/>
      <c r="C44" s="45"/>
      <c r="D44" s="126"/>
      <c r="E44" s="160" t="s">
        <v>37</v>
      </c>
      <c r="F44" s="160" t="s">
        <v>177</v>
      </c>
      <c r="G44" s="160" t="s">
        <v>184</v>
      </c>
      <c r="H44" s="45" t="s">
        <v>177</v>
      </c>
      <c r="I44" s="129">
        <f>J22</f>
        <v>2771.3333333333335</v>
      </c>
      <c r="J44" s="130">
        <f>SUM(F31:H31)/12</f>
        <v>3073</v>
      </c>
      <c r="K44" s="45"/>
      <c r="L44" s="65">
        <f>J44*L41</f>
        <v>-456679.75146364764</v>
      </c>
    </row>
    <row r="45" spans="1:12" ht="15.6" x14ac:dyDescent="0.3">
      <c r="A45" s="45" t="s">
        <v>180</v>
      </c>
      <c r="B45" s="45"/>
      <c r="C45" s="45"/>
      <c r="D45" s="126"/>
      <c r="E45" s="141">
        <f>E37/(E31/12)</f>
        <v>325.65294785719254</v>
      </c>
      <c r="F45" s="141">
        <f>SUM(F37:G37)/(SUM(F31:G31)/12)</f>
        <v>4499.3993361535959</v>
      </c>
      <c r="G45" s="45"/>
      <c r="H45" s="161" t="s">
        <v>185</v>
      </c>
      <c r="I45" s="45"/>
      <c r="J45" s="45"/>
      <c r="L45" s="45"/>
    </row>
    <row r="46" spans="1:12" ht="15.6" x14ac:dyDescent="0.3">
      <c r="A46" s="45" t="s">
        <v>186</v>
      </c>
      <c r="B46" s="45"/>
      <c r="C46" s="45"/>
      <c r="D46" s="126">
        <f>SUM(E46:G46)</f>
        <v>1211422.4699999997</v>
      </c>
      <c r="E46" s="127">
        <f>E35-E13</f>
        <v>893313.5</v>
      </c>
      <c r="F46" s="127">
        <f>SUM(F35:H35)-SUM(F13:H13)</f>
        <v>318108.96999999974</v>
      </c>
      <c r="G46" s="45"/>
      <c r="H46" s="45" t="s">
        <v>37</v>
      </c>
      <c r="I46" s="162">
        <f>I18</f>
        <v>0.40526949917719313</v>
      </c>
      <c r="J46" s="162">
        <f>E45/J40</f>
        <v>0.40847630174041427</v>
      </c>
      <c r="K46" s="163">
        <f>J46-I46</f>
        <v>3.206802563221145E-3</v>
      </c>
      <c r="L46" s="65">
        <f>K46*J40*J43</f>
        <v>413633.21043003845</v>
      </c>
    </row>
    <row r="47" spans="1:12" ht="15.6" x14ac:dyDescent="0.3">
      <c r="A47" s="45" t="s">
        <v>187</v>
      </c>
      <c r="B47" s="45"/>
      <c r="C47" s="45"/>
      <c r="D47" s="126">
        <f>SUM(E47:G47)</f>
        <v>3858035.2386197839</v>
      </c>
      <c r="E47" s="126">
        <f>E40-E18</f>
        <v>2463887.0139188766</v>
      </c>
      <c r="F47" s="126">
        <f>F40-F18</f>
        <v>1394148.2247009072</v>
      </c>
      <c r="G47" s="45"/>
      <c r="H47" s="45" t="s">
        <v>177</v>
      </c>
      <c r="I47" s="162">
        <f>I19</f>
        <v>0.24595654399554917</v>
      </c>
      <c r="J47" s="162">
        <f>F45/J41</f>
        <v>0.24741316259853269</v>
      </c>
      <c r="K47" s="163">
        <f>J47-I47</f>
        <v>1.4566186029835171E-3</v>
      </c>
      <c r="L47" s="65">
        <f>K47*J41*J44</f>
        <v>81402.951463645688</v>
      </c>
    </row>
    <row r="48" spans="1:12" ht="15.6" x14ac:dyDescent="0.3">
      <c r="A48" s="45" t="s">
        <v>188</v>
      </c>
      <c r="B48" s="45"/>
      <c r="C48" s="45"/>
      <c r="D48" s="126">
        <f>SUM(E48:G48)</f>
        <v>511000</v>
      </c>
      <c r="E48" s="126"/>
      <c r="F48" s="126"/>
      <c r="G48" s="126">
        <f>SUM(I36:J36)-SUM(I14:J14)</f>
        <v>511000</v>
      </c>
      <c r="H48" s="45"/>
      <c r="I48" s="45"/>
      <c r="J48" s="45"/>
      <c r="L48" s="45"/>
    </row>
    <row r="49" spans="1:12" ht="15.6" x14ac:dyDescent="0.3">
      <c r="A49" s="45" t="s">
        <v>189</v>
      </c>
      <c r="B49" s="45"/>
      <c r="C49" s="45"/>
      <c r="D49" s="136">
        <f>SUM(D46:D48)</f>
        <v>5580457.7086197836</v>
      </c>
      <c r="E49" s="136">
        <f>SUM(E46:E48)</f>
        <v>3357200.5139188766</v>
      </c>
      <c r="F49" s="136">
        <f t="shared" ref="F49:G49" si="6">SUM(F46:F48)</f>
        <v>1712257.194700907</v>
      </c>
      <c r="G49" s="136">
        <f t="shared" si="6"/>
        <v>511000</v>
      </c>
      <c r="H49" s="45"/>
      <c r="I49" s="45"/>
      <c r="J49" s="45"/>
      <c r="L49" s="45"/>
    </row>
  </sheetData>
  <pageMargins left="0.7" right="0.7" top="0.75" bottom="0.75" header="0.3" footer="0.3"/>
  <pageSetup scale="65" orientation="landscape" r:id="rId1"/>
  <headerFooter scaleWithDoc="0"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E7A7D5-8E7E-4B4E-B420-33FF81E257E8}"/>
</file>

<file path=customXml/itemProps2.xml><?xml version="1.0" encoding="utf-8"?>
<ds:datastoreItem xmlns:ds="http://schemas.openxmlformats.org/officeDocument/2006/customXml" ds:itemID="{7A153BB2-FFA6-4FFC-8445-E91227AD4145}"/>
</file>

<file path=customXml/itemProps3.xml><?xml version="1.0" encoding="utf-8"?>
<ds:datastoreItem xmlns:ds="http://schemas.openxmlformats.org/officeDocument/2006/customXml" ds:itemID="{924FA44F-66C5-4321-A083-6F20EF8E2C4C}"/>
</file>

<file path=customXml/itemProps4.xml><?xml version="1.0" encoding="utf-8"?>
<ds:datastoreItem xmlns:ds="http://schemas.openxmlformats.org/officeDocument/2006/customXml" ds:itemID="{A4BA5AC3-D1A6-43D2-961A-24B5FF5AC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UG-19____ Proposed Base prelim</vt:lpstr>
      <vt:lpstr>Compare to UG-170486</vt:lpstr>
      <vt:lpstr>'UG-19____ Proposed Base prelim'!Print_Area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