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2019\2019_ WA Elec and Gas General Rate Case\Cost of Service Study\"/>
    </mc:Choice>
  </mc:AlternateContent>
  <bookViews>
    <workbookView xWindow="9588" yWindow="-12" windowWidth="9432" windowHeight="7356" tabRatio="675" activeTab="6"/>
  </bookViews>
  <sheets>
    <sheet name="LF Calc" sheetId="21" r:id="rId1"/>
    <sheet name="928 Reg Fees" sheetId="2" r:id="rId2"/>
    <sheet name="902 and 903" sheetId="20" r:id="rId3"/>
    <sheet name="Primary-Secondary" sheetId="15" r:id="rId4"/>
    <sheet name="DA Sch 25" sheetId="19" r:id="rId5"/>
    <sheet name="area lights" sheetId="8" r:id="rId6"/>
    <sheet name="Substations " sheetId="17" r:id="rId7"/>
  </sheets>
  <definedNames>
    <definedName name="Cost">'Substations '!$A$73</definedName>
    <definedName name="data_902_903" localSheetId="2">'902 and 903'!$P$1:$W$59</definedName>
    <definedName name="Line_Mile_Tables">'Primary-Secondary'!$S$2:$V$58</definedName>
    <definedName name="Load_Ratio">'Substations '!$A$54:$J$82</definedName>
    <definedName name="Page_1">'Substations '!$B$1:$H$52</definedName>
    <definedName name="Page_2">'Substations '!$A$54:$J$80</definedName>
    <definedName name="_xlnm.Print_Area" localSheetId="2">'902 and 903'!$A$1:$G$23,'902 and 903'!$O$1:$W$58</definedName>
    <definedName name="_xlnm.Print_Area" localSheetId="3">'Primary-Secondary'!$A$2:$K$35,'Primary-Secondary'!$S$2:$V$52</definedName>
    <definedName name="_xlnm.Print_Area" localSheetId="6">'Substations '!$M$1:$R$215,'Substations '!$A$1:$J$82</definedName>
    <definedName name="_xlnm.Print_Titles" localSheetId="6">'Substations '!$5:$7</definedName>
    <definedName name="Substation_Ending_Balances">'Substations '!$M$1:$R$185</definedName>
    <definedName name="summary_902_903">'902 and 903'!$A$1:$G$23</definedName>
    <definedName name="Z_DEF9EA2D_EECC_4092_9C86_17CCB814CCD7_.wvu.Cols" localSheetId="2" hidden="1">'902 and 903'!$Z:$Z</definedName>
    <definedName name="Z_DEF9EA2D_EECC_4092_9C86_17CCB814CCD7_.wvu.PrintArea" localSheetId="2" hidden="1">'902 and 903'!$P$1:$W$59</definedName>
    <definedName name="Z_DEF9EA2D_EECC_4092_9C86_17CCB814CCD7_.wvu.PrintArea" localSheetId="3" hidden="1">'Primary-Secondary'!$S$2:$V$58</definedName>
    <definedName name="Z_DEF9EA2D_EECC_4092_9C86_17CCB814CCD7_.wvu.PrintArea" localSheetId="6" hidden="1">'Substations '!$M$1:$R$185</definedName>
    <definedName name="Z_DEF9EA2D_EECC_4092_9C86_17CCB814CCD7_.wvu.PrintTitles" localSheetId="6" hidden="1">'Substations '!$5:$7</definedName>
  </definedNames>
  <calcPr calcId="152511"/>
  <customWorkbookViews>
    <customWorkbookView name="Substation e" guid="{DEF9EA2D-EECC-4092-9C86-17CCB814CCD7}" maximized="1" xWindow="1" yWindow="1" windowWidth="1488" windowHeight="560" tabRatio="675" activeSheetId="17" showComments="commIndAndComment"/>
  </customWorkbookViews>
</workbook>
</file>

<file path=xl/calcChain.xml><?xml version="1.0" encoding="utf-8"?>
<calcChain xmlns="http://schemas.openxmlformats.org/spreadsheetml/2006/main">
  <c r="G33" i="8" l="1"/>
  <c r="E35" i="8" l="1"/>
  <c r="G24" i="8"/>
  <c r="G25" i="8"/>
  <c r="G26" i="8"/>
  <c r="G27" i="8"/>
  <c r="G28" i="8"/>
  <c r="G29" i="8"/>
  <c r="G30" i="8"/>
  <c r="G31" i="8"/>
  <c r="G32" i="8"/>
  <c r="G34" i="8"/>
  <c r="G23" i="8"/>
  <c r="G35" i="8" l="1"/>
  <c r="C8" i="8" s="1"/>
  <c r="C38" i="19"/>
  <c r="D38" i="19"/>
  <c r="E38" i="19"/>
  <c r="B38" i="19"/>
  <c r="F35" i="19"/>
  <c r="I35" i="19" s="1"/>
  <c r="H35" i="19"/>
  <c r="J35" i="19"/>
  <c r="F36" i="19"/>
  <c r="I36" i="19" s="1"/>
  <c r="G36" i="19"/>
  <c r="J36" i="19"/>
  <c r="J81" i="17"/>
  <c r="H55" i="17"/>
  <c r="H81" i="17"/>
  <c r="E55" i="17"/>
  <c r="G35" i="19" l="1"/>
  <c r="H36" i="19"/>
  <c r="D10" i="17"/>
  <c r="C10" i="17"/>
  <c r="H82" i="17"/>
  <c r="J82" i="17" s="1"/>
  <c r="F73" i="17"/>
  <c r="F74" i="17"/>
  <c r="F76" i="17"/>
  <c r="F78" i="17"/>
  <c r="F80" i="17"/>
  <c r="E80" i="17"/>
  <c r="E78" i="17"/>
  <c r="E76" i="17"/>
  <c r="E74" i="17"/>
  <c r="E73" i="17"/>
  <c r="B17" i="20" l="1"/>
  <c r="W57" i="20"/>
  <c r="S57" i="20"/>
  <c r="S55" i="20"/>
  <c r="S54" i="20"/>
  <c r="U51" i="20"/>
  <c r="V51" i="20"/>
  <c r="T51" i="20"/>
  <c r="S25" i="20" l="1"/>
  <c r="F10" i="21" l="1"/>
  <c r="J56" i="17" l="1"/>
  <c r="B22" i="20" l="1"/>
  <c r="S58" i="20" l="1"/>
  <c r="T25" i="20"/>
  <c r="U25" i="20" l="1"/>
  <c r="C10" i="20" l="1"/>
  <c r="D10" i="20" s="1"/>
  <c r="I10" i="15" l="1"/>
  <c r="C15" i="15"/>
  <c r="D15" i="15" l="1"/>
  <c r="C17" i="15"/>
  <c r="C16" i="15"/>
  <c r="C12" i="15"/>
  <c r="C11" i="15"/>
  <c r="H10" i="15"/>
  <c r="C10" i="15"/>
  <c r="E10" i="15"/>
  <c r="D10" i="15"/>
  <c r="C13" i="15" l="1"/>
  <c r="F10" i="15"/>
  <c r="J57" i="17" l="1"/>
  <c r="P215" i="17" l="1"/>
  <c r="G49" i="17" s="1"/>
  <c r="F49" i="17"/>
  <c r="D9" i="17"/>
  <c r="C9" i="17"/>
  <c r="C13" i="17"/>
  <c r="H49" i="17" l="1"/>
  <c r="C12" i="17"/>
  <c r="F20" i="21" l="1"/>
  <c r="F19" i="21"/>
  <c r="F18" i="21"/>
  <c r="F17" i="21"/>
  <c r="F16" i="21"/>
  <c r="F15" i="21"/>
  <c r="F14" i="21"/>
  <c r="F13" i="21"/>
  <c r="F12" i="21"/>
  <c r="F11" i="21"/>
  <c r="F9" i="21"/>
  <c r="H22" i="21" l="1"/>
  <c r="G22" i="21"/>
  <c r="D22" i="21"/>
  <c r="I20" i="21"/>
  <c r="I19" i="21"/>
  <c r="I18" i="21"/>
  <c r="C18" i="21" s="1"/>
  <c r="I17" i="21"/>
  <c r="C17" i="21" s="1"/>
  <c r="I16" i="21"/>
  <c r="C16" i="21" s="1"/>
  <c r="I15" i="21"/>
  <c r="C15" i="21" s="1"/>
  <c r="I14" i="21"/>
  <c r="I13" i="21"/>
  <c r="C13" i="21" s="1"/>
  <c r="I12" i="21"/>
  <c r="I11" i="21"/>
  <c r="I10" i="21"/>
  <c r="F22" i="21"/>
  <c r="I9" i="21"/>
  <c r="C9" i="21" s="1"/>
  <c r="I22" i="21" l="1"/>
  <c r="C22" i="21" s="1"/>
  <c r="C11" i="21"/>
  <c r="C20" i="21"/>
  <c r="C12" i="21"/>
  <c r="C14" i="21"/>
  <c r="C19" i="21"/>
  <c r="C10" i="21"/>
  <c r="D23" i="21" l="1"/>
  <c r="C23" i="21"/>
  <c r="J51" i="17"/>
  <c r="H16" i="15"/>
  <c r="H17" i="15"/>
  <c r="H15" i="15"/>
  <c r="H11" i="15"/>
  <c r="H12" i="15"/>
  <c r="H78" i="17" l="1"/>
  <c r="J78" i="17" s="1"/>
  <c r="H77" i="17"/>
  <c r="J77" i="17" s="1"/>
  <c r="H76" i="17"/>
  <c r="J76" i="17" s="1"/>
  <c r="J75" i="17"/>
  <c r="H74" i="17"/>
  <c r="J74" i="17" s="1"/>
  <c r="H73" i="17"/>
  <c r="J73" i="17" s="1"/>
  <c r="J72" i="17"/>
  <c r="H71" i="17"/>
  <c r="J71" i="17" s="1"/>
  <c r="D19" i="20" l="1"/>
  <c r="C19" i="20"/>
  <c r="B23" i="20"/>
  <c r="E22" i="20"/>
  <c r="B19" i="20"/>
  <c r="B20" i="20" s="1"/>
  <c r="C20" i="20" s="1"/>
  <c r="E10" i="20" s="1"/>
  <c r="F10" i="20" s="1"/>
  <c r="J15" i="15"/>
  <c r="J16" i="15"/>
  <c r="J17" i="15"/>
  <c r="I17" i="15"/>
  <c r="I16" i="15"/>
  <c r="F30" i="15" s="1"/>
  <c r="I15" i="15"/>
  <c r="E29" i="15" s="1"/>
  <c r="J10" i="15"/>
  <c r="J11" i="15"/>
  <c r="J12" i="15"/>
  <c r="I12" i="15"/>
  <c r="I11" i="15"/>
  <c r="E23" i="15"/>
  <c r="E14" i="8" s="1"/>
  <c r="E30" i="15"/>
  <c r="I40" i="19"/>
  <c r="G40" i="19"/>
  <c r="C18" i="15"/>
  <c r="J40" i="19"/>
  <c r="H40" i="19"/>
  <c r="E15" i="15"/>
  <c r="E16" i="15"/>
  <c r="E17" i="15"/>
  <c r="D17" i="15"/>
  <c r="D16" i="15"/>
  <c r="E33" i="15" s="1"/>
  <c r="E11" i="15"/>
  <c r="E12" i="15"/>
  <c r="D12" i="15"/>
  <c r="D11" i="15"/>
  <c r="F24" i="15" s="1"/>
  <c r="C43" i="17"/>
  <c r="D43" i="17"/>
  <c r="F35" i="8"/>
  <c r="F45" i="17"/>
  <c r="G45" i="17"/>
  <c r="D31" i="2"/>
  <c r="D13" i="2"/>
  <c r="D16" i="2" s="1"/>
  <c r="J69" i="17"/>
  <c r="E9" i="17" s="1"/>
  <c r="F9" i="17" s="1"/>
  <c r="D12" i="17"/>
  <c r="D13" i="17"/>
  <c r="J59" i="17"/>
  <c r="F13" i="19" s="1"/>
  <c r="J67" i="17"/>
  <c r="F21" i="19" s="1"/>
  <c r="C16" i="17"/>
  <c r="D16" i="17"/>
  <c r="C17" i="17"/>
  <c r="D17" i="17"/>
  <c r="C18" i="17"/>
  <c r="D18" i="17"/>
  <c r="J70" i="17"/>
  <c r="F24" i="19" s="1"/>
  <c r="C21" i="17"/>
  <c r="D21" i="17"/>
  <c r="J62" i="17"/>
  <c r="F16" i="19" s="1"/>
  <c r="C22" i="17"/>
  <c r="D22" i="17"/>
  <c r="J58" i="17"/>
  <c r="F12" i="19" s="1"/>
  <c r="C23" i="17"/>
  <c r="D23" i="17"/>
  <c r="F11" i="19"/>
  <c r="C24" i="17"/>
  <c r="D24" i="17"/>
  <c r="J55" i="17"/>
  <c r="F9" i="19" s="1"/>
  <c r="G9" i="19" s="1"/>
  <c r="C25" i="17"/>
  <c r="D25" i="17"/>
  <c r="J63" i="17"/>
  <c r="F17" i="19" s="1"/>
  <c r="C27" i="17"/>
  <c r="D27" i="17"/>
  <c r="E27" i="17"/>
  <c r="C29" i="17"/>
  <c r="D29" i="17"/>
  <c r="C30" i="17"/>
  <c r="D30" i="17"/>
  <c r="J64" i="17"/>
  <c r="F18" i="19" s="1"/>
  <c r="J65" i="17"/>
  <c r="C33" i="17"/>
  <c r="D33" i="17"/>
  <c r="C34" i="17"/>
  <c r="D34" i="17"/>
  <c r="C36" i="17"/>
  <c r="D36" i="17"/>
  <c r="C37" i="17"/>
  <c r="D37" i="17"/>
  <c r="J60" i="17"/>
  <c r="F14" i="19" s="1"/>
  <c r="C40" i="17"/>
  <c r="D40" i="17"/>
  <c r="F30" i="19"/>
  <c r="J79" i="17"/>
  <c r="F33" i="19" s="1"/>
  <c r="C41" i="17"/>
  <c r="D41" i="17"/>
  <c r="J61" i="17"/>
  <c r="F15" i="19" s="1"/>
  <c r="J68" i="17"/>
  <c r="F22" i="19" s="1"/>
  <c r="H22" i="19" s="1"/>
  <c r="C42" i="17"/>
  <c r="D42" i="17"/>
  <c r="J66" i="17"/>
  <c r="F20" i="19" s="1"/>
  <c r="C44" i="17"/>
  <c r="D44" i="17"/>
  <c r="F31" i="19"/>
  <c r="I31" i="19" s="1"/>
  <c r="F32" i="19"/>
  <c r="H80" i="17"/>
  <c r="J80" i="17" s="1"/>
  <c r="F34" i="19" s="1"/>
  <c r="B10" i="8"/>
  <c r="D8" i="8" s="1"/>
  <c r="H18" i="15"/>
  <c r="K11" i="15"/>
  <c r="F23" i="15" l="1"/>
  <c r="E17" i="8" s="1"/>
  <c r="J18" i="15"/>
  <c r="E8" i="8"/>
  <c r="F8" i="8" s="1"/>
  <c r="F14" i="8" s="1"/>
  <c r="G14" i="8" s="1"/>
  <c r="E13" i="15"/>
  <c r="F17" i="15"/>
  <c r="K12" i="15"/>
  <c r="F12" i="15"/>
  <c r="F16" i="15"/>
  <c r="I13" i="15"/>
  <c r="K10" i="15"/>
  <c r="K13" i="15" s="1"/>
  <c r="D18" i="15"/>
  <c r="E31" i="15" s="1"/>
  <c r="F15" i="15"/>
  <c r="F11" i="15"/>
  <c r="K17" i="15"/>
  <c r="K16" i="15"/>
  <c r="I18" i="15"/>
  <c r="F28" i="15" s="1"/>
  <c r="K15" i="15"/>
  <c r="E24" i="15"/>
  <c r="F32" i="15"/>
  <c r="K32" i="15" s="1"/>
  <c r="D13" i="15"/>
  <c r="E18" i="15"/>
  <c r="F29" i="15"/>
  <c r="K29" i="15" s="1"/>
  <c r="J13" i="15"/>
  <c r="F33" i="15"/>
  <c r="F27" i="15"/>
  <c r="E32" i="15"/>
  <c r="E27" i="15"/>
  <c r="F26" i="15"/>
  <c r="K26" i="15" s="1"/>
  <c r="E26" i="15"/>
  <c r="H13" i="15"/>
  <c r="D23" i="20"/>
  <c r="C23" i="20"/>
  <c r="D20" i="20"/>
  <c r="E38" i="17"/>
  <c r="E22" i="17"/>
  <c r="F22" i="17" s="1"/>
  <c r="D38" i="17"/>
  <c r="E31" i="17"/>
  <c r="E21" i="17"/>
  <c r="G21" i="17" s="1"/>
  <c r="J15" i="19"/>
  <c r="G15" i="19"/>
  <c r="E23" i="17"/>
  <c r="F23" i="17" s="1"/>
  <c r="F26" i="19"/>
  <c r="J26" i="19" s="1"/>
  <c r="E33" i="17"/>
  <c r="G33" i="17" s="1"/>
  <c r="E43" i="17"/>
  <c r="G43" i="17" s="1"/>
  <c r="F29" i="19"/>
  <c r="H29" i="19" s="1"/>
  <c r="H30" i="19"/>
  <c r="G30" i="19"/>
  <c r="G32" i="19"/>
  <c r="H32" i="19"/>
  <c r="I32" i="19"/>
  <c r="J32" i="19"/>
  <c r="E40" i="17"/>
  <c r="G40" i="17" s="1"/>
  <c r="I49" i="17"/>
  <c r="D31" i="17"/>
  <c r="I15" i="19"/>
  <c r="F19" i="19"/>
  <c r="C31" i="17"/>
  <c r="E25" i="17"/>
  <c r="G25" i="17" s="1"/>
  <c r="H15" i="19"/>
  <c r="E19" i="17"/>
  <c r="E14" i="17"/>
  <c r="J31" i="19"/>
  <c r="C38" i="17"/>
  <c r="C19" i="17"/>
  <c r="C14" i="17"/>
  <c r="E41" i="17"/>
  <c r="E24" i="17"/>
  <c r="D19" i="17"/>
  <c r="D14" i="17"/>
  <c r="E23" i="20"/>
  <c r="I9" i="19"/>
  <c r="H9" i="19"/>
  <c r="J9" i="19"/>
  <c r="J24" i="19"/>
  <c r="G24" i="19"/>
  <c r="H24" i="19"/>
  <c r="I13" i="19"/>
  <c r="J13" i="19"/>
  <c r="H13" i="19"/>
  <c r="I20" i="19"/>
  <c r="H20" i="19"/>
  <c r="J20" i="19"/>
  <c r="F28" i="19"/>
  <c r="E44" i="17"/>
  <c r="G14" i="19"/>
  <c r="H14" i="19"/>
  <c r="I14" i="19"/>
  <c r="I11" i="19"/>
  <c r="G11" i="19"/>
  <c r="J11" i="19"/>
  <c r="H11" i="19"/>
  <c r="I21" i="19"/>
  <c r="J21" i="19"/>
  <c r="G21" i="19"/>
  <c r="H21" i="19"/>
  <c r="C11" i="20"/>
  <c r="D11" i="20" s="1"/>
  <c r="I33" i="19"/>
  <c r="H33" i="19"/>
  <c r="H34" i="19"/>
  <c r="I34" i="19"/>
  <c r="J34" i="19"/>
  <c r="G34" i="19"/>
  <c r="E34" i="17"/>
  <c r="F25" i="19"/>
  <c r="H18" i="19"/>
  <c r="G18" i="19"/>
  <c r="I18" i="19"/>
  <c r="J18" i="19"/>
  <c r="I12" i="19"/>
  <c r="G12" i="19"/>
  <c r="H12" i="19"/>
  <c r="J12" i="19"/>
  <c r="G27" i="17"/>
  <c r="F27" i="17"/>
  <c r="J17" i="19"/>
  <c r="H17" i="19"/>
  <c r="I17" i="19"/>
  <c r="G17" i="19"/>
  <c r="J16" i="19"/>
  <c r="G16" i="19"/>
  <c r="G9" i="17"/>
  <c r="E42" i="17"/>
  <c r="F10" i="19"/>
  <c r="J10" i="19" s="1"/>
  <c r="F27" i="19"/>
  <c r="H27" i="19" s="1"/>
  <c r="F23" i="19"/>
  <c r="J23" i="19" s="1"/>
  <c r="H31" i="19"/>
  <c r="G22" i="19"/>
  <c r="I22" i="19"/>
  <c r="J22" i="19"/>
  <c r="J33" i="19"/>
  <c r="G13" i="19"/>
  <c r="I24" i="19"/>
  <c r="I30" i="19"/>
  <c r="G31" i="19"/>
  <c r="H16" i="19"/>
  <c r="G20" i="19"/>
  <c r="J30" i="19"/>
  <c r="G33" i="19"/>
  <c r="I16" i="19"/>
  <c r="J14" i="19"/>
  <c r="E28" i="15" l="1"/>
  <c r="F31" i="15"/>
  <c r="F13" i="15"/>
  <c r="K18" i="15"/>
  <c r="F18" i="15"/>
  <c r="F17" i="8"/>
  <c r="G17" i="8" s="1"/>
  <c r="K23" i="15" s="1"/>
  <c r="J23" i="15"/>
  <c r="E25" i="15"/>
  <c r="F25" i="15"/>
  <c r="E22" i="15"/>
  <c r="F22" i="15"/>
  <c r="E11" i="20"/>
  <c r="F11" i="20" s="1"/>
  <c r="J29" i="19"/>
  <c r="G31" i="17"/>
  <c r="F38" i="17"/>
  <c r="G38" i="17"/>
  <c r="F31" i="17"/>
  <c r="G23" i="17"/>
  <c r="F21" i="17"/>
  <c r="F40" i="17"/>
  <c r="F43" i="17"/>
  <c r="I10" i="19"/>
  <c r="I29" i="19"/>
  <c r="G29" i="19"/>
  <c r="G22" i="17"/>
  <c r="G19" i="17"/>
  <c r="F14" i="17"/>
  <c r="G14" i="17"/>
  <c r="F25" i="17"/>
  <c r="I19" i="19"/>
  <c r="J19" i="19"/>
  <c r="G26" i="19"/>
  <c r="H26" i="19"/>
  <c r="G19" i="19"/>
  <c r="H19" i="19"/>
  <c r="I26" i="19"/>
  <c r="F33" i="17"/>
  <c r="G24" i="17"/>
  <c r="F24" i="17"/>
  <c r="F19" i="17"/>
  <c r="G41" i="17"/>
  <c r="F41" i="17"/>
  <c r="I23" i="19"/>
  <c r="H23" i="19"/>
  <c r="H10" i="19"/>
  <c r="G10" i="19"/>
  <c r="G23" i="19"/>
  <c r="J27" i="19"/>
  <c r="I27" i="19"/>
  <c r="G27" i="19"/>
  <c r="F34" i="17"/>
  <c r="G34" i="17"/>
  <c r="H28" i="19"/>
  <c r="G28" i="19"/>
  <c r="I28" i="19"/>
  <c r="J28" i="19"/>
  <c r="F42" i="17"/>
  <c r="G42" i="17"/>
  <c r="J25" i="19"/>
  <c r="H25" i="19"/>
  <c r="G25" i="19"/>
  <c r="I25" i="19"/>
  <c r="G44" i="17"/>
  <c r="F44" i="17"/>
  <c r="J38" i="19" l="1"/>
  <c r="I38" i="19"/>
  <c r="H38" i="19"/>
  <c r="G38" i="19"/>
  <c r="G46" i="17"/>
  <c r="G50" i="17" s="1"/>
  <c r="G51" i="17" s="1"/>
  <c r="F46" i="17"/>
  <c r="F50" i="17" s="1"/>
  <c r="G42" i="19" l="1"/>
  <c r="I23" i="15" s="1"/>
  <c r="H23" i="15" s="1"/>
  <c r="J42" i="19"/>
  <c r="I32" i="15" s="1"/>
  <c r="H32" i="15" s="1"/>
  <c r="H42" i="19"/>
  <c r="I26" i="15" s="1"/>
  <c r="H26" i="15" s="1"/>
  <c r="I42" i="19"/>
  <c r="I29" i="15" s="1"/>
  <c r="H29" i="15" s="1"/>
  <c r="H46" i="17"/>
  <c r="H50" i="17"/>
  <c r="F51" i="17"/>
  <c r="H51" i="17" s="1"/>
</calcChain>
</file>

<file path=xl/comments1.xml><?xml version="1.0" encoding="utf-8"?>
<comments xmlns="http://schemas.openxmlformats.org/spreadsheetml/2006/main">
  <authors>
    <author>Joe Miller</author>
  </authors>
  <commentList>
    <comment ref="P21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Need to re-evaluate during years where a load study takes place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Note 2</t>
        </r>
      </text>
    </comment>
  </commentList>
</comments>
</file>

<file path=xl/comments2.xml><?xml version="1.0" encoding="utf-8"?>
<comments xmlns="http://schemas.openxmlformats.org/spreadsheetml/2006/main">
  <authors>
    <author>Joe Miller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input into assign</t>
        </r>
      </text>
    </comment>
  </commentList>
</comments>
</file>

<file path=xl/comments3.xml><?xml version="1.0" encoding="utf-8"?>
<comments xmlns="http://schemas.openxmlformats.org/spreadsheetml/2006/main">
  <authors>
    <author>KZX5DR</author>
    <author>gzhkw6</author>
  </authors>
  <commentList>
    <comment ref="G8" authorId="0" shapeId="0">
      <text>
        <r>
          <rPr>
            <sz val="8"/>
            <color indexed="81"/>
            <rFont val="Tahoma"/>
            <family val="2"/>
          </rPr>
          <t xml:space="preserve">
Pro Forma total WA account 364.</t>
        </r>
      </text>
    </comment>
    <comment ref="B11" authorId="1" shapeId="0">
      <text>
        <r>
          <rPr>
            <b/>
            <sz val="8"/>
            <color indexed="81"/>
            <rFont val="Tahoma"/>
            <family val="2"/>
          </rPr>
          <t>gzhkw6:</t>
        </r>
        <r>
          <rPr>
            <sz val="8"/>
            <color indexed="81"/>
            <rFont val="Tahoma"/>
            <family val="2"/>
          </rPr>
          <t xml:space="preserve">
No longer installing 30 foot poles.  Use retirement cost for 35 foot pole beginning in 2010</t>
        </r>
      </text>
    </comment>
    <comment ref="B12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per Jason Boni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per Jason Boni</t>
        </r>
      </text>
    </comment>
    <comment ref="B14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per Jason Boni</t>
        </r>
      </text>
    </comment>
    <comment ref="B16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per Jason Boni 2014 value is $2075.19</t>
        </r>
      </text>
    </comment>
  </commentList>
</comments>
</file>

<file path=xl/comments4.xml><?xml version="1.0" encoding="utf-8"?>
<comments xmlns="http://schemas.openxmlformats.org/spreadsheetml/2006/main">
  <authors>
    <author>Joe Miller</author>
  </authors>
  <commentList>
    <comment ref="P204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ROO Note 3</t>
        </r>
      </text>
    </comment>
  </commentList>
</comments>
</file>

<file path=xl/sharedStrings.xml><?xml version="1.0" encoding="utf-8"?>
<sst xmlns="http://schemas.openxmlformats.org/spreadsheetml/2006/main" count="1158" uniqueCount="692">
  <si>
    <t>Total</t>
  </si>
  <si>
    <t>Commission Fee Analysis</t>
  </si>
  <si>
    <t>Column Ref</t>
  </si>
  <si>
    <t>Account 928 Pro Forma Total</t>
  </si>
  <si>
    <t>Revenue Based Fees</t>
  </si>
  <si>
    <t>Adjusted Revenue Based Fees</t>
  </si>
  <si>
    <t>FERC Fees (Production Related)</t>
  </si>
  <si>
    <t>Miscellaneous Regulatory Expense</t>
  </si>
  <si>
    <t>Washington</t>
  </si>
  <si>
    <t>Idaho</t>
  </si>
  <si>
    <t>Production</t>
  </si>
  <si>
    <t>Transmission</t>
  </si>
  <si>
    <t>Distribution</t>
  </si>
  <si>
    <t>Primary Secondary Distribution Plant Analysis</t>
  </si>
  <si>
    <t>Primary</t>
  </si>
  <si>
    <t>Secondary</t>
  </si>
  <si>
    <t>Services</t>
  </si>
  <si>
    <t>Montana</t>
  </si>
  <si>
    <t>Account 364</t>
  </si>
  <si>
    <t>Poles, Towers, &amp; Fixtures</t>
  </si>
  <si>
    <t>Idaho Only</t>
  </si>
  <si>
    <t>Account 365</t>
  </si>
  <si>
    <t>Overhead Conductors &amp; Devices</t>
  </si>
  <si>
    <t>Account 366</t>
  </si>
  <si>
    <t>Underground Conduit</t>
  </si>
  <si>
    <t>Account 367</t>
  </si>
  <si>
    <t>Underground Conductors &amp; Devices</t>
  </si>
  <si>
    <t>Account 369</t>
  </si>
  <si>
    <t>SCHEDULE 25</t>
  </si>
  <si>
    <t>ACCOUNT 361</t>
  </si>
  <si>
    <t>ACCOUNT 362</t>
  </si>
  <si>
    <t>SUBSTATION</t>
  </si>
  <si>
    <t>PERCENTAGE</t>
  </si>
  <si>
    <t>DIRECT ASSIGN</t>
  </si>
  <si>
    <t>Account 361</t>
  </si>
  <si>
    <t>Account 362</t>
  </si>
  <si>
    <t>Assignment Demand NCP-2</t>
  </si>
  <si>
    <t>Street and Area Light Distribution Plant Analysis</t>
  </si>
  <si>
    <t xml:space="preserve">St &amp; Area Light </t>
  </si>
  <si>
    <t>Estimated</t>
  </si>
  <si>
    <t>Wood Poles</t>
  </si>
  <si>
    <t>Investment</t>
  </si>
  <si>
    <t>% of Acct</t>
  </si>
  <si>
    <t xml:space="preserve">Account 364  for Wood Poles </t>
  </si>
  <si>
    <t>45 Year Average Life</t>
  </si>
  <si>
    <t>Unit Costs</t>
  </si>
  <si>
    <t>Adjust Primary/Secondary for</t>
  </si>
  <si>
    <t>Direct Assignment of Dedicated Poles</t>
  </si>
  <si>
    <t>1-Direct Assignment ratio</t>
  </si>
  <si>
    <t>Account 364 Primary</t>
  </si>
  <si>
    <t>Adjusted</t>
  </si>
  <si>
    <t>Account 364 Secondary</t>
  </si>
  <si>
    <t>AVISTA UTILITIES</t>
  </si>
  <si>
    <t>Washington Only</t>
  </si>
  <si>
    <t>Distribution Substation Direct Assignment</t>
  </si>
  <si>
    <t>Adjustment</t>
  </si>
  <si>
    <t>Total Wood Poles</t>
  </si>
  <si>
    <t>Year</t>
  </si>
  <si>
    <t>Revenue Normalization</t>
  </si>
  <si>
    <t>Eliminate Deferred Power Costs</t>
  </si>
  <si>
    <t>Washington Electric Cost Study</t>
  </si>
  <si>
    <t>WASHINGTON</t>
  </si>
  <si>
    <t xml:space="preserve">Customer </t>
  </si>
  <si>
    <t>Substation</t>
  </si>
  <si>
    <t>Capacity</t>
  </si>
  <si>
    <t>% of Capacity</t>
  </si>
  <si>
    <t>Ross Park</t>
  </si>
  <si>
    <t>Othello</t>
  </si>
  <si>
    <t>Colville</t>
  </si>
  <si>
    <t>30 Foot Pole</t>
  </si>
  <si>
    <t>Ded. Feeders?</t>
  </si>
  <si>
    <t>1 of 2</t>
  </si>
  <si>
    <t>1 of 5</t>
  </si>
  <si>
    <t>yes</t>
  </si>
  <si>
    <t>1 of 4</t>
  </si>
  <si>
    <t>Feb</t>
  </si>
  <si>
    <t>Aug</t>
  </si>
  <si>
    <t>AIRWAY HEIGHTS SUBSTA</t>
  </si>
  <si>
    <t>ARDEN SUBSTA</t>
  </si>
  <si>
    <t>COLVILLE 115 KVSUBSTA</t>
  </si>
  <si>
    <t>FORT WRIGHT 115 KV SUBSTA</t>
  </si>
  <si>
    <t>GREENWOOD SUBSTA</t>
  </si>
  <si>
    <t>HALLET &amp; WHITE SUBSTA</t>
  </si>
  <si>
    <t>INLAND EMPIRE PAPER SUBSTA</t>
  </si>
  <si>
    <t>OTHELLO 115 KV SUBSTA</t>
  </si>
  <si>
    <t>ROSS PARK 115 KV SUBSTA</t>
  </si>
  <si>
    <t>SOUTH PULLMAN SUBSTA</t>
  </si>
  <si>
    <t>SPOKANE INDUSTRIAL PARK SUBSTA</t>
  </si>
  <si>
    <t>THIRD &amp; HATCH SUBSTA</t>
  </si>
  <si>
    <t>PULLMAN WSU SUBSTA</t>
  </si>
  <si>
    <t>WSU EAST CAMPUS SUBSTA</t>
  </si>
  <si>
    <t>fraction</t>
  </si>
  <si>
    <t>COLVILLE RADIO SUB</t>
  </si>
  <si>
    <t>COLVILLE STEPDWN</t>
  </si>
  <si>
    <t>OTHELLO SW STA</t>
  </si>
  <si>
    <t>ROSS PARK 13 KV SUBSTA</t>
  </si>
  <si>
    <t>College &amp; Walnut</t>
  </si>
  <si>
    <t>Plant Acct</t>
  </si>
  <si>
    <t>361000</t>
  </si>
  <si>
    <t>362000</t>
  </si>
  <si>
    <t>Facility Id Desc</t>
  </si>
  <si>
    <t>Plant Ledger Location</t>
  </si>
  <si>
    <t>ADDY 115 SUBSTA</t>
  </si>
  <si>
    <t>BARKER RD SUBSTA</t>
  </si>
  <si>
    <t>BATEMAN STEPDOWN BK</t>
  </si>
  <si>
    <t>BEACON SUBSTA</t>
  </si>
  <si>
    <t>BERGMAN, MARVIN ELEC TAP</t>
  </si>
  <si>
    <t>BONANZA STEPDWN</t>
  </si>
  <si>
    <t>BROOKS RD STEPDWN</t>
  </si>
  <si>
    <t>BRUCE CR STEPDWN</t>
  </si>
  <si>
    <t>CEDONIA STEPDWN</t>
  </si>
  <si>
    <t>CHEF REDDY FOODS SUBSTA</t>
  </si>
  <si>
    <t>CHESTER SUBSTA</t>
  </si>
  <si>
    <t>CHEWELAH 115 SUBSTA</t>
  </si>
  <si>
    <t>CHEWELAH NO REG ELEC</t>
  </si>
  <si>
    <t>CHINA BEND STEPDWN</t>
  </si>
  <si>
    <t>CLARK LAKE STEPDWN</t>
  </si>
  <si>
    <t>CLARKSTON DISPOSAL SUBSTA</t>
  </si>
  <si>
    <t>CLUGSTON CR STEPDWN</t>
  </si>
  <si>
    <t>COLBERT SUBSTA</t>
  </si>
  <si>
    <t>DAVENPORT SUBSTA</t>
  </si>
  <si>
    <t>DEMAND AMMETERS-WASHINGTON</t>
  </si>
  <si>
    <t>DIAMOND SUBSTA</t>
  </si>
  <si>
    <t>DIAMOND-STEPTOE STEPDOWN 1</t>
  </si>
  <si>
    <t>DIAMOND-STEPTOE STEPDOWN 2</t>
  </si>
  <si>
    <t>DIAMOND-STEPTOE STEPDOWN 3</t>
  </si>
  <si>
    <t>DIAMOND-STEPTOE STEPDOWN 4</t>
  </si>
  <si>
    <t>DIESEL GENERATOR</t>
  </si>
  <si>
    <t>DIVISION ST ELEC REG STA</t>
  </si>
  <si>
    <t>DOLEMITE QUARRY SUBSTA</t>
  </si>
  <si>
    <t>DUMAS STEPDWN</t>
  </si>
  <si>
    <t>DUNN RON STEPDOWN</t>
  </si>
  <si>
    <t>HERB ARMSTRONG SUBSTA</t>
  </si>
  <si>
    <t>HOUSE RANCH STEPDOWN</t>
  </si>
  <si>
    <t>HUNTERS STEPDOWN</t>
  </si>
  <si>
    <t>HUNTERS STPDN FRUITLAND</t>
  </si>
  <si>
    <t>INCHELIUM-GIFFORD SD 2</t>
  </si>
  <si>
    <t>INCHELIUM-GIFFORDN SD 1</t>
  </si>
  <si>
    <t>KELLY HILL STEPDOWN E13609</t>
  </si>
  <si>
    <t>KELLY HILL STEPDOWN E13621</t>
  </si>
  <si>
    <t>KELLY HILL STEPDWON E13612</t>
  </si>
  <si>
    <t>LATAH JCT SUB</t>
  </si>
  <si>
    <t>LEE &amp; REYNOLDS SUBSTA</t>
  </si>
  <si>
    <t>LEON JCT SUBSTA</t>
  </si>
  <si>
    <t>LIBERTY LAKE SUBSTA</t>
  </si>
  <si>
    <t>LIND SUBSTA</t>
  </si>
  <si>
    <t>LITTLE FALLS HED</t>
  </si>
  <si>
    <t>LITTLE FALLS SUB</t>
  </si>
  <si>
    <t>LOON LAKE SUBSTA</t>
  </si>
  <si>
    <t>LYONS &amp; STANDARD SUBSTA</t>
  </si>
  <si>
    <t>MARBLE FLATS-NRTHPT STEPDOWN</t>
  </si>
  <si>
    <t>MARENGO SUBSTA</t>
  </si>
  <si>
    <t>MEAD SUBSTA</t>
  </si>
  <si>
    <t>METALLURGICAL CHIP SUBSTA</t>
  </si>
  <si>
    <t>METRO SUBSTA</t>
  </si>
  <si>
    <t>MILAN SUBSTA</t>
  </si>
  <si>
    <t>MILLWOOD SUBSTA</t>
  </si>
  <si>
    <t>MOBILE/PORTABLE SUBSTA # 2</t>
  </si>
  <si>
    <t>MOBILE/PORTABLE SUBSTA #1</t>
  </si>
  <si>
    <t>MODERN ELEC LOCUST SUBSTA</t>
  </si>
  <si>
    <t>NINTH &amp; CENTRAL SW STA</t>
  </si>
  <si>
    <t>NORTHEAST SUBSTA</t>
  </si>
  <si>
    <t>NORTHWEST SUBSTA</t>
  </si>
  <si>
    <t>ODESSA SUBSTA</t>
  </si>
  <si>
    <t>ONION CR DOLOMITE STEPDOWN</t>
  </si>
  <si>
    <t>ONION CR STEPDOWN</t>
  </si>
  <si>
    <t>ONION CR SUE TRAIL STEPDOWN</t>
  </si>
  <si>
    <t>ONION CR. HASTINGS STEPDOWN</t>
  </si>
  <si>
    <t>OPPORTUNITY SUBSTA</t>
  </si>
  <si>
    <t>ORIENT MILL STEPDN</t>
  </si>
  <si>
    <t>ORIN SUBSTA</t>
  </si>
  <si>
    <t>POST ST REG STA</t>
  </si>
  <si>
    <t>POST ST SUBSTA</t>
  </si>
  <si>
    <t>POUND LANE SUBSTA</t>
  </si>
  <si>
    <t>RAY &amp; HARTSON SUBSTA</t>
  </si>
  <si>
    <t>REARDAN 115 KV SUBSTA</t>
  </si>
  <si>
    <t>RITZVILLE BPA SUBSTA</t>
  </si>
  <si>
    <t>RITZVILLE SUBSTA</t>
  </si>
  <si>
    <t>ROCKFORD SUBSTA</t>
  </si>
  <si>
    <t>ROSALIA SUBSTA</t>
  </si>
  <si>
    <t>ROXBORO SUBSTA</t>
  </si>
  <si>
    <t>SACRED HEART HOSP SUBSTA</t>
  </si>
  <si>
    <t>SAFEWAY WHSE SUBSTA</t>
  </si>
  <si>
    <t>SILVER LAKE SUBSTA</t>
  </si>
  <si>
    <t>SOUTH OTHELLO SUBSTA</t>
  </si>
  <si>
    <t>SOUTHEAST SUBSTA</t>
  </si>
  <si>
    <t>SPANGLE SUBSTA</t>
  </si>
  <si>
    <t>SPIRIT SUBSTA</t>
  </si>
  <si>
    <t>SPOKANE CITY UPRIVER DAM HED</t>
  </si>
  <si>
    <t>SPOKANE POWER TRANSFORMERS</t>
  </si>
  <si>
    <t>SPOKANE SEWAGESUBSTA</t>
  </si>
  <si>
    <t>SPRAGUE SUBSTA</t>
  </si>
  <si>
    <t>ST. JOHN SUBSTA</t>
  </si>
  <si>
    <t>SUNSET SUBSTA</t>
  </si>
  <si>
    <t>TEKOA SUBSTA</t>
  </si>
  <si>
    <t>THORNTON STEPDOWN</t>
  </si>
  <si>
    <t>VAAGEN BRO LUMBER SUBSTA</t>
  </si>
  <si>
    <t>VALLEY SUBSTA</t>
  </si>
  <si>
    <t>WAIKIKI SUBSTA</t>
  </si>
  <si>
    <t>WASHTUCNA SUBSTA</t>
  </si>
  <si>
    <t>WELLPINIT STEPDOWN 12174</t>
  </si>
  <si>
    <t>WELLPINIT STEPDOWN 7812</t>
  </si>
  <si>
    <t>WILBUR SUBSTA</t>
  </si>
  <si>
    <t>WILBUR-KENNEDY STEPDOWN</t>
  </si>
  <si>
    <t>WILLIAMS LK. RD STEPDOWN</t>
  </si>
  <si>
    <t>ZIEGLER STEPDOWN</t>
  </si>
  <si>
    <t>Acct 364</t>
  </si>
  <si>
    <t>1 of 6</t>
  </si>
  <si>
    <t>Ending Balance SUM</t>
  </si>
  <si>
    <t>Less: Directly Assigned Plant</t>
  </si>
  <si>
    <t>Avg Unit Cost</t>
  </si>
  <si>
    <t>EAST COLFAX SW STA</t>
  </si>
  <si>
    <t>EAST FARMS SUBSTA</t>
  </si>
  <si>
    <t>EASTERN WA HOSPITAL SUBSTA</t>
  </si>
  <si>
    <t>ECHO STEPDOWN</t>
  </si>
  <si>
    <t>ENDICOTT-LACROSSE SUBSTA</t>
  </si>
  <si>
    <t>EVANS LO COLVILLE SUBSTA</t>
  </si>
  <si>
    <t>EWAN SUBSTA</t>
  </si>
  <si>
    <t>FORD SUBSTA</t>
  </si>
  <si>
    <t>FOURTH &amp; HERALD</t>
  </si>
  <si>
    <t>FRANCIS &amp; CEDAR SUBSTA</t>
  </si>
  <si>
    <t>FRTLND COYOTE STEPDOWN</t>
  </si>
  <si>
    <t>FRTLND MUDGET STEPDOWN</t>
  </si>
  <si>
    <t>FRUITLAND STEPDWN</t>
  </si>
  <si>
    <t>GARFIELD SUBSTA</t>
  </si>
  <si>
    <t>GEIGER PUMP SUBSTA</t>
  </si>
  <si>
    <t>GEIGER SUBSTA</t>
  </si>
  <si>
    <t>GIFFORD STEPDOWN 1</t>
  </si>
  <si>
    <t>GIFFORD STEPDOWN 2</t>
  </si>
  <si>
    <t>GIFFORD STEPDOWN 3</t>
  </si>
  <si>
    <t>GIFFORD SUBSTA</t>
  </si>
  <si>
    <t>GILLETTE CR STEPDN</t>
  </si>
  <si>
    <t>GLENROSE SUBSTA</t>
  </si>
  <si>
    <t>HARRINGTON SUBSTA</t>
  </si>
  <si>
    <t>Property Insurance Functionalization</t>
  </si>
  <si>
    <t>General</t>
  </si>
  <si>
    <t>Total = S06 Allocator</t>
  </si>
  <si>
    <t>HPD</t>
  </si>
  <si>
    <t>HPE</t>
  </si>
  <si>
    <t>HPG</t>
  </si>
  <si>
    <t>MVD</t>
  </si>
  <si>
    <t>MVE</t>
  </si>
  <si>
    <t>MVF</t>
  </si>
  <si>
    <t>PA</t>
  </si>
  <si>
    <t>IEP SPARE TRANSFORMER</t>
  </si>
  <si>
    <t>Direct Assignment</t>
  </si>
  <si>
    <t>Adj Prim</t>
  </si>
  <si>
    <t>St. Lights</t>
  </si>
  <si>
    <t>Adj Sec</t>
  </si>
  <si>
    <t>CRITCHFIELD 115/13 KV SUB</t>
  </si>
  <si>
    <t>Peak mo.</t>
  </si>
  <si>
    <t>Jul</t>
  </si>
  <si>
    <t>Dec</t>
  </si>
  <si>
    <t>Load Ratio Share of Line Miles</t>
  </si>
  <si>
    <t>Proportionate Share of Primary Plant</t>
  </si>
  <si>
    <t>Distribution Account 364, 365, 366, 367 Schedule 25 Direct Assignment</t>
  </si>
  <si>
    <t>Load Ratio Share</t>
  </si>
  <si>
    <t>Line Miles</t>
  </si>
  <si>
    <t>Total Washington Primary Line Miles</t>
  </si>
  <si>
    <t>Sch 25</t>
  </si>
  <si>
    <t>INDIAN TRAIL SUBSTATION</t>
  </si>
  <si>
    <t>TERRE VIEW 115/13 KV SUB</t>
  </si>
  <si>
    <t>Circuit Miles</t>
  </si>
  <si>
    <t>Values</t>
  </si>
  <si>
    <t>Row Labels</t>
  </si>
  <si>
    <t>ID</t>
  </si>
  <si>
    <t>MT</t>
  </si>
  <si>
    <t>WA</t>
  </si>
  <si>
    <t>Grand Total</t>
  </si>
  <si>
    <t>Conductor Miles</t>
  </si>
  <si>
    <t>Column Labels</t>
  </si>
  <si>
    <t>District</t>
  </si>
  <si>
    <t>Service</t>
  </si>
  <si>
    <t>Sum of Conductor Miles</t>
  </si>
  <si>
    <t>OH Service</t>
  </si>
  <si>
    <t>UG Service</t>
  </si>
  <si>
    <t>Distribution Line Miles</t>
  </si>
  <si>
    <t>Distribution Conductor Length Line Miles</t>
  </si>
  <si>
    <t xml:space="preserve">     Total Electric Overhead Line Miles</t>
  </si>
  <si>
    <t xml:space="preserve">     Total Electric Underground Line Miles</t>
  </si>
  <si>
    <t>Distribution Circuit Length Line Miles</t>
  </si>
  <si>
    <t>Primary Circuit Miles</t>
  </si>
  <si>
    <t>Primary Conductor Miles</t>
  </si>
  <si>
    <t>ACCOUNT 364</t>
  </si>
  <si>
    <t>ACCOUNT365</t>
  </si>
  <si>
    <t>ACCOUNT 366</t>
  </si>
  <si>
    <t>ACCOUNT 367</t>
  </si>
  <si>
    <t>Prim Circuit</t>
  </si>
  <si>
    <t>Prim Conductor</t>
  </si>
  <si>
    <t>Prim UG Circuit</t>
  </si>
  <si>
    <t>Prim UG Conductor</t>
  </si>
  <si>
    <t>Direct Assignment to Handbilled Customers</t>
  </si>
  <si>
    <t>Handbilling Costs</t>
  </si>
  <si>
    <t>Meter Reading</t>
  </si>
  <si>
    <t>Account 902</t>
  </si>
  <si>
    <t>Account 903</t>
  </si>
  <si>
    <t>Ferc Acct:902000</t>
  </si>
  <si>
    <t>Accounting Period:&lt;All&gt;</t>
  </si>
  <si>
    <t>Transaction Amount</t>
  </si>
  <si>
    <t>Electric Amt SUM</t>
  </si>
  <si>
    <t>Gas North Amt SUM</t>
  </si>
  <si>
    <t>Gas South Amt SUM</t>
  </si>
  <si>
    <t>OR</t>
  </si>
  <si>
    <t>Z87 - Benefits Loaders</t>
  </si>
  <si>
    <t>Z08 - Electric Meter Shop</t>
  </si>
  <si>
    <t>Z89 - Payroll Accrual</t>
  </si>
  <si>
    <t>WA Allocation</t>
  </si>
  <si>
    <t>ID Allocation</t>
  </si>
  <si>
    <t>Electric</t>
  </si>
  <si>
    <t>Gas</t>
  </si>
  <si>
    <t>Account 903 Handbill Calc</t>
  </si>
  <si>
    <t>Service:CD</t>
  </si>
  <si>
    <t>Jurisdiction:AN</t>
  </si>
  <si>
    <t>Task Name</t>
  </si>
  <si>
    <t>Expenditure Category</t>
  </si>
  <si>
    <t>Overhead</t>
  </si>
  <si>
    <t>Employee Expenses</t>
  </si>
  <si>
    <t>Labor</t>
  </si>
  <si>
    <t>Note 2</t>
  </si>
  <si>
    <t>Ferc Acct:903000</t>
  </si>
  <si>
    <t>Transaction Qty SUM</t>
  </si>
  <si>
    <t>Handbill Specialist Loaded Labor</t>
  </si>
  <si>
    <t>Average Benefits Loading Rate</t>
  </si>
  <si>
    <t>Average Loaded Labor $/Hour</t>
  </si>
  <si>
    <t>028</t>
  </si>
  <si>
    <t>038</t>
  </si>
  <si>
    <t>212</t>
  </si>
  <si>
    <t>202</t>
  </si>
  <si>
    <t>E-RE</t>
  </si>
  <si>
    <t>E-EWPC</t>
  </si>
  <si>
    <t>Tangible Plant in Service per Cost of Service Model</t>
  </si>
  <si>
    <t>Facility Id</t>
  </si>
  <si>
    <t>3HT</t>
  </si>
  <si>
    <t>4HE</t>
  </si>
  <si>
    <t>9CE</t>
  </si>
  <si>
    <t>ADD</t>
  </si>
  <si>
    <t>AIR</t>
  </si>
  <si>
    <t>APW</t>
  </si>
  <si>
    <t>ARD</t>
  </si>
  <si>
    <t>AVD</t>
  </si>
  <si>
    <t>BEA</t>
  </si>
  <si>
    <t>BER</t>
  </si>
  <si>
    <t>BKR</t>
  </si>
  <si>
    <t>BNZ</t>
  </si>
  <si>
    <t>BRK</t>
  </si>
  <si>
    <t>BRU</t>
  </si>
  <si>
    <t>BSD</t>
  </si>
  <si>
    <t>C&amp;W</t>
  </si>
  <si>
    <t>C&amp;WR</t>
  </si>
  <si>
    <t>CED</t>
  </si>
  <si>
    <t>CFD</t>
  </si>
  <si>
    <t>CHE</t>
  </si>
  <si>
    <t>CHF</t>
  </si>
  <si>
    <t>CHINA</t>
  </si>
  <si>
    <t>CHW</t>
  </si>
  <si>
    <t>CHWREG</t>
  </si>
  <si>
    <t>CLG</t>
  </si>
  <si>
    <t>CLKDIS</t>
  </si>
  <si>
    <t>CLKLK1</t>
  </si>
  <si>
    <t>CLKLK2</t>
  </si>
  <si>
    <t>CLV</t>
  </si>
  <si>
    <t>CLVRAD</t>
  </si>
  <si>
    <t>CLVSD1</t>
  </si>
  <si>
    <t>CLVSD2</t>
  </si>
  <si>
    <t>CLVSD3</t>
  </si>
  <si>
    <t>CLVSD4</t>
  </si>
  <si>
    <t>COB</t>
  </si>
  <si>
    <t>DAMTRW</t>
  </si>
  <si>
    <t>DCR</t>
  </si>
  <si>
    <t>DEE</t>
  </si>
  <si>
    <t>DGP</t>
  </si>
  <si>
    <t>DIA</t>
  </si>
  <si>
    <t>DIASD1</t>
  </si>
  <si>
    <t>DIASD2</t>
  </si>
  <si>
    <t>DIASD3</t>
  </si>
  <si>
    <t>DIASD4</t>
  </si>
  <si>
    <t>DIEG</t>
  </si>
  <si>
    <t>DIVREG</t>
  </si>
  <si>
    <t>DOL</t>
  </si>
  <si>
    <t>DRY</t>
  </si>
  <si>
    <t>DUMSD</t>
  </si>
  <si>
    <t>DUNSD</t>
  </si>
  <si>
    <t>DVP</t>
  </si>
  <si>
    <t>ECHSD</t>
  </si>
  <si>
    <t>ECL</t>
  </si>
  <si>
    <t>EFM</t>
  </si>
  <si>
    <t>ENLCSD</t>
  </si>
  <si>
    <t>EVNS</t>
  </si>
  <si>
    <t>EWN</t>
  </si>
  <si>
    <t>EWSH</t>
  </si>
  <si>
    <t>F&amp;C</t>
  </si>
  <si>
    <t>FOR</t>
  </si>
  <si>
    <t>FRTCY</t>
  </si>
  <si>
    <t>FRTMG</t>
  </si>
  <si>
    <t>FRTSD</t>
  </si>
  <si>
    <t>FWT</t>
  </si>
  <si>
    <t>GAR</t>
  </si>
  <si>
    <t>GEI</t>
  </si>
  <si>
    <t>GEIPMP</t>
  </si>
  <si>
    <t>GIF</t>
  </si>
  <si>
    <t>GIFSD1</t>
  </si>
  <si>
    <t>GIFSD2</t>
  </si>
  <si>
    <t>GIFSD3</t>
  </si>
  <si>
    <t>GILSD</t>
  </si>
  <si>
    <t>GLN</t>
  </si>
  <si>
    <t>GRN</t>
  </si>
  <si>
    <t>H&amp;W</t>
  </si>
  <si>
    <t>HAR</t>
  </si>
  <si>
    <t>HARM</t>
  </si>
  <si>
    <t>HOU</t>
  </si>
  <si>
    <t>HUNSD1</t>
  </si>
  <si>
    <t>HUNSD2</t>
  </si>
  <si>
    <t>IEP</t>
  </si>
  <si>
    <t>IGSD1</t>
  </si>
  <si>
    <t>IGSD2</t>
  </si>
  <si>
    <t>INT</t>
  </si>
  <si>
    <t>KFG</t>
  </si>
  <si>
    <t>KHLSD1</t>
  </si>
  <si>
    <t>KHLSD2</t>
  </si>
  <si>
    <t>KHLSD3</t>
  </si>
  <si>
    <t>L&amp;R</t>
  </si>
  <si>
    <t>L&amp;S</t>
  </si>
  <si>
    <t>LAT</t>
  </si>
  <si>
    <t>LEO</t>
  </si>
  <si>
    <t>LF</t>
  </si>
  <si>
    <t>LIB</t>
  </si>
  <si>
    <t>LIN</t>
  </si>
  <si>
    <t>LLS</t>
  </si>
  <si>
    <t>LOO</t>
  </si>
  <si>
    <t>LTLFLS</t>
  </si>
  <si>
    <t>MBL</t>
  </si>
  <si>
    <t>MEA</t>
  </si>
  <si>
    <t>MET</t>
  </si>
  <si>
    <t>MGO</t>
  </si>
  <si>
    <t>MIL</t>
  </si>
  <si>
    <t>MLN</t>
  </si>
  <si>
    <t>MO1</t>
  </si>
  <si>
    <t>MO2</t>
  </si>
  <si>
    <t>MOD</t>
  </si>
  <si>
    <t>MTR</t>
  </si>
  <si>
    <t>NE</t>
  </si>
  <si>
    <t>NW</t>
  </si>
  <si>
    <t>ODS</t>
  </si>
  <si>
    <t>OMSD</t>
  </si>
  <si>
    <t>ONSD1</t>
  </si>
  <si>
    <t>ONSD2</t>
  </si>
  <si>
    <t>ONSD3</t>
  </si>
  <si>
    <t>ONSD4</t>
  </si>
  <si>
    <t>OPT</t>
  </si>
  <si>
    <t>ORI</t>
  </si>
  <si>
    <t>OSS</t>
  </si>
  <si>
    <t>OTH</t>
  </si>
  <si>
    <t>OTI</t>
  </si>
  <si>
    <t>PAL</t>
  </si>
  <si>
    <t>PDL</t>
  </si>
  <si>
    <t>PST</t>
  </si>
  <si>
    <t>PSTREG</t>
  </si>
  <si>
    <t>RAY</t>
  </si>
  <si>
    <t>RDN</t>
  </si>
  <si>
    <t>RIT</t>
  </si>
  <si>
    <t>ROK</t>
  </si>
  <si>
    <t>ROS</t>
  </si>
  <si>
    <t>ROS13</t>
  </si>
  <si>
    <t>ROX</t>
  </si>
  <si>
    <t>RSA</t>
  </si>
  <si>
    <t>RTZ</t>
  </si>
  <si>
    <t>SAF</t>
  </si>
  <si>
    <t>SE</t>
  </si>
  <si>
    <t>SHH</t>
  </si>
  <si>
    <t>SHN</t>
  </si>
  <si>
    <t>SIP</t>
  </si>
  <si>
    <t>SLK</t>
  </si>
  <si>
    <t>SOT</t>
  </si>
  <si>
    <t>SPA</t>
  </si>
  <si>
    <t>SPI</t>
  </si>
  <si>
    <t>SPKSEW</t>
  </si>
  <si>
    <t>SPL</t>
  </si>
  <si>
    <t>SPR</t>
  </si>
  <si>
    <t>SPU</t>
  </si>
  <si>
    <t>SSH</t>
  </si>
  <si>
    <t>STJ</t>
  </si>
  <si>
    <t>SUBCON</t>
  </si>
  <si>
    <t>SUN</t>
  </si>
  <si>
    <t>THRSD</t>
  </si>
  <si>
    <t>TKO</t>
  </si>
  <si>
    <t>TRFSPK</t>
  </si>
  <si>
    <t>TUR</t>
  </si>
  <si>
    <t>TURNER 115 KV SUBSTATION (PULLMAN)</t>
  </si>
  <si>
    <t>TVW</t>
  </si>
  <si>
    <t>UPR</t>
  </si>
  <si>
    <t>VAA</t>
  </si>
  <si>
    <t>VAL</t>
  </si>
  <si>
    <t>WAK</t>
  </si>
  <si>
    <t>WAR</t>
  </si>
  <si>
    <t>WAS</t>
  </si>
  <si>
    <t>WES</t>
  </si>
  <si>
    <t>WIL</t>
  </si>
  <si>
    <t>WILSD1</t>
  </si>
  <si>
    <t>WILSD2</t>
  </si>
  <si>
    <t>WKSD</t>
  </si>
  <si>
    <t>WLR</t>
  </si>
  <si>
    <t>WSE</t>
  </si>
  <si>
    <t>WSU</t>
  </si>
  <si>
    <t>ZIG</t>
  </si>
  <si>
    <t>Jan</t>
  </si>
  <si>
    <t>ROO Account Total</t>
  </si>
  <si>
    <t>Task Number:902010</t>
  </si>
  <si>
    <t>Project Number:09800711</t>
  </si>
  <si>
    <t>Z90 - Incentive Compensation</t>
  </si>
  <si>
    <t>Project Number:09900710</t>
  </si>
  <si>
    <t>Mar</t>
  </si>
  <si>
    <t>00</t>
  </si>
  <si>
    <t>UNSPECIFIED - Washington</t>
  </si>
  <si>
    <t>BLD</t>
  </si>
  <si>
    <t>DEP</t>
  </si>
  <si>
    <t>GDN</t>
  </si>
  <si>
    <t>JST</t>
  </si>
  <si>
    <t>JACK STEWART TRAING</t>
  </si>
  <si>
    <t>KET</t>
  </si>
  <si>
    <t>KETTLE FALLS SUBSTATION</t>
  </si>
  <si>
    <t>PALOUSE SUB</t>
  </si>
  <si>
    <t>STR</t>
  </si>
  <si>
    <t>Substation Container (no specific substation)</t>
  </si>
  <si>
    <t>098</t>
  </si>
  <si>
    <t>Gl Jurisdiction:WA</t>
  </si>
  <si>
    <t>APPLEWAY SUBSTA (WA) NOT CORRECT STATE FOR APW</t>
  </si>
  <si>
    <t>AVONDALE SUBSTA (WA) NOT CORRECT STATE FOR AVONDALE</t>
  </si>
  <si>
    <t>COLLEGE &amp; WALNT SUBSTA 115kV</t>
  </si>
  <si>
    <t>COLLEGE &amp; WALNT ELEC REG STA 13kV</t>
  </si>
  <si>
    <t>DEER PARK BPA OWNED SUBSTA, 115kV ONLY</t>
  </si>
  <si>
    <t>DEER PARK SUBSTA, 115/13kV (WE BOUGHT FROM BPA)</t>
  </si>
  <si>
    <t>KETTLE FALLS GS (WA)</t>
  </si>
  <si>
    <t>SPIRIT LAKE SUBSTA (WA) NOT CORRECT STATE FOR SPL</t>
  </si>
  <si>
    <t>SUNSHINE MINE SUBSTA (WA) NOT CORRECT STATE FOR SSH</t>
  </si>
  <si>
    <t>E-PREV</t>
  </si>
  <si>
    <t>Weather Normalization</t>
  </si>
  <si>
    <t>E-WN</t>
  </si>
  <si>
    <t>Eliminate Adder Schedules</t>
  </si>
  <si>
    <t>E-EAS</t>
  </si>
  <si>
    <t>Billing (Customer Records &amp; Collections)</t>
  </si>
  <si>
    <t>Voucher</t>
  </si>
  <si>
    <t>D09 - Scada</t>
  </si>
  <si>
    <t>Oct</t>
  </si>
  <si>
    <t>Assembly Code</t>
  </si>
  <si>
    <t>Twelve Months Ended September 30, 2015</t>
  </si>
  <si>
    <t>State</t>
  </si>
  <si>
    <t>Sum of OH_CIRCUIT_MILES</t>
  </si>
  <si>
    <t>Sum of UG_CIRCUIT_MILES</t>
  </si>
  <si>
    <t>Sum of OH_CONDUCTOR_MILES</t>
  </si>
  <si>
    <t>Sum of UG_CONDUCTOR_MILES</t>
  </si>
  <si>
    <t>Wire Miles</t>
  </si>
  <si>
    <t>Secondary Circuit Miles</t>
  </si>
  <si>
    <t>Secondary Conductor Miles</t>
  </si>
  <si>
    <t>ROO EB</t>
  </si>
  <si>
    <t>POGAR</t>
  </si>
  <si>
    <t>POST STREET GARAGE-STRUCT &amp; IMP (ED.WA)</t>
  </si>
  <si>
    <t>Gl Jurisdiction:AN</t>
  </si>
  <si>
    <t>HOL</t>
  </si>
  <si>
    <t>HOLBROOK SUBSTA (AN)</t>
  </si>
  <si>
    <t>SUBBAT</t>
  </si>
  <si>
    <t>Mobile Substation Battery and Trailer</t>
  </si>
  <si>
    <t>Jurisdiction:AA</t>
  </si>
  <si>
    <t>Avista Utilities</t>
  </si>
  <si>
    <t>Electric Cost Study</t>
  </si>
  <si>
    <t>Exclude</t>
  </si>
  <si>
    <t>Retail</t>
  </si>
  <si>
    <t>Average MW</t>
  </si>
  <si>
    <t>Peak MW</t>
  </si>
  <si>
    <t>Total Monthly</t>
  </si>
  <si>
    <t>Sales for</t>
  </si>
  <si>
    <t>Monthly</t>
  </si>
  <si>
    <t>Energy</t>
  </si>
  <si>
    <t>Demand</t>
  </si>
  <si>
    <t>hours</t>
  </si>
  <si>
    <t>Resale w losses</t>
  </si>
  <si>
    <t>Annual Total</t>
  </si>
  <si>
    <t>Source:  FERC FORM 1 page 401b</t>
  </si>
  <si>
    <t>BOULDER PARK 230/115kV SUBSTATION</t>
  </si>
  <si>
    <t>DRY CREEK 230/115kV SUBSTA</t>
  </si>
  <si>
    <t>DEVILS GAP 115kV SW STA</t>
  </si>
  <si>
    <t>DRY GULCH 115/13kV SUBSTA</t>
  </si>
  <si>
    <t>GARDEN SPRINGS 115kV SW STA</t>
  </si>
  <si>
    <t>GRA</t>
  </si>
  <si>
    <t>GREENACRES SUBSTA</t>
  </si>
  <si>
    <t>HIL115</t>
  </si>
  <si>
    <t>HILLYARD 115 KV SUB, NE SPOKANE, WA</t>
  </si>
  <si>
    <t>MCF</t>
  </si>
  <si>
    <t>MCFARLANE 115/13 kV SUBSTATION (AIRWAY HEIGHTS)</t>
  </si>
  <si>
    <t>OTHELLO 115kV SW STA</t>
  </si>
  <si>
    <t>OTIS ORCHARD 115kV SW STA</t>
  </si>
  <si>
    <t>SHAWNEE 230/115kV SUBSTA</t>
  </si>
  <si>
    <t>STRATFORD 115kV SW STA</t>
  </si>
  <si>
    <t>THN</t>
  </si>
  <si>
    <t>ORNTON 230 KV, SWITCHING STATION</t>
  </si>
  <si>
    <t>WARDEN 115kV SW STA</t>
  </si>
  <si>
    <t>WESTSIDE 230/115kV SUBSTA</t>
  </si>
  <si>
    <t>Accounting Period:201612</t>
  </si>
  <si>
    <t>GARDEN SPRINGS 115kV SW STA (AN)</t>
  </si>
  <si>
    <t>8927100000</t>
  </si>
  <si>
    <t>9927100000</t>
  </si>
  <si>
    <t>8972300000</t>
  </si>
  <si>
    <t>0082300000</t>
  </si>
  <si>
    <t>1423850000</t>
  </si>
  <si>
    <t>0177400000</t>
  </si>
  <si>
    <t>8649170000</t>
  </si>
  <si>
    <t>0166400000</t>
  </si>
  <si>
    <t>4258610000</t>
  </si>
  <si>
    <t>9066400000</t>
  </si>
  <si>
    <t>0037100000</t>
  </si>
  <si>
    <t>1082300000</t>
  </si>
  <si>
    <t>0078160000</t>
  </si>
  <si>
    <t>2261550000</t>
  </si>
  <si>
    <t>2478200000</t>
  </si>
  <si>
    <t>3731710000</t>
  </si>
  <si>
    <t>6037100000</t>
  </si>
  <si>
    <t>6100220000</t>
  </si>
  <si>
    <t>5037100000 No PVD</t>
  </si>
  <si>
    <t>7037100000 No PVD</t>
  </si>
  <si>
    <t>Per Melanie Hayes approximately 90% of Project No. 09800711 Task 9020110 is to provide data for handbilled accounts.</t>
  </si>
  <si>
    <t>90% of Electric Amount</t>
  </si>
  <si>
    <t>Task Number:903300</t>
  </si>
  <si>
    <t>Billing Expense</t>
  </si>
  <si>
    <t>Contractor</t>
  </si>
  <si>
    <t>Z09 - Postage Centralization</t>
  </si>
  <si>
    <t>Approximately 2 days per month at approximately $48 per hour (loaded labor)</t>
  </si>
  <si>
    <t>now auto-linked in model</t>
  </si>
  <si>
    <t>2018 System Load Factor</t>
  </si>
  <si>
    <t>Twelve Months Ended December 31, 2018</t>
  </si>
  <si>
    <t>Transaction Analysis  Selection: Accounting Period : 201801 to 201812 , Gl Ferc Account : 902000</t>
  </si>
  <si>
    <t>ORGANIZATION_DESC</t>
  </si>
  <si>
    <t>Employee Job Title</t>
  </si>
  <si>
    <t>Project Description</t>
  </si>
  <si>
    <t>Analyst Metering Automation</t>
  </si>
  <si>
    <t>Meter Reading Expense - 098</t>
  </si>
  <si>
    <t>Engr Principal</t>
  </si>
  <si>
    <t>Analyst Business I</t>
  </si>
  <si>
    <t>Analyst Business System</t>
  </si>
  <si>
    <t>Engineer</t>
  </si>
  <si>
    <t>Engr Sr</t>
  </si>
  <si>
    <t>(blank)</t>
  </si>
  <si>
    <t>Transaction Analysis  Selection: Accounting Period : 201801 to 201812 , Gl Ferc Account : 903000</t>
  </si>
  <si>
    <t>CSR Billing Spec - 11</t>
  </si>
  <si>
    <t>CSR Billing Spec - 8</t>
  </si>
  <si>
    <t>CSR Flex II - 11</t>
  </si>
  <si>
    <t>CSR Flex II - 8</t>
  </si>
  <si>
    <t>CSR Universal - 11</t>
  </si>
  <si>
    <t>Mtrdr 3</t>
  </si>
  <si>
    <t>Team Leader - 4</t>
  </si>
  <si>
    <t>Material</t>
  </si>
  <si>
    <t>D50 - Meter Reading OSM</t>
  </si>
  <si>
    <t>E53 - Con. Ctr-Lewiston Billing</t>
  </si>
  <si>
    <t>F50 - Contact Ctr-Spokane Credit</t>
  </si>
  <si>
    <t>N50 - Director of Customer Service</t>
  </si>
  <si>
    <t>S51 - Supply Chain Loadings</t>
  </si>
  <si>
    <t>12ME 12.2018 Peak KVA</t>
  </si>
  <si>
    <t>Apr</t>
  </si>
  <si>
    <t>Sep</t>
  </si>
  <si>
    <t>May</t>
  </si>
  <si>
    <t>Substation Ending Balances  Plant Accounts 361 and 362  Accounting Period : 201812 , Gl Jurisdiction : WA</t>
  </si>
  <si>
    <t>Accounting Period:201812</t>
  </si>
  <si>
    <t>AMIWA</t>
  </si>
  <si>
    <t>DTNET</t>
  </si>
  <si>
    <t>DTW</t>
  </si>
  <si>
    <t>DTWLND-D</t>
  </si>
  <si>
    <t>ADVANCED METERING INFRASTRUCTURE - WA (GEN PLT)</t>
  </si>
  <si>
    <t>DOWNTOWN NETWORK OPERATIONS-STRUCTURE</t>
  </si>
  <si>
    <t>DOWNTOWN WEST 115-13KV SUBSTATION</t>
  </si>
  <si>
    <t>- DOWNTOWN WEST LAND - SUB &amp; DOWNTOWN NETWORK - DIST</t>
  </si>
  <si>
    <t>LONG LAKE 115 KV SW SUBSTA</t>
  </si>
  <si>
    <t>Substation Ending Balances  Plant Accounts 361 and 362  Accounting Period : 201812 , Gl Jurisdiction : AN</t>
  </si>
  <si>
    <t>BEAST</t>
  </si>
  <si>
    <t>GRV</t>
  </si>
  <si>
    <t>MO3</t>
  </si>
  <si>
    <t>- BEACON SUB MATERIAL STORAGE YARD(AN)</t>
  </si>
  <si>
    <t>CHESTER SUBSTA (AN)</t>
  </si>
  <si>
    <t>FRANCIS &amp; CEDAR SUBSTA (AN)</t>
  </si>
  <si>
    <t>GRANGEVILLE SUBSA (AN)</t>
  </si>
  <si>
    <t xml:space="preserve">BILE/PORTABLE SUBSTA # 2 (AN)/ 098
</t>
  </si>
  <si>
    <t>MOBILE/PORTABLE SUBSTA # 3 (AN)</t>
  </si>
  <si>
    <t>Total WA Ending Balance 12/18 of Accounts</t>
  </si>
  <si>
    <t>2317650000 No PVD</t>
  </si>
  <si>
    <t>1&amp;22 share 1 of 2</t>
  </si>
  <si>
    <t>Twelve Months Ended December  31, 2018</t>
  </si>
  <si>
    <t>HPGL</t>
  </si>
  <si>
    <t>HPEL</t>
  </si>
  <si>
    <t>Sch 47 Area lts</t>
  </si>
  <si>
    <t>Sch 48 Area lts</t>
  </si>
  <si>
    <t>Total Area Lts</t>
  </si>
  <si>
    <t>PB</t>
  </si>
  <si>
    <t>HPDL</t>
  </si>
  <si>
    <t>Area Lights with dedicated wood poles</t>
  </si>
  <si>
    <t>HANL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</si>
</sst>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00_);_(* \(#,##0.00000\);_(* &quot;-&quot;??_);_(@_)"/>
    <numFmt numFmtId="167" formatCode="_(&quot;$&quot;* #,##0_);_(&quot;$&quot;* \(#,##0\);_(&quot;$&quot;* &quot;-&quot;??_);_(@_)"/>
    <numFmt numFmtId="168" formatCode="#,###,###,###,###.00"/>
    <numFmt numFmtId="169" formatCode="##,###,###,###,###,###,###,###,###,###,###,###,##0.00\ ;\&lt;##,###,###,###,###,###,###,###,###,###,###,###,##0.00\&gt;"/>
    <numFmt numFmtId="170" formatCode="#,###,###,###.00"/>
    <numFmt numFmtId="171" formatCode="&quot;$&quot;#,##0.00"/>
    <numFmt numFmtId="172" formatCode="_(* #,##0.000000_);_(* \(#,##0.000000\);_(* &quot;-&quot;??_);_(@_)"/>
  </numFmts>
  <fonts count="33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sz val="8"/>
      <color indexed="81"/>
      <name val="Tahoma"/>
      <family val="2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8"/>
      <color indexed="81"/>
      <name val="Tahoma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0"/>
      <color rgb="FF0000FF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14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0" applyNumberFormat="1" applyBorder="1"/>
    <xf numFmtId="3" fontId="0" fillId="0" borderId="0" xfId="0" applyNumberFormat="1" applyBorder="1"/>
    <xf numFmtId="3" fontId="0" fillId="0" borderId="1" xfId="0" applyNumberFormat="1" applyBorder="1"/>
    <xf numFmtId="9" fontId="0" fillId="0" borderId="0" xfId="0" applyNumberFormat="1"/>
    <xf numFmtId="0" fontId="6" fillId="0" borderId="0" xfId="0" applyFont="1"/>
    <xf numFmtId="0" fontId="6" fillId="0" borderId="0" xfId="0" applyFont="1" applyFill="1"/>
    <xf numFmtId="164" fontId="6" fillId="0" borderId="0" xfId="1" applyNumberFormat="1" applyFont="1" applyFill="1"/>
    <xf numFmtId="7" fontId="6" fillId="0" borderId="0" xfId="2" applyNumberFormat="1" applyFont="1" applyFill="1" applyAlignment="1">
      <alignment horizontal="right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Fill="1"/>
    <xf numFmtId="9" fontId="5" fillId="0" borderId="0" xfId="0" applyNumberFormat="1" applyFont="1" applyFill="1"/>
    <xf numFmtId="3" fontId="5" fillId="0" borderId="1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0" fontId="5" fillId="0" borderId="0" xfId="0" applyFont="1" applyAlignment="1">
      <alignment horizontal="left" indent="1"/>
    </xf>
    <xf numFmtId="3" fontId="8" fillId="0" borderId="1" xfId="0" applyNumberFormat="1" applyFont="1" applyBorder="1"/>
    <xf numFmtId="0" fontId="5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10" fontId="4" fillId="0" borderId="0" xfId="3" applyNumberFormat="1" applyFont="1"/>
    <xf numFmtId="7" fontId="6" fillId="0" borderId="0" xfId="2" applyNumberFormat="1" applyFont="1" applyAlignment="1">
      <alignment horizontal="right"/>
    </xf>
    <xf numFmtId="7" fontId="6" fillId="0" borderId="0" xfId="2" applyNumberFormat="1" applyFont="1"/>
    <xf numFmtId="7" fontId="0" fillId="0" borderId="0" xfId="1" applyNumberFormat="1" applyFont="1"/>
    <xf numFmtId="5" fontId="0" fillId="0" borderId="0" xfId="1" applyNumberFormat="1" applyFont="1"/>
    <xf numFmtId="10" fontId="8" fillId="0" borderId="0" xfId="3" applyNumberFormat="1" applyFont="1"/>
    <xf numFmtId="10" fontId="0" fillId="0" borderId="0" xfId="0" applyNumberFormat="1" applyFill="1"/>
    <xf numFmtId="164" fontId="0" fillId="0" borderId="1" xfId="1" applyNumberFormat="1" applyFont="1" applyFill="1" applyBorder="1"/>
    <xf numFmtId="164" fontId="0" fillId="0" borderId="1" xfId="0" applyNumberFormat="1" applyFill="1" applyBorder="1"/>
    <xf numFmtId="164" fontId="0" fillId="0" borderId="0" xfId="0" applyNumberFormat="1" applyFill="1"/>
    <xf numFmtId="0" fontId="0" fillId="0" borderId="0" xfId="0" applyFill="1" applyAlignment="1">
      <alignment horizontal="right"/>
    </xf>
    <xf numFmtId="3" fontId="9" fillId="0" borderId="0" xfId="0" applyNumberFormat="1" applyFont="1" applyFill="1"/>
    <xf numFmtId="0" fontId="0" fillId="0" borderId="0" xfId="0" applyFill="1" applyAlignment="1"/>
    <xf numFmtId="0" fontId="0" fillId="0" borderId="0" xfId="0" applyAlignment="1"/>
    <xf numFmtId="0" fontId="0" fillId="0" borderId="0" xfId="0" applyAlignment="1">
      <alignment horizontal="left" indent="1"/>
    </xf>
    <xf numFmtId="3" fontId="5" fillId="0" borderId="0" xfId="0" applyNumberFormat="1" applyFont="1" applyFill="1" applyBorder="1"/>
    <xf numFmtId="3" fontId="6" fillId="0" borderId="0" xfId="0" applyNumberFormat="1" applyFont="1" applyFill="1"/>
    <xf numFmtId="164" fontId="0" fillId="0" borderId="0" xfId="0" applyNumberFormat="1"/>
    <xf numFmtId="43" fontId="4" fillId="0" borderId="0" xfId="1" applyFill="1"/>
    <xf numFmtId="43" fontId="0" fillId="0" borderId="1" xfId="0" applyNumberFormat="1" applyFill="1" applyBorder="1"/>
    <xf numFmtId="43" fontId="0" fillId="0" borderId="0" xfId="0" applyNumberFormat="1" applyFill="1" applyBorder="1"/>
    <xf numFmtId="10" fontId="4" fillId="0" borderId="0" xfId="3" applyNumberFormat="1" applyFill="1"/>
    <xf numFmtId="10" fontId="8" fillId="0" borderId="0" xfId="3" applyNumberFormat="1" applyFont="1" applyFill="1"/>
    <xf numFmtId="10" fontId="8" fillId="0" borderId="0" xfId="0" applyNumberFormat="1" applyFont="1" applyFill="1"/>
    <xf numFmtId="9" fontId="12" fillId="0" borderId="0" xfId="3" applyFont="1" applyFill="1"/>
    <xf numFmtId="10" fontId="5" fillId="0" borderId="0" xfId="3" applyNumberFormat="1" applyFont="1" applyFill="1"/>
    <xf numFmtId="10" fontId="0" fillId="0" borderId="0" xfId="3" applyNumberFormat="1" applyFont="1" applyFill="1"/>
    <xf numFmtId="4" fontId="0" fillId="0" borderId="0" xfId="0" applyNumberFormat="1"/>
    <xf numFmtId="0" fontId="0" fillId="0" borderId="1" xfId="0" applyBorder="1"/>
    <xf numFmtId="4" fontId="5" fillId="0" borderId="1" xfId="0" applyNumberFormat="1" applyFont="1" applyBorder="1"/>
    <xf numFmtId="0" fontId="0" fillId="0" borderId="0" xfId="0" applyBorder="1"/>
    <xf numFmtId="43" fontId="5" fillId="0" borderId="0" xfId="0" applyNumberFormat="1" applyFont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/>
    <xf numFmtId="0" fontId="18" fillId="0" borderId="0" xfId="0" applyFont="1" applyBorder="1"/>
    <xf numFmtId="43" fontId="18" fillId="0" borderId="0" xfId="0" applyNumberFormat="1" applyFont="1" applyBorder="1"/>
    <xf numFmtId="0" fontId="19" fillId="0" borderId="0" xfId="0" applyFont="1" applyBorder="1"/>
    <xf numFmtId="43" fontId="19" fillId="0" borderId="0" xfId="0" applyNumberFormat="1" applyFont="1" applyBorder="1"/>
    <xf numFmtId="164" fontId="4" fillId="0" borderId="0" xfId="1" applyNumberFormat="1" applyFont="1" applyFill="1"/>
    <xf numFmtId="9" fontId="9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quotePrefix="1" applyNumberFormat="1" applyFill="1" applyAlignment="1">
      <alignment horizontal="center"/>
    </xf>
    <xf numFmtId="0" fontId="20" fillId="0" borderId="0" xfId="0" applyFont="1" applyFill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43" fontId="4" fillId="0" borderId="0" xfId="1" applyFill="1" applyBorder="1"/>
    <xf numFmtId="0" fontId="5" fillId="0" borderId="1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0" xfId="0" applyNumberFormat="1"/>
    <xf numFmtId="164" fontId="0" fillId="0" borderId="0" xfId="1" applyNumberFormat="1" applyFont="1"/>
    <xf numFmtId="164" fontId="0" fillId="0" borderId="1" xfId="0" applyNumberFormat="1" applyBorder="1"/>
    <xf numFmtId="164" fontId="6" fillId="0" borderId="0" xfId="1" applyNumberFormat="1" applyFont="1" applyFill="1" applyBorder="1"/>
    <xf numFmtId="4" fontId="4" fillId="0" borderId="0" xfId="0" applyNumberFormat="1" applyFont="1"/>
    <xf numFmtId="43" fontId="0" fillId="0" borderId="0" xfId="1" applyFont="1"/>
    <xf numFmtId="43" fontId="0" fillId="0" borderId="0" xfId="0" applyNumberFormat="1"/>
    <xf numFmtId="170" fontId="0" fillId="0" borderId="0" xfId="0" applyNumberFormat="1" applyFill="1"/>
    <xf numFmtId="0" fontId="4" fillId="0" borderId="0" xfId="0" applyFont="1" applyAlignment="1">
      <alignment horizontal="right"/>
    </xf>
    <xf numFmtId="168" fontId="0" fillId="0" borderId="0" xfId="0" applyNumberFormat="1"/>
    <xf numFmtId="0" fontId="4" fillId="0" borderId="0" xfId="0" quotePrefix="1" applyFont="1" applyAlignment="1">
      <alignment horizontal="left"/>
    </xf>
    <xf numFmtId="5" fontId="6" fillId="0" borderId="0" xfId="2" applyNumberFormat="1" applyFont="1" applyFill="1" applyAlignment="1">
      <alignment horizontal="right"/>
    </xf>
    <xf numFmtId="166" fontId="0" fillId="0" borderId="0" xfId="1" applyNumberFormat="1" applyFont="1" applyFill="1"/>
    <xf numFmtId="9" fontId="0" fillId="0" borderId="0" xfId="0" applyNumberFormat="1" applyFill="1"/>
    <xf numFmtId="14" fontId="0" fillId="0" borderId="0" xfId="0" applyNumberFormat="1"/>
    <xf numFmtId="2" fontId="0" fillId="0" borderId="0" xfId="0" applyNumberFormat="1"/>
    <xf numFmtId="0" fontId="21" fillId="0" borderId="0" xfId="4" applyFill="1"/>
    <xf numFmtId="4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/>
    <xf numFmtId="0" fontId="16" fillId="0" borderId="3" xfId="4" applyFont="1" applyFill="1" applyBorder="1" applyAlignment="1">
      <alignment horizontal="left" vertical="center"/>
    </xf>
    <xf numFmtId="0" fontId="22" fillId="0" borderId="0" xfId="0" applyFont="1" applyFill="1"/>
    <xf numFmtId="0" fontId="4" fillId="0" borderId="0" xfId="0" applyFont="1" applyAlignment="1">
      <alignment horizontal="left"/>
    </xf>
    <xf numFmtId="165" fontId="23" fillId="0" borderId="0" xfId="3" applyNumberFormat="1" applyFont="1" applyFill="1"/>
    <xf numFmtId="165" fontId="23" fillId="0" borderId="0" xfId="0" applyNumberFormat="1" applyFont="1" applyFill="1"/>
    <xf numFmtId="0" fontId="11" fillId="0" borderId="0" xfId="4" applyFont="1" applyFill="1" applyBorder="1" applyAlignment="1">
      <alignment horizontal="center" vertical="top"/>
    </xf>
    <xf numFmtId="170" fontId="11" fillId="0" borderId="0" xfId="4" applyNumberFormat="1" applyFont="1" applyFill="1" applyBorder="1" applyAlignment="1">
      <alignment horizontal="right" vertical="top"/>
    </xf>
    <xf numFmtId="168" fontId="11" fillId="0" borderId="0" xfId="4" applyNumberFormat="1" applyFont="1" applyFill="1" applyBorder="1" applyAlignment="1">
      <alignment horizontal="right" vertical="top"/>
    </xf>
    <xf numFmtId="17" fontId="0" fillId="0" borderId="0" xfId="0" applyNumberFormat="1"/>
    <xf numFmtId="0" fontId="24" fillId="0" borderId="0" xfId="0" applyFont="1"/>
    <xf numFmtId="0" fontId="21" fillId="0" borderId="0" xfId="4" applyFill="1" applyAlignment="1"/>
    <xf numFmtId="165" fontId="0" fillId="0" borderId="0" xfId="3" applyNumberFormat="1" applyFont="1" applyFill="1" applyAlignment="1"/>
    <xf numFmtId="43" fontId="0" fillId="0" borderId="0" xfId="1" applyFont="1" applyFill="1" applyAlignment="1"/>
    <xf numFmtId="0" fontId="21" fillId="0" borderId="0" xfId="4"/>
    <xf numFmtId="0" fontId="21" fillId="0" borderId="0" xfId="4"/>
    <xf numFmtId="0" fontId="3" fillId="0" borderId="0" xfId="5"/>
    <xf numFmtId="164" fontId="3" fillId="0" borderId="0" xfId="5" applyNumberFormat="1"/>
    <xf numFmtId="164" fontId="3" fillId="0" borderId="0" xfId="5" applyNumberFormat="1" applyAlignment="1">
      <alignment horizontal="center"/>
    </xf>
    <xf numFmtId="164" fontId="24" fillId="0" borderId="0" xfId="5" applyNumberFormat="1" applyFont="1"/>
    <xf numFmtId="10" fontId="3" fillId="0" borderId="0" xfId="3" applyNumberFormat="1" applyFont="1"/>
    <xf numFmtId="0" fontId="10" fillId="0" borderId="19" xfId="0" applyFont="1" applyFill="1" applyBorder="1" applyAlignment="1">
      <alignment horizontal="right" vertical="top"/>
    </xf>
    <xf numFmtId="0" fontId="10" fillId="0" borderId="24" xfId="0" applyFont="1" applyFill="1" applyBorder="1" applyAlignment="1">
      <alignment horizontal="right" vertical="top"/>
    </xf>
    <xf numFmtId="0" fontId="10" fillId="0" borderId="20" xfId="0" applyFont="1" applyFill="1" applyBorder="1" applyAlignment="1">
      <alignment horizontal="right" vertical="top"/>
    </xf>
    <xf numFmtId="0" fontId="16" fillId="0" borderId="3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/>
    </xf>
    <xf numFmtId="0" fontId="10" fillId="0" borderId="21" xfId="0" applyFont="1" applyFill="1" applyBorder="1" applyAlignment="1">
      <alignment horizontal="right" vertical="top"/>
    </xf>
    <xf numFmtId="0" fontId="10" fillId="0" borderId="25" xfId="0" applyFont="1" applyFill="1" applyBorder="1" applyAlignment="1">
      <alignment horizontal="right" vertical="top"/>
    </xf>
    <xf numFmtId="0" fontId="10" fillId="0" borderId="22" xfId="0" applyFont="1" applyFill="1" applyBorder="1" applyAlignment="1">
      <alignment horizontal="right" vertical="top"/>
    </xf>
    <xf numFmtId="0" fontId="15" fillId="0" borderId="3" xfId="0" applyFont="1" applyFill="1" applyBorder="1" applyAlignment="1">
      <alignment horizontal="left" vertical="top" wrapText="1"/>
    </xf>
    <xf numFmtId="0" fontId="16" fillId="0" borderId="18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right" vertical="top"/>
    </xf>
    <xf numFmtId="169" fontId="15" fillId="0" borderId="23" xfId="0" applyNumberFormat="1" applyFont="1" applyFill="1" applyBorder="1" applyAlignment="1">
      <alignment horizontal="right" vertical="top"/>
    </xf>
    <xf numFmtId="0" fontId="15" fillId="0" borderId="13" xfId="0" applyFont="1" applyFill="1" applyBorder="1" applyAlignment="1">
      <alignment horizontal="left" vertical="top"/>
    </xf>
    <xf numFmtId="0" fontId="15" fillId="0" borderId="14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/>
    </xf>
    <xf numFmtId="164" fontId="0" fillId="0" borderId="0" xfId="1" applyNumberFormat="1" applyFont="1" applyFill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10" fontId="0" fillId="0" borderId="29" xfId="0" applyNumberFormat="1" applyFill="1" applyBorder="1"/>
    <xf numFmtId="10" fontId="0" fillId="0" borderId="0" xfId="0" applyNumberFormat="1" applyFill="1" applyBorder="1"/>
    <xf numFmtId="10" fontId="0" fillId="0" borderId="30" xfId="0" applyNumberFormat="1" applyFill="1" applyBorder="1"/>
    <xf numFmtId="10" fontId="0" fillId="0" borderId="0" xfId="3" applyNumberFormat="1" applyFont="1" applyFill="1" applyBorder="1"/>
    <xf numFmtId="10" fontId="0" fillId="0" borderId="31" xfId="0" applyNumberFormat="1" applyFill="1" applyBorder="1"/>
    <xf numFmtId="10" fontId="0" fillId="0" borderId="32" xfId="0" applyNumberFormat="1" applyFill="1" applyBorder="1"/>
    <xf numFmtId="10" fontId="0" fillId="0" borderId="32" xfId="3" applyNumberFormat="1" applyFont="1" applyFill="1" applyBorder="1"/>
    <xf numFmtId="10" fontId="0" fillId="0" borderId="33" xfId="0" applyNumberFormat="1" applyFill="1" applyBorder="1"/>
    <xf numFmtId="0" fontId="4" fillId="0" borderId="3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28" fillId="0" borderId="13" xfId="0" applyFont="1" applyFill="1" applyBorder="1" applyAlignment="1">
      <alignment horizontal="right" vertical="top"/>
    </xf>
    <xf numFmtId="0" fontId="28" fillId="0" borderId="14" xfId="0" applyFont="1" applyFill="1" applyBorder="1" applyAlignment="1">
      <alignment horizontal="right" vertical="top"/>
    </xf>
    <xf numFmtId="0" fontId="28" fillId="0" borderId="15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top"/>
    </xf>
    <xf numFmtId="0" fontId="21" fillId="0" borderId="3" xfId="0" applyFont="1" applyFill="1" applyBorder="1" applyAlignment="1">
      <alignment horizontal="right" vertical="top"/>
    </xf>
    <xf numFmtId="0" fontId="28" fillId="0" borderId="3" xfId="0" applyFont="1" applyFill="1" applyBorder="1" applyAlignment="1">
      <alignment horizontal="right" vertical="top"/>
    </xf>
    <xf numFmtId="0" fontId="27" fillId="0" borderId="16" xfId="0" applyFont="1" applyFill="1" applyBorder="1" applyAlignment="1">
      <alignment horizontal="left" vertical="top"/>
    </xf>
    <xf numFmtId="170" fontId="4" fillId="0" borderId="3" xfId="0" applyNumberFormat="1" applyFont="1" applyFill="1" applyBorder="1" applyAlignment="1">
      <alignment horizontal="right" vertical="top"/>
    </xf>
    <xf numFmtId="168" fontId="21" fillId="0" borderId="3" xfId="0" applyNumberFormat="1" applyFont="1" applyFill="1" applyBorder="1" applyAlignment="1">
      <alignment horizontal="right" vertical="top"/>
    </xf>
    <xf numFmtId="0" fontId="27" fillId="0" borderId="18" xfId="0" applyFont="1" applyFill="1" applyBorder="1" applyAlignment="1">
      <alignment horizontal="left" vertical="top"/>
    </xf>
    <xf numFmtId="0" fontId="27" fillId="0" borderId="17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horizontal="right" vertical="top"/>
    </xf>
    <xf numFmtId="0" fontId="10" fillId="0" borderId="14" xfId="0" applyFont="1" applyFill="1" applyBorder="1" applyAlignment="1">
      <alignment horizontal="right" vertical="top"/>
    </xf>
    <xf numFmtId="0" fontId="10" fillId="0" borderId="15" xfId="0" applyFont="1" applyFill="1" applyBorder="1" applyAlignment="1">
      <alignment horizontal="right" vertical="top"/>
    </xf>
    <xf numFmtId="0" fontId="11" fillId="0" borderId="3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right" vertical="top"/>
    </xf>
    <xf numFmtId="0" fontId="15" fillId="0" borderId="16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0" fontId="15" fillId="0" borderId="18" xfId="0" applyFont="1" applyFill="1" applyBorder="1" applyAlignment="1">
      <alignment horizontal="left" vertical="top"/>
    </xf>
    <xf numFmtId="167" fontId="23" fillId="0" borderId="0" xfId="2" applyNumberFormat="1" applyFont="1" applyFill="1"/>
    <xf numFmtId="164" fontId="23" fillId="0" borderId="0" xfId="1" applyNumberFormat="1" applyFont="1" applyFill="1"/>
    <xf numFmtId="43" fontId="0" fillId="0" borderId="0" xfId="1" applyFont="1" applyFill="1"/>
    <xf numFmtId="0" fontId="23" fillId="0" borderId="0" xfId="0" applyFont="1"/>
    <xf numFmtId="0" fontId="2" fillId="0" borderId="0" xfId="5" applyFont="1"/>
    <xf numFmtId="164" fontId="2" fillId="0" borderId="0" xfId="5" applyNumberFormat="1" applyFont="1"/>
    <xf numFmtId="0" fontId="29" fillId="0" borderId="3" xfId="0" applyFont="1" applyFill="1" applyBorder="1" applyAlignment="1">
      <alignment horizontal="left" vertical="top"/>
    </xf>
    <xf numFmtId="171" fontId="11" fillId="0" borderId="3" xfId="0" applyNumberFormat="1" applyFont="1" applyFill="1" applyBorder="1" applyAlignment="1">
      <alignment horizontal="right" vertical="top"/>
    </xf>
    <xf numFmtId="171" fontId="14" fillId="0" borderId="3" xfId="0" applyNumberFormat="1" applyFont="1" applyFill="1" applyBorder="1" applyAlignment="1">
      <alignment horizontal="right" vertical="top"/>
    </xf>
    <xf numFmtId="172" fontId="0" fillId="0" borderId="0" xfId="1" applyNumberFormat="1" applyFont="1"/>
    <xf numFmtId="171" fontId="30" fillId="0" borderId="3" xfId="0" applyNumberFormat="1" applyFont="1" applyFill="1" applyBorder="1" applyAlignment="1">
      <alignment horizontal="right" vertical="top"/>
    </xf>
    <xf numFmtId="164" fontId="29" fillId="0" borderId="3" xfId="1" applyNumberFormat="1" applyFont="1" applyFill="1" applyBorder="1" applyAlignment="1">
      <alignment horizontal="right" vertical="top"/>
    </xf>
    <xf numFmtId="164" fontId="15" fillId="0" borderId="3" xfId="1" applyNumberFormat="1" applyFont="1" applyFill="1" applyBorder="1" applyAlignment="1">
      <alignment horizontal="right" vertical="top"/>
    </xf>
    <xf numFmtId="0" fontId="29" fillId="0" borderId="16" xfId="0" applyFont="1" applyFill="1" applyBorder="1" applyAlignment="1">
      <alignment horizontal="left" vertical="top"/>
    </xf>
    <xf numFmtId="0" fontId="32" fillId="0" borderId="3" xfId="0" applyFont="1" applyFill="1" applyBorder="1" applyAlignment="1">
      <alignment horizontal="left" vertical="top"/>
    </xf>
    <xf numFmtId="171" fontId="31" fillId="0" borderId="3" xfId="0" applyNumberFormat="1" applyFont="1" applyFill="1" applyBorder="1" applyAlignment="1">
      <alignment horizontal="right" vertical="top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1" xfId="0" applyFill="1" applyBorder="1"/>
    <xf numFmtId="43" fontId="0" fillId="0" borderId="0" xfId="0" applyNumberFormat="1" applyBorder="1"/>
    <xf numFmtId="43" fontId="0" fillId="2" borderId="34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6" xfId="0" applyFill="1" applyBorder="1"/>
    <xf numFmtId="0" fontId="0" fillId="2" borderId="7" xfId="0" applyFill="1" applyBorder="1" applyAlignment="1">
      <alignment wrapText="1"/>
    </xf>
    <xf numFmtId="0" fontId="0" fillId="0" borderId="4" xfId="0" applyBorder="1"/>
    <xf numFmtId="43" fontId="0" fillId="0" borderId="5" xfId="0" applyNumberFormat="1" applyBorder="1"/>
    <xf numFmtId="0" fontId="0" fillId="2" borderId="35" xfId="0" applyFill="1" applyBorder="1"/>
    <xf numFmtId="43" fontId="0" fillId="2" borderId="36" xfId="0" applyNumberFormat="1" applyFill="1" applyBorder="1"/>
    <xf numFmtId="43" fontId="0" fillId="0" borderId="1" xfId="0" applyNumberFormat="1" applyBorder="1"/>
    <xf numFmtId="43" fontId="0" fillId="0" borderId="12" xfId="0" applyNumberFormat="1" applyBorder="1"/>
    <xf numFmtId="0" fontId="0" fillId="0" borderId="6" xfId="0" applyBorder="1"/>
    <xf numFmtId="43" fontId="0" fillId="0" borderId="2" xfId="0" applyNumberFormat="1" applyBorder="1"/>
    <xf numFmtId="43" fontId="0" fillId="0" borderId="7" xfId="0" applyNumberFormat="1" applyBorder="1"/>
    <xf numFmtId="0" fontId="0" fillId="2" borderId="7" xfId="0" applyFill="1" applyBorder="1"/>
    <xf numFmtId="43" fontId="0" fillId="0" borderId="34" xfId="0" applyNumberFormat="1" applyBorder="1"/>
    <xf numFmtId="0" fontId="0" fillId="0" borderId="35" xfId="0" applyBorder="1" applyAlignment="1">
      <alignment horizontal="left"/>
    </xf>
    <xf numFmtId="43" fontId="0" fillId="0" borderId="36" xfId="0" applyNumberFormat="1" applyBorder="1"/>
    <xf numFmtId="0" fontId="0" fillId="0" borderId="4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2" borderId="6" xfId="0" applyFill="1" applyBorder="1" applyAlignment="1">
      <alignment horizontal="left"/>
    </xf>
    <xf numFmtId="43" fontId="0" fillId="2" borderId="2" xfId="0" applyNumberFormat="1" applyFill="1" applyBorder="1"/>
    <xf numFmtId="43" fontId="0" fillId="2" borderId="7" xfId="0" applyNumberFormat="1" applyFill="1" applyBorder="1"/>
    <xf numFmtId="0" fontId="16" fillId="0" borderId="1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5" applyFont="1"/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8" fillId="0" borderId="0" xfId="0" applyFont="1" applyAlignment="1">
      <alignment horizontal="center" wrapText="1"/>
    </xf>
  </cellXfs>
  <cellStyles count="8">
    <cellStyle name="Comma" xfId="1" builtinId="3"/>
    <cellStyle name="Comma 2" xfId="6"/>
    <cellStyle name="Currency" xfId="2" builtinId="4"/>
    <cellStyle name="Normal" xfId="0" builtinId="0"/>
    <cellStyle name="Normal 2" xfId="4"/>
    <cellStyle name="Normal 3" xfId="5"/>
    <cellStyle name="Percent" xfId="3" builtinId="5"/>
    <cellStyle name="Percent 2" xfId="7"/>
  </cellStyles>
  <dxfs count="89">
    <dxf>
      <fill>
        <patternFill>
          <bgColor indexed="29"/>
        </patternFill>
      </fill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</dxfs>
  <tableStyles count="8" defaultTableStyle="TableStyleMedium9" defaultPivotStyle="PivotStyleLight16">
    <tableStyle name="PivotStyleLight16 2" table="0" count="11">
      <tableStyleElement type="headerRow" dxfId="88"/>
      <tableStyleElement type="totalRow" dxfId="87"/>
      <tableStyleElement type="firstRowStripe" dxfId="86"/>
      <tableStyleElement type="firstColumnStripe" dxfId="85"/>
      <tableStyleElement type="firstSubtotalColumn" dxfId="84"/>
      <tableStyleElement type="firstSubtotalRow" dxfId="83"/>
      <tableStyleElement type="secondSubtotalRow" dxfId="82"/>
      <tableStyleElement type="firstRowSubheading" dxfId="81"/>
      <tableStyleElement type="secondRowSubheading" dxfId="80"/>
      <tableStyleElement type="pageFieldLabels" dxfId="79"/>
      <tableStyleElement type="pageFieldValues" dxfId="78"/>
    </tableStyle>
    <tableStyle name="PivotStyleLight16 3" table="0" count="11">
      <tableStyleElement type="headerRow" dxfId="77"/>
      <tableStyleElement type="totalRow" dxfId="76"/>
      <tableStyleElement type="firstRowStripe" dxfId="75"/>
      <tableStyleElement type="firstColumnStripe" dxfId="74"/>
      <tableStyleElement type="firstSubtotalColumn" dxfId="73"/>
      <tableStyleElement type="firstSubtotalRow" dxfId="72"/>
      <tableStyleElement type="secondSubtotalRow" dxfId="71"/>
      <tableStyleElement type="firstRowSubheading" dxfId="70"/>
      <tableStyleElement type="secondRowSubheading" dxfId="69"/>
      <tableStyleElement type="pageFieldLabels" dxfId="68"/>
      <tableStyleElement type="pageFieldValues" dxfId="67"/>
    </tableStyle>
    <tableStyle name="PivotStyleLight16 4" table="0" count="11">
      <tableStyleElement type="headerRow" dxfId="66"/>
      <tableStyleElement type="totalRow" dxfId="65"/>
      <tableStyleElement type="firstRowStripe" dxfId="64"/>
      <tableStyleElement type="firstColumnStripe" dxfId="63"/>
      <tableStyleElement type="firstSubtotalColumn" dxfId="62"/>
      <tableStyleElement type="firstSubtotalRow" dxfId="61"/>
      <tableStyleElement type="secondSubtotalRow" dxfId="60"/>
      <tableStyleElement type="firstRowSubheading" dxfId="59"/>
      <tableStyleElement type="secondRowSubheading" dxfId="58"/>
      <tableStyleElement type="pageFieldLabels" dxfId="57"/>
      <tableStyleElement type="pageFieldValues" dxfId="56"/>
    </tableStyle>
    <tableStyle name="PivotStyleLight16 5" table="0" count="11">
      <tableStyleElement type="headerRow" dxfId="55"/>
      <tableStyleElement type="totalRow" dxfId="54"/>
      <tableStyleElement type="firstRowStripe" dxfId="53"/>
      <tableStyleElement type="firstColumnStripe" dxfId="52"/>
      <tableStyleElement type="firstSubtotalColumn" dxfId="51"/>
      <tableStyleElement type="firstSubtotalRow" dxfId="50"/>
      <tableStyleElement type="secondSubtotalRow" dxfId="49"/>
      <tableStyleElement type="firstRowSubheading" dxfId="48"/>
      <tableStyleElement type="secondRowSubheading" dxfId="47"/>
      <tableStyleElement type="pageFieldLabels" dxfId="46"/>
      <tableStyleElement type="pageFieldValues" dxfId="45"/>
    </tableStyle>
    <tableStyle name="PivotStyleLight16 6" table="0" count="11">
      <tableStyleElement type="headerRow" dxfId="44"/>
      <tableStyleElement type="totalRow" dxfId="43"/>
      <tableStyleElement type="firstRowStripe" dxfId="42"/>
      <tableStyleElement type="firstColumnStripe" dxfId="41"/>
      <tableStyleElement type="firstSubtotalColumn" dxfId="40"/>
      <tableStyleElement type="firstSubtotalRow" dxfId="39"/>
      <tableStyleElement type="secondSubtotalRow" dxfId="38"/>
      <tableStyleElement type="firstRowSubheading" dxfId="37"/>
      <tableStyleElement type="secondRowSubheading" dxfId="36"/>
      <tableStyleElement type="pageFieldLabels" dxfId="35"/>
      <tableStyleElement type="pageFieldValues" dxfId="34"/>
    </tableStyle>
    <tableStyle name="PivotStyleLight16 7" table="0" count="11">
      <tableStyleElement type="headerRow" dxfId="33"/>
      <tableStyleElement type="totalRow" dxfId="32"/>
      <tableStyleElement type="firstRowStripe" dxfId="31"/>
      <tableStyleElement type="firstColumnStripe" dxfId="30"/>
      <tableStyleElement type="firstSubtotalColumn" dxfId="29"/>
      <tableStyleElement type="firstSubtotalRow" dxfId="28"/>
      <tableStyleElement type="secondSubtotalRow" dxfId="27"/>
      <tableStyleElement type="firstRowSubheading" dxfId="26"/>
      <tableStyleElement type="secondRowSubheading" dxfId="25"/>
      <tableStyleElement type="pageFieldLabels" dxfId="24"/>
      <tableStyleElement type="pageFieldValues" dxfId="23"/>
    </tableStyle>
    <tableStyle name="PivotStyleLight16 8" table="0" count="11"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Light16 9" table="0" count="11">
      <tableStyleElement type="headerRow" dxfId="11"/>
      <tableStyleElement type="totalRow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7"/>
  <sheetViews>
    <sheetView workbookViewId="0">
      <selection activeCell="A4" sqref="A4"/>
    </sheetView>
  </sheetViews>
  <sheetFormatPr defaultColWidth="8.77734375" defaultRowHeight="14.4" x14ac:dyDescent="0.3"/>
  <cols>
    <col min="1" max="1" width="18.33203125" style="127" customWidth="1"/>
    <col min="2" max="2" width="3.44140625" style="127" customWidth="1"/>
    <col min="3" max="3" width="16.109375" style="127" bestFit="1" customWidth="1"/>
    <col min="4" max="4" width="12.44140625" style="127" bestFit="1" customWidth="1"/>
    <col min="5" max="5" width="3.109375" style="127" customWidth="1"/>
    <col min="6" max="6" width="8.6640625" style="127" bestFit="1" customWidth="1"/>
    <col min="7" max="7" width="17.44140625" style="127" bestFit="1" customWidth="1"/>
    <col min="8" max="8" width="19.109375" style="127" bestFit="1" customWidth="1"/>
    <col min="9" max="9" width="12.33203125" style="127" bestFit="1" customWidth="1"/>
    <col min="10" max="16384" width="8.77734375" style="127"/>
  </cols>
  <sheetData>
    <row r="1" spans="1:9" x14ac:dyDescent="0.3">
      <c r="A1" s="127" t="s">
        <v>562</v>
      </c>
    </row>
    <row r="2" spans="1:9" x14ac:dyDescent="0.3">
      <c r="A2" s="127" t="s">
        <v>563</v>
      </c>
    </row>
    <row r="3" spans="1:9" x14ac:dyDescent="0.3">
      <c r="A3" s="236" t="s">
        <v>627</v>
      </c>
    </row>
    <row r="4" spans="1:9" x14ac:dyDescent="0.3">
      <c r="A4" s="192" t="s">
        <v>626</v>
      </c>
    </row>
    <row r="6" spans="1:9" x14ac:dyDescent="0.3">
      <c r="A6" s="128"/>
      <c r="B6" s="128"/>
      <c r="C6" s="129"/>
      <c r="D6" s="129"/>
      <c r="E6" s="129"/>
      <c r="F6" s="129"/>
      <c r="G6" s="129"/>
      <c r="H6" s="129" t="s">
        <v>564</v>
      </c>
      <c r="I6" s="129" t="s">
        <v>565</v>
      </c>
    </row>
    <row r="7" spans="1:9" x14ac:dyDescent="0.3">
      <c r="A7" s="128"/>
      <c r="B7" s="128"/>
      <c r="C7" s="129" t="s">
        <v>566</v>
      </c>
      <c r="D7" s="129" t="s">
        <v>567</v>
      </c>
      <c r="E7" s="129"/>
      <c r="F7" s="129"/>
      <c r="G7" s="129" t="s">
        <v>568</v>
      </c>
      <c r="H7" s="129" t="s">
        <v>569</v>
      </c>
      <c r="I7" s="129" t="s">
        <v>570</v>
      </c>
    </row>
    <row r="8" spans="1:9" x14ac:dyDescent="0.3">
      <c r="A8" s="128"/>
      <c r="B8" s="128"/>
      <c r="C8" s="129" t="s">
        <v>571</v>
      </c>
      <c r="D8" s="129" t="s">
        <v>572</v>
      </c>
      <c r="E8" s="129"/>
      <c r="F8" s="129" t="s">
        <v>573</v>
      </c>
      <c r="G8" s="129" t="s">
        <v>571</v>
      </c>
      <c r="H8" s="129" t="s">
        <v>574</v>
      </c>
      <c r="I8" s="129" t="s">
        <v>571</v>
      </c>
    </row>
    <row r="9" spans="1:9" x14ac:dyDescent="0.3">
      <c r="A9" s="120">
        <v>43101</v>
      </c>
      <c r="B9" s="128"/>
      <c r="C9" s="128">
        <f>I9/F9</f>
        <v>1145.7956989247311</v>
      </c>
      <c r="D9" s="128">
        <v>1499</v>
      </c>
      <c r="E9" s="128"/>
      <c r="F9" s="128">
        <f>31*24</f>
        <v>744</v>
      </c>
      <c r="G9" s="128">
        <v>1383994</v>
      </c>
      <c r="H9" s="128">
        <v>531522</v>
      </c>
      <c r="I9" s="128">
        <f>G9-H9</f>
        <v>852472</v>
      </c>
    </row>
    <row r="10" spans="1:9" x14ac:dyDescent="0.3">
      <c r="A10" s="120">
        <v>43132</v>
      </c>
      <c r="B10" s="128"/>
      <c r="C10" s="128">
        <f t="shared" ref="C10:C22" si="0">I10/F10</f>
        <v>1167.4449404761904</v>
      </c>
      <c r="D10" s="128">
        <v>1555</v>
      </c>
      <c r="E10" s="128"/>
      <c r="F10" s="128">
        <f>28*24</f>
        <v>672</v>
      </c>
      <c r="G10" s="128">
        <v>1163482</v>
      </c>
      <c r="H10" s="128">
        <v>378959</v>
      </c>
      <c r="I10" s="128">
        <f t="shared" ref="I10:I20" si="1">G10-H10</f>
        <v>784523</v>
      </c>
    </row>
    <row r="11" spans="1:9" x14ac:dyDescent="0.3">
      <c r="A11" s="120">
        <v>43160</v>
      </c>
      <c r="B11" s="128"/>
      <c r="C11" s="128">
        <f t="shared" si="0"/>
        <v>1068.1709286675639</v>
      </c>
      <c r="D11" s="128">
        <v>1329</v>
      </c>
      <c r="E11" s="128"/>
      <c r="F11" s="128">
        <f>31*24-1</f>
        <v>743</v>
      </c>
      <c r="G11" s="128">
        <v>1290125</v>
      </c>
      <c r="H11" s="128">
        <v>496474</v>
      </c>
      <c r="I11" s="128">
        <f t="shared" si="1"/>
        <v>793651</v>
      </c>
    </row>
    <row r="12" spans="1:9" x14ac:dyDescent="0.3">
      <c r="A12" s="120">
        <v>43191</v>
      </c>
      <c r="B12" s="128"/>
      <c r="C12" s="128">
        <f t="shared" si="0"/>
        <v>977.87222222222226</v>
      </c>
      <c r="D12" s="128">
        <v>1239</v>
      </c>
      <c r="E12" s="128"/>
      <c r="F12" s="128">
        <f>30*24</f>
        <v>720</v>
      </c>
      <c r="G12" s="128">
        <v>1282430</v>
      </c>
      <c r="H12" s="128">
        <v>578362</v>
      </c>
      <c r="I12" s="128">
        <f t="shared" si="1"/>
        <v>704068</v>
      </c>
    </row>
    <row r="13" spans="1:9" x14ac:dyDescent="0.3">
      <c r="A13" s="120">
        <v>43221</v>
      </c>
      <c r="B13" s="128"/>
      <c r="C13" s="128">
        <f t="shared" si="0"/>
        <v>923.63575268817203</v>
      </c>
      <c r="D13" s="128">
        <v>1245</v>
      </c>
      <c r="E13" s="128"/>
      <c r="F13" s="128">
        <f>31*24</f>
        <v>744</v>
      </c>
      <c r="G13" s="128">
        <v>976609</v>
      </c>
      <c r="H13" s="128">
        <v>289424</v>
      </c>
      <c r="I13" s="128">
        <f t="shared" si="1"/>
        <v>687185</v>
      </c>
    </row>
    <row r="14" spans="1:9" x14ac:dyDescent="0.3">
      <c r="A14" s="120">
        <v>43252</v>
      </c>
      <c r="B14" s="128"/>
      <c r="C14" s="128">
        <f t="shared" si="0"/>
        <v>936.32638888888891</v>
      </c>
      <c r="D14" s="128">
        <v>1298</v>
      </c>
      <c r="E14" s="128"/>
      <c r="F14" s="128">
        <f>30*24</f>
        <v>720</v>
      </c>
      <c r="G14" s="128">
        <v>1009910</v>
      </c>
      <c r="H14" s="128">
        <v>335755</v>
      </c>
      <c r="I14" s="128">
        <f t="shared" si="1"/>
        <v>674155</v>
      </c>
    </row>
    <row r="15" spans="1:9" x14ac:dyDescent="0.3">
      <c r="A15" s="120">
        <v>43282</v>
      </c>
      <c r="B15" s="128"/>
      <c r="C15" s="128">
        <f t="shared" si="0"/>
        <v>1070.9569892473119</v>
      </c>
      <c r="D15" s="128">
        <v>1610</v>
      </c>
      <c r="E15" s="128"/>
      <c r="F15" s="128">
        <f>31*24</f>
        <v>744</v>
      </c>
      <c r="G15" s="128">
        <v>1062566</v>
      </c>
      <c r="H15" s="128">
        <v>265774</v>
      </c>
      <c r="I15" s="128">
        <f t="shared" si="1"/>
        <v>796792</v>
      </c>
    </row>
    <row r="16" spans="1:9" x14ac:dyDescent="0.3">
      <c r="A16" s="120">
        <v>43313</v>
      </c>
      <c r="B16" s="128"/>
      <c r="C16" s="128">
        <f t="shared" si="0"/>
        <v>1083.4435483870968</v>
      </c>
      <c r="D16" s="130">
        <v>1716</v>
      </c>
      <c r="E16" s="128"/>
      <c r="F16" s="128">
        <f>31*24</f>
        <v>744</v>
      </c>
      <c r="G16" s="128">
        <v>1034193</v>
      </c>
      <c r="H16" s="128">
        <v>228111</v>
      </c>
      <c r="I16" s="128">
        <f t="shared" si="1"/>
        <v>806082</v>
      </c>
    </row>
    <row r="17" spans="1:9" x14ac:dyDescent="0.3">
      <c r="A17" s="120">
        <v>43344</v>
      </c>
      <c r="B17" s="128"/>
      <c r="C17" s="128">
        <f t="shared" si="0"/>
        <v>918.69444444444446</v>
      </c>
      <c r="D17" s="128">
        <v>1251</v>
      </c>
      <c r="E17" s="128"/>
      <c r="F17" s="128">
        <f>30*24</f>
        <v>720</v>
      </c>
      <c r="G17" s="128">
        <v>803969</v>
      </c>
      <c r="H17" s="128">
        <v>142509</v>
      </c>
      <c r="I17" s="128">
        <f t="shared" si="1"/>
        <v>661460</v>
      </c>
    </row>
    <row r="18" spans="1:9" x14ac:dyDescent="0.3">
      <c r="A18" s="120">
        <v>43374</v>
      </c>
      <c r="B18" s="128"/>
      <c r="C18" s="128">
        <f t="shared" si="0"/>
        <v>946.87903225806451</v>
      </c>
      <c r="D18" s="128">
        <v>1207</v>
      </c>
      <c r="E18" s="128"/>
      <c r="F18" s="128">
        <f>31*24</f>
        <v>744</v>
      </c>
      <c r="G18" s="128">
        <v>813994</v>
      </c>
      <c r="H18" s="128">
        <v>109516</v>
      </c>
      <c r="I18" s="128">
        <f t="shared" si="1"/>
        <v>704478</v>
      </c>
    </row>
    <row r="19" spans="1:9" x14ac:dyDescent="0.3">
      <c r="A19" s="120">
        <v>43405</v>
      </c>
      <c r="B19" s="128"/>
      <c r="C19" s="128">
        <f t="shared" si="0"/>
        <v>1063.8834951456311</v>
      </c>
      <c r="D19" s="128">
        <v>1332</v>
      </c>
      <c r="E19" s="128"/>
      <c r="F19" s="128">
        <f>30*24+1</f>
        <v>721</v>
      </c>
      <c r="G19" s="128">
        <v>1017857</v>
      </c>
      <c r="H19" s="128">
        <v>250797</v>
      </c>
      <c r="I19" s="128">
        <f t="shared" si="1"/>
        <v>767060</v>
      </c>
    </row>
    <row r="20" spans="1:9" x14ac:dyDescent="0.3">
      <c r="A20" s="120">
        <v>43435</v>
      </c>
      <c r="B20" s="128"/>
      <c r="C20" s="128">
        <f t="shared" si="0"/>
        <v>1156.1491935483871</v>
      </c>
      <c r="D20" s="193">
        <v>1469</v>
      </c>
      <c r="E20" s="128"/>
      <c r="F20" s="128">
        <f>31*24</f>
        <v>744</v>
      </c>
      <c r="G20" s="128">
        <v>1030469</v>
      </c>
      <c r="H20" s="128">
        <v>170294</v>
      </c>
      <c r="I20" s="128">
        <f t="shared" si="1"/>
        <v>860175</v>
      </c>
    </row>
    <row r="21" spans="1:9" x14ac:dyDescent="0.3">
      <c r="A21" s="128"/>
      <c r="B21" s="128"/>
      <c r="C21" s="128"/>
      <c r="D21" s="128"/>
      <c r="E21" s="128"/>
      <c r="F21" s="128"/>
      <c r="G21" s="128"/>
      <c r="H21" s="128"/>
      <c r="I21" s="128"/>
    </row>
    <row r="22" spans="1:9" x14ac:dyDescent="0.3">
      <c r="A22" s="128" t="s">
        <v>575</v>
      </c>
      <c r="B22" s="128"/>
      <c r="C22" s="128">
        <f t="shared" si="0"/>
        <v>1037.9110730593607</v>
      </c>
      <c r="D22" s="128">
        <f>MAX(D9:D20)</f>
        <v>1716</v>
      </c>
      <c r="E22" s="128"/>
      <c r="F22" s="128">
        <f>SUM(F9:F21)</f>
        <v>8760</v>
      </c>
      <c r="G22" s="128">
        <f>SUM(G9:G21)</f>
        <v>12869598</v>
      </c>
      <c r="H22" s="128">
        <f>SUM(H9:H21)</f>
        <v>3777497</v>
      </c>
      <c r="I22" s="128">
        <f>SUM(I9:I21)</f>
        <v>9092101</v>
      </c>
    </row>
    <row r="23" spans="1:9" x14ac:dyDescent="0.3">
      <c r="A23" s="128"/>
      <c r="B23" s="128"/>
      <c r="C23" s="131">
        <f>C22/D22</f>
        <v>0.60484328266862508</v>
      </c>
      <c r="D23" s="131">
        <f>(D22-C22)/D22</f>
        <v>0.39515671733137492</v>
      </c>
      <c r="E23" s="128"/>
      <c r="F23" s="128"/>
      <c r="G23" s="128"/>
      <c r="H23" s="128"/>
      <c r="I23" s="128"/>
    </row>
    <row r="24" spans="1:9" x14ac:dyDescent="0.3">
      <c r="A24" s="128"/>
      <c r="B24" s="128"/>
      <c r="C24" s="128"/>
      <c r="D24" s="128"/>
      <c r="E24" s="128"/>
      <c r="F24" s="128"/>
      <c r="G24" s="128"/>
      <c r="H24" s="128"/>
      <c r="I24" s="128"/>
    </row>
    <row r="25" spans="1:9" x14ac:dyDescent="0.3">
      <c r="A25" s="128"/>
      <c r="B25" s="128"/>
      <c r="C25" s="128"/>
      <c r="D25" s="128"/>
      <c r="E25" s="128"/>
      <c r="F25" s="128"/>
      <c r="G25" s="128"/>
      <c r="H25" s="128"/>
      <c r="I25" s="128"/>
    </row>
    <row r="26" spans="1:9" x14ac:dyDescent="0.3">
      <c r="A26" s="128"/>
      <c r="B26" s="128"/>
      <c r="C26" s="128"/>
      <c r="D26" s="128"/>
      <c r="E26" s="128"/>
      <c r="F26" s="128"/>
      <c r="G26" s="128"/>
      <c r="H26" s="128"/>
      <c r="I26" s="128"/>
    </row>
    <row r="27" spans="1:9" x14ac:dyDescent="0.3">
      <c r="A27" s="128" t="s">
        <v>576</v>
      </c>
      <c r="B27" s="128"/>
      <c r="C27" s="128"/>
      <c r="D27" s="128"/>
      <c r="E27" s="128"/>
      <c r="F27" s="128"/>
      <c r="G27" s="128"/>
      <c r="H27" s="128"/>
      <c r="I27" s="128"/>
    </row>
  </sheetData>
  <customSheetViews>
    <customSheetView guid="{DEF9EA2D-EECC-4092-9C86-17CCB814CCD7}" showPageBreaks="1" topLeftCell="A7">
      <selection activeCell="C24" sqref="C24"/>
      <pageMargins left="0.7" right="0.7" top="1" bottom="0.75" header="0.3" footer="0.5"/>
      <printOptions horizontalCentered="1"/>
      <pageSetup orientation="landscape" r:id="rId1"/>
      <headerFooter>
        <oddFooter>&amp;F</oddFooter>
      </headerFooter>
    </customSheetView>
  </customSheetViews>
  <printOptions horizontalCentered="1"/>
  <pageMargins left="0.7" right="0.7" top="1" bottom="0.75" header="0.3" footer="0.5"/>
  <pageSetup orientation="landscape" r:id="rId2"/>
  <headerFooter scaleWithDoc="0">
    <oddFooter>&amp;L&amp;"Geneva,Regular"&amp;F /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G33"/>
  <sheetViews>
    <sheetView topLeftCell="A2" workbookViewId="0">
      <selection activeCell="A4" sqref="A4"/>
    </sheetView>
  </sheetViews>
  <sheetFormatPr defaultRowHeight="13.2" x14ac:dyDescent="0.25"/>
  <cols>
    <col min="1" max="1" width="4.33203125" customWidth="1"/>
    <col min="2" max="2" width="27.109375" customWidth="1"/>
    <col min="3" max="3" width="6.77734375" customWidth="1"/>
    <col min="4" max="4" width="11.33203125" customWidth="1"/>
    <col min="5" max="5" width="9.6640625" bestFit="1" customWidth="1"/>
  </cols>
  <sheetData>
    <row r="1" spans="1:7" x14ac:dyDescent="0.25">
      <c r="A1" t="s">
        <v>52</v>
      </c>
    </row>
    <row r="2" spans="1:7" x14ac:dyDescent="0.25">
      <c r="A2" t="s">
        <v>1</v>
      </c>
    </row>
    <row r="3" spans="1:7" x14ac:dyDescent="0.25">
      <c r="A3" t="s">
        <v>60</v>
      </c>
    </row>
    <row r="4" spans="1:7" x14ac:dyDescent="0.25">
      <c r="A4" s="102" t="s">
        <v>627</v>
      </c>
      <c r="F4" t="s">
        <v>55</v>
      </c>
    </row>
    <row r="5" spans="1:7" x14ac:dyDescent="0.25">
      <c r="F5" t="s">
        <v>2</v>
      </c>
    </row>
    <row r="6" spans="1:7" x14ac:dyDescent="0.25">
      <c r="A6" t="s">
        <v>3</v>
      </c>
      <c r="D6" s="12">
        <v>4131</v>
      </c>
    </row>
    <row r="7" spans="1:7" x14ac:dyDescent="0.25">
      <c r="D7" s="18"/>
    </row>
    <row r="8" spans="1:7" x14ac:dyDescent="0.25">
      <c r="A8" t="s">
        <v>4</v>
      </c>
      <c r="D8" s="12">
        <v>1085</v>
      </c>
      <c r="F8" s="21" t="s">
        <v>328</v>
      </c>
      <c r="G8">
        <v>2.04</v>
      </c>
    </row>
    <row r="9" spans="1:7" x14ac:dyDescent="0.25">
      <c r="B9" s="21" t="s">
        <v>535</v>
      </c>
      <c r="D9" s="12">
        <v>5</v>
      </c>
      <c r="F9" s="21" t="s">
        <v>536</v>
      </c>
      <c r="G9" s="107">
        <v>2.1</v>
      </c>
    </row>
    <row r="10" spans="1:7" x14ac:dyDescent="0.25">
      <c r="B10" s="21" t="s">
        <v>537</v>
      </c>
      <c r="D10" s="12">
        <v>-60</v>
      </c>
      <c r="F10" s="21" t="s">
        <v>538</v>
      </c>
      <c r="G10" s="107">
        <v>2.11</v>
      </c>
    </row>
    <row r="11" spans="1:7" x14ac:dyDescent="0.25">
      <c r="B11" t="s">
        <v>59</v>
      </c>
      <c r="D11" s="12">
        <v>5</v>
      </c>
      <c r="F11" s="21" t="s">
        <v>329</v>
      </c>
      <c r="G11">
        <v>2.15</v>
      </c>
    </row>
    <row r="12" spans="1:7" x14ac:dyDescent="0.25">
      <c r="B12" t="s">
        <v>58</v>
      </c>
      <c r="D12" s="95">
        <v>8</v>
      </c>
      <c r="F12" s="21" t="s">
        <v>534</v>
      </c>
      <c r="G12">
        <v>3.01</v>
      </c>
    </row>
    <row r="13" spans="1:7" x14ac:dyDescent="0.25">
      <c r="A13" t="s">
        <v>5</v>
      </c>
      <c r="D13" s="38">
        <f>SUM(D8:D12)</f>
        <v>1043</v>
      </c>
    </row>
    <row r="14" spans="1:7" x14ac:dyDescent="0.25">
      <c r="D14" s="18"/>
    </row>
    <row r="15" spans="1:7" x14ac:dyDescent="0.25">
      <c r="A15" t="s">
        <v>6</v>
      </c>
      <c r="D15" s="12">
        <v>1738</v>
      </c>
      <c r="F15" s="21" t="s">
        <v>328</v>
      </c>
      <c r="G15">
        <v>2.04</v>
      </c>
    </row>
    <row r="16" spans="1:7" x14ac:dyDescent="0.25">
      <c r="A16" t="s">
        <v>7</v>
      </c>
      <c r="D16" s="39">
        <f>D6-D13-D15</f>
        <v>1350</v>
      </c>
      <c r="E16" s="47"/>
    </row>
    <row r="21" spans="1:4" hidden="1" x14ac:dyDescent="0.25">
      <c r="A21" t="s">
        <v>52</v>
      </c>
    </row>
    <row r="22" spans="1:4" hidden="1" x14ac:dyDescent="0.25">
      <c r="A22" t="s">
        <v>234</v>
      </c>
    </row>
    <row r="23" spans="1:4" hidden="1" x14ac:dyDescent="0.25">
      <c r="A23" t="s">
        <v>60</v>
      </c>
    </row>
    <row r="24" spans="1:4" hidden="1" x14ac:dyDescent="0.25">
      <c r="A24" s="102" t="s">
        <v>544</v>
      </c>
    </row>
    <row r="25" spans="1:4" hidden="1" x14ac:dyDescent="0.25">
      <c r="A25" s="3"/>
    </row>
    <row r="26" spans="1:4" hidden="1" x14ac:dyDescent="0.25">
      <c r="A26" s="21" t="s">
        <v>330</v>
      </c>
    </row>
    <row r="27" spans="1:4" hidden="1" x14ac:dyDescent="0.25">
      <c r="B27" t="s">
        <v>10</v>
      </c>
      <c r="D27" s="12">
        <v>958839</v>
      </c>
    </row>
    <row r="28" spans="1:4" hidden="1" x14ac:dyDescent="0.25">
      <c r="B28" t="s">
        <v>11</v>
      </c>
      <c r="D28" s="12">
        <v>454215</v>
      </c>
    </row>
    <row r="29" spans="1:4" hidden="1" x14ac:dyDescent="0.25">
      <c r="B29" t="s">
        <v>12</v>
      </c>
      <c r="D29" s="12">
        <v>1001348</v>
      </c>
    </row>
    <row r="30" spans="1:4" hidden="1" x14ac:dyDescent="0.25">
      <c r="B30" t="s">
        <v>235</v>
      </c>
      <c r="D30" s="12">
        <v>240775</v>
      </c>
    </row>
    <row r="31" spans="1:4" hidden="1" x14ac:dyDescent="0.25">
      <c r="B31" t="s">
        <v>236</v>
      </c>
      <c r="D31" s="47">
        <f>SUM(D27:D30)</f>
        <v>2655177</v>
      </c>
    </row>
    <row r="32" spans="1:4" hidden="1" x14ac:dyDescent="0.25"/>
    <row r="33" spans="2:2" hidden="1" x14ac:dyDescent="0.25">
      <c r="B33" s="191" t="s">
        <v>625</v>
      </c>
    </row>
  </sheetData>
  <customSheetViews>
    <customSheetView guid="{DEF9EA2D-EECC-4092-9C86-17CCB814CCD7}" showPageBreaks="1" topLeftCell="A16">
      <selection activeCell="C24" sqref="C24"/>
      <pageMargins left="0.75" right="0.75" top="1.61" bottom="1" header="0.88" footer="0.5"/>
      <printOptions horizontalCentered="1"/>
      <pageSetup orientation="portrait" r:id="rId1"/>
      <headerFooter alignWithMargins="0">
        <oddHeader>&amp;A</oddHeader>
        <oddFooter>&amp;C&amp;F&amp;Rtlk &amp;D</oddFooter>
      </headerFooter>
    </customSheetView>
  </customSheetViews>
  <phoneticPr fontId="0" type="noConversion"/>
  <printOptions horizontalCentered="1"/>
  <pageMargins left="0.75" right="0.75" top="1.61" bottom="1" header="0.88" footer="0.5"/>
  <pageSetup orientation="portrait" r:id="rId2"/>
  <headerFooter scaleWithDoc="0">
    <oddHeader>&amp;A</oddHeader>
    <oddFooter>&amp;L&amp;"Geneva,Regular"&amp;F /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60"/>
  <sheetViews>
    <sheetView view="pageBreakPreview" topLeftCell="C1" zoomScale="60" zoomScaleNormal="100" workbookViewId="0">
      <selection activeCell="A4" sqref="A4"/>
    </sheetView>
  </sheetViews>
  <sheetFormatPr defaultRowHeight="13.2" x14ac:dyDescent="0.25"/>
  <cols>
    <col min="2" max="2" width="11.44140625" bestFit="1" customWidth="1"/>
    <col min="3" max="3" width="14.33203125" customWidth="1"/>
    <col min="4" max="4" width="12.33203125" customWidth="1"/>
    <col min="5" max="5" width="12.109375" customWidth="1"/>
    <col min="6" max="6" width="11.109375" customWidth="1"/>
    <col min="7" max="7" width="14.77734375" customWidth="1"/>
    <col min="15" max="15" width="35" customWidth="1"/>
    <col min="16" max="16" width="28.6640625" customWidth="1"/>
    <col min="17" max="17" width="22.109375" customWidth="1"/>
    <col min="18" max="18" width="27" customWidth="1"/>
    <col min="19" max="19" width="18.77734375" customWidth="1"/>
    <col min="20" max="20" width="15.33203125" customWidth="1"/>
    <col min="21" max="21" width="17.77734375" customWidth="1"/>
    <col min="22" max="22" width="17.88671875" customWidth="1"/>
    <col min="23" max="23" width="21.21875" customWidth="1"/>
    <col min="24" max="24" width="13.44140625" customWidth="1"/>
    <col min="26" max="26" width="23.77734375" customWidth="1"/>
  </cols>
  <sheetData>
    <row r="1" spans="1:24" x14ac:dyDescent="0.25">
      <c r="A1" s="79" t="s">
        <v>52</v>
      </c>
      <c r="B1" s="79"/>
      <c r="C1" s="79"/>
      <c r="D1" s="79"/>
      <c r="E1" s="79"/>
      <c r="F1" s="79"/>
      <c r="G1" s="79"/>
      <c r="O1" s="22" t="s">
        <v>628</v>
      </c>
      <c r="P1" s="22"/>
      <c r="Q1" s="22"/>
      <c r="R1" s="22"/>
      <c r="S1" s="22"/>
      <c r="T1" s="22"/>
      <c r="U1" s="22"/>
      <c r="V1" s="22"/>
      <c r="W1" s="22"/>
      <c r="X1" s="125"/>
    </row>
    <row r="2" spans="1:24" x14ac:dyDescent="0.25">
      <c r="A2" s="79" t="s">
        <v>291</v>
      </c>
      <c r="B2" s="79"/>
      <c r="C2" s="79"/>
      <c r="D2" s="79"/>
      <c r="E2" s="79"/>
      <c r="F2" s="79"/>
      <c r="G2" s="79"/>
      <c r="O2" s="22"/>
      <c r="P2" s="22"/>
      <c r="Q2" s="22"/>
      <c r="R2" s="22"/>
      <c r="S2" s="22"/>
      <c r="T2" s="22"/>
      <c r="U2" s="22"/>
      <c r="V2" s="22"/>
      <c r="W2" s="22"/>
    </row>
    <row r="3" spans="1:24" ht="13.95" customHeight="1" x14ac:dyDescent="0.25">
      <c r="A3" s="79" t="s">
        <v>60</v>
      </c>
      <c r="B3" s="79"/>
      <c r="C3" s="79"/>
      <c r="D3" s="79"/>
      <c r="E3" s="79"/>
      <c r="F3" s="79"/>
      <c r="G3" s="79"/>
      <c r="O3" s="164" t="s">
        <v>297</v>
      </c>
      <c r="P3" s="164" t="s">
        <v>296</v>
      </c>
      <c r="Q3" s="165" t="s">
        <v>506</v>
      </c>
      <c r="R3" s="165" t="s">
        <v>507</v>
      </c>
      <c r="S3" s="166" t="s">
        <v>311</v>
      </c>
      <c r="T3" s="166" t="s">
        <v>312</v>
      </c>
      <c r="U3" s="22"/>
      <c r="V3" s="22"/>
      <c r="W3" s="22"/>
      <c r="X3" s="125"/>
    </row>
    <row r="4" spans="1:24" x14ac:dyDescent="0.25">
      <c r="A4" s="102" t="s">
        <v>627</v>
      </c>
      <c r="B4" s="3"/>
      <c r="C4" s="3"/>
      <c r="D4" s="3"/>
      <c r="E4" s="3"/>
      <c r="F4" s="3"/>
      <c r="G4" s="3"/>
      <c r="O4" s="22"/>
      <c r="P4" s="22"/>
      <c r="Q4" s="22"/>
      <c r="R4" s="22"/>
      <c r="S4" s="22"/>
      <c r="T4" s="22"/>
      <c r="U4" s="22"/>
      <c r="V4" s="22"/>
      <c r="W4" s="22"/>
    </row>
    <row r="5" spans="1:24" x14ac:dyDescent="0.25">
      <c r="A5" s="2"/>
      <c r="B5" s="2"/>
      <c r="C5" s="2"/>
      <c r="D5" s="2"/>
      <c r="E5" s="2"/>
      <c r="F5" s="2"/>
      <c r="G5" s="2"/>
      <c r="O5" s="167"/>
      <c r="P5" s="168"/>
      <c r="Q5" s="168"/>
      <c r="R5" s="169"/>
      <c r="S5" s="170" t="s">
        <v>298</v>
      </c>
      <c r="T5" s="171" t="s">
        <v>299</v>
      </c>
      <c r="U5" s="171" t="s">
        <v>300</v>
      </c>
      <c r="V5" s="171" t="s">
        <v>301</v>
      </c>
    </row>
    <row r="6" spans="1:24" ht="13.8" x14ac:dyDescent="0.25">
      <c r="O6" s="165" t="s">
        <v>629</v>
      </c>
      <c r="P6" s="165" t="s">
        <v>630</v>
      </c>
      <c r="Q6" s="165" t="s">
        <v>631</v>
      </c>
      <c r="R6" s="165" t="s">
        <v>314</v>
      </c>
      <c r="S6" s="172"/>
      <c r="T6" s="172"/>
      <c r="U6" s="172"/>
      <c r="V6" s="172"/>
    </row>
    <row r="7" spans="1:24" ht="13.8" x14ac:dyDescent="0.25">
      <c r="C7" s="2" t="s">
        <v>293</v>
      </c>
      <c r="D7" s="2"/>
      <c r="E7" s="114" t="s">
        <v>539</v>
      </c>
      <c r="O7" s="173" t="s">
        <v>541</v>
      </c>
      <c r="P7" s="165" t="s">
        <v>632</v>
      </c>
      <c r="Q7" s="165" t="s">
        <v>633</v>
      </c>
      <c r="R7" s="165" t="s">
        <v>317</v>
      </c>
      <c r="S7" s="174">
        <v>50026.220000000016</v>
      </c>
      <c r="T7" s="175">
        <v>30456.949999999993</v>
      </c>
      <c r="U7" s="175">
        <v>19569.27</v>
      </c>
      <c r="V7" s="175"/>
    </row>
    <row r="8" spans="1:24" ht="13.8" x14ac:dyDescent="0.25">
      <c r="C8" t="s">
        <v>294</v>
      </c>
      <c r="E8" t="s">
        <v>295</v>
      </c>
      <c r="O8" s="176"/>
      <c r="P8" s="165" t="s">
        <v>634</v>
      </c>
      <c r="Q8" s="165" t="s">
        <v>633</v>
      </c>
      <c r="R8" s="165" t="s">
        <v>317</v>
      </c>
      <c r="S8" s="174">
        <v>141.26</v>
      </c>
      <c r="T8" s="175">
        <v>86</v>
      </c>
      <c r="U8" s="175">
        <v>55.26</v>
      </c>
      <c r="V8" s="175"/>
    </row>
    <row r="9" spans="1:24" ht="13.8" x14ac:dyDescent="0.25">
      <c r="A9" s="21" t="s">
        <v>505</v>
      </c>
      <c r="C9" s="189">
        <v>2833917</v>
      </c>
      <c r="E9" s="189">
        <v>6837992</v>
      </c>
      <c r="O9" s="165" t="s">
        <v>304</v>
      </c>
      <c r="P9" s="165" t="s">
        <v>635</v>
      </c>
      <c r="Q9" s="165" t="s">
        <v>633</v>
      </c>
      <c r="R9" s="165" t="s">
        <v>317</v>
      </c>
      <c r="S9" s="174">
        <v>26046.630000000005</v>
      </c>
      <c r="T9" s="175">
        <v>15857.799999999996</v>
      </c>
      <c r="U9" s="175">
        <v>10188.83</v>
      </c>
      <c r="V9" s="175"/>
    </row>
    <row r="10" spans="1:24" ht="13.8" x14ac:dyDescent="0.25">
      <c r="A10" t="s">
        <v>292</v>
      </c>
      <c r="C10" s="93">
        <f>T25</f>
        <v>86120.862832799976</v>
      </c>
      <c r="D10">
        <f>C10/C9</f>
        <v>3.0389338443151292E-2</v>
      </c>
      <c r="E10" s="93">
        <f>C20</f>
        <v>2971.4759291967598</v>
      </c>
      <c r="F10">
        <f>E10/E9</f>
        <v>4.3455387622517836E-4</v>
      </c>
      <c r="O10" s="173"/>
      <c r="P10" s="165" t="s">
        <v>636</v>
      </c>
      <c r="Q10" s="165" t="s">
        <v>633</v>
      </c>
      <c r="R10" s="165" t="s">
        <v>317</v>
      </c>
      <c r="S10" s="174">
        <v>3229.23</v>
      </c>
      <c r="T10" s="175">
        <v>1966.02</v>
      </c>
      <c r="U10" s="175">
        <v>1263.21</v>
      </c>
      <c r="V10" s="175"/>
    </row>
    <row r="11" spans="1:24" ht="13.8" x14ac:dyDescent="0.25">
      <c r="C11" s="94">
        <f>C9-C10</f>
        <v>2747796.1371672</v>
      </c>
      <c r="D11">
        <f>C11/C9</f>
        <v>0.96961066155684872</v>
      </c>
      <c r="E11" s="94">
        <f>E9-E10</f>
        <v>6835020.5240708031</v>
      </c>
      <c r="F11">
        <f>E11/E9</f>
        <v>0.99956544612377485</v>
      </c>
      <c r="O11" s="177"/>
      <c r="P11" s="165" t="s">
        <v>637</v>
      </c>
      <c r="Q11" s="165" t="s">
        <v>633</v>
      </c>
      <c r="R11" s="165" t="s">
        <v>317</v>
      </c>
      <c r="S11" s="174">
        <v>50359.29</v>
      </c>
      <c r="T11" s="175">
        <v>30659.77</v>
      </c>
      <c r="U11" s="175">
        <v>19699.52</v>
      </c>
      <c r="V11" s="175"/>
    </row>
    <row r="12" spans="1:24" ht="13.8" x14ac:dyDescent="0.25">
      <c r="O12" s="177"/>
      <c r="P12" s="165" t="s">
        <v>638</v>
      </c>
      <c r="Q12" s="165" t="s">
        <v>633</v>
      </c>
      <c r="R12" s="165" t="s">
        <v>317</v>
      </c>
      <c r="S12" s="174">
        <v>896.92</v>
      </c>
      <c r="T12" s="175">
        <v>546.05999999999995</v>
      </c>
      <c r="U12" s="175">
        <v>350.86</v>
      </c>
      <c r="V12" s="175"/>
    </row>
    <row r="13" spans="1:24" ht="13.8" x14ac:dyDescent="0.25">
      <c r="O13" s="177"/>
      <c r="P13" s="165" t="s">
        <v>639</v>
      </c>
      <c r="Q13" s="165" t="s">
        <v>633</v>
      </c>
      <c r="R13" s="165" t="s">
        <v>316</v>
      </c>
      <c r="S13" s="174">
        <v>290.96000000000004</v>
      </c>
      <c r="T13" s="175">
        <v>177.15</v>
      </c>
      <c r="U13" s="175">
        <v>113.81</v>
      </c>
      <c r="V13" s="175"/>
    </row>
    <row r="14" spans="1:24" ht="14.25" customHeight="1" x14ac:dyDescent="0.25">
      <c r="O14" s="177"/>
      <c r="P14" s="165"/>
      <c r="Q14" s="165"/>
      <c r="R14" s="165" t="s">
        <v>540</v>
      </c>
      <c r="S14" s="174">
        <v>-2400</v>
      </c>
      <c r="T14" s="175">
        <v>-1461.17</v>
      </c>
      <c r="U14" s="175">
        <v>-938.83</v>
      </c>
      <c r="V14" s="175"/>
    </row>
    <row r="15" spans="1:24" ht="13.8" x14ac:dyDescent="0.25">
      <c r="A15" s="14" t="s">
        <v>310</v>
      </c>
      <c r="O15" s="177" t="s">
        <v>303</v>
      </c>
      <c r="P15" s="165" t="s">
        <v>639</v>
      </c>
      <c r="Q15" s="165" t="s">
        <v>633</v>
      </c>
      <c r="R15" s="165" t="s">
        <v>315</v>
      </c>
      <c r="S15" s="174">
        <v>95056.329999999827</v>
      </c>
      <c r="T15" s="175">
        <v>57872.179999999978</v>
      </c>
      <c r="U15" s="175">
        <v>37184.15</v>
      </c>
      <c r="V15" s="175"/>
    </row>
    <row r="16" spans="1:24" ht="13.8" x14ac:dyDescent="0.25">
      <c r="B16" s="21" t="s">
        <v>624</v>
      </c>
      <c r="O16" s="176" t="s">
        <v>305</v>
      </c>
      <c r="P16" s="165" t="s">
        <v>639</v>
      </c>
      <c r="Q16" s="165" t="s">
        <v>633</v>
      </c>
      <c r="R16" s="165" t="s">
        <v>317</v>
      </c>
      <c r="S16" s="174">
        <v>-1009.089999999997</v>
      </c>
      <c r="T16" s="175">
        <v>-614.35999999999876</v>
      </c>
      <c r="U16" s="175">
        <v>-394.72999999999956</v>
      </c>
      <c r="V16" s="175"/>
    </row>
    <row r="17" spans="2:24" ht="13.8" x14ac:dyDescent="0.25">
      <c r="B17" s="188">
        <f>45*16*12</f>
        <v>8640</v>
      </c>
      <c r="O17" s="165" t="s">
        <v>508</v>
      </c>
      <c r="P17" s="165" t="s">
        <v>639</v>
      </c>
      <c r="Q17" s="165" t="s">
        <v>633</v>
      </c>
      <c r="R17" s="165" t="s">
        <v>315</v>
      </c>
      <c r="S17" s="174">
        <v>16808.599999999999</v>
      </c>
      <c r="T17" s="175">
        <v>10233.380000000003</v>
      </c>
      <c r="U17" s="175">
        <v>6575.22</v>
      </c>
      <c r="V17" s="175"/>
    </row>
    <row r="18" spans="2:24" ht="13.8" x14ac:dyDescent="0.25">
      <c r="B18" s="14" t="s">
        <v>308</v>
      </c>
      <c r="C18" s="14" t="s">
        <v>267</v>
      </c>
      <c r="D18" s="14" t="s">
        <v>265</v>
      </c>
      <c r="O18" s="165" t="s">
        <v>268</v>
      </c>
      <c r="P18" s="165"/>
      <c r="Q18" s="165"/>
      <c r="R18" s="165"/>
      <c r="S18" s="174">
        <v>239446.34999999986</v>
      </c>
      <c r="T18" s="175">
        <v>145779.77999999997</v>
      </c>
      <c r="U18" s="175">
        <v>93666.569999999992</v>
      </c>
      <c r="V18" s="175"/>
    </row>
    <row r="19" spans="2:24" x14ac:dyDescent="0.25">
      <c r="B19" s="111">
        <f>T51</f>
        <v>0.52395006876677919</v>
      </c>
      <c r="C19" s="111">
        <f>T24</f>
        <v>0.65639999999999998</v>
      </c>
      <c r="D19" s="111">
        <f>U24</f>
        <v>0.34360000000000002</v>
      </c>
      <c r="P19" s="117"/>
      <c r="Q19" s="117"/>
      <c r="R19" s="117"/>
      <c r="S19" s="118"/>
      <c r="T19" s="119"/>
      <c r="U19" s="119"/>
    </row>
    <row r="20" spans="2:24" x14ac:dyDescent="0.25">
      <c r="B20" s="92">
        <f>B17*B19</f>
        <v>4526.9285941449725</v>
      </c>
      <c r="C20" s="92">
        <f>B20*C19</f>
        <v>2971.4759291967598</v>
      </c>
      <c r="D20" s="92">
        <f>B20*D19</f>
        <v>1555.4526649482127</v>
      </c>
      <c r="P20" s="117"/>
      <c r="Q20" s="117"/>
      <c r="R20" s="117"/>
      <c r="S20" s="118"/>
      <c r="T20" s="119"/>
      <c r="U20" s="119"/>
    </row>
    <row r="21" spans="2:24" x14ac:dyDescent="0.25">
      <c r="B21" s="14" t="s">
        <v>309</v>
      </c>
      <c r="C21" s="14" t="s">
        <v>267</v>
      </c>
      <c r="D21" s="14" t="s">
        <v>265</v>
      </c>
      <c r="E21" s="14" t="s">
        <v>302</v>
      </c>
      <c r="P21" s="21" t="s">
        <v>618</v>
      </c>
    </row>
    <row r="22" spans="2:24" x14ac:dyDescent="0.25">
      <c r="B22" s="111">
        <f>U51</f>
        <v>0.3366502076486409</v>
      </c>
      <c r="C22" s="116">
        <v>0.66300999999999999</v>
      </c>
      <c r="D22" s="116">
        <v>0.33699000000000001</v>
      </c>
      <c r="E22" s="110">
        <f>V51</f>
        <v>0.13939972358458022</v>
      </c>
    </row>
    <row r="23" spans="2:24" x14ac:dyDescent="0.25">
      <c r="B23" s="92">
        <f>B17*B22</f>
        <v>2908.6577940842571</v>
      </c>
      <c r="C23" s="92">
        <f>B23*C22</f>
        <v>1928.4692040558034</v>
      </c>
      <c r="D23" s="92">
        <f>B23*D22</f>
        <v>980.18859002845386</v>
      </c>
      <c r="E23" s="92">
        <f>B17*E22</f>
        <v>1204.4136117707731</v>
      </c>
      <c r="Q23" s="57"/>
      <c r="T23" s="96" t="s">
        <v>306</v>
      </c>
      <c r="U23" s="21" t="s">
        <v>307</v>
      </c>
    </row>
    <row r="24" spans="2:24" ht="12.6" customHeight="1" x14ac:dyDescent="0.25">
      <c r="Q24" s="57"/>
      <c r="S24" s="21" t="s">
        <v>318</v>
      </c>
      <c r="T24" s="115">
        <v>0.65639999999999998</v>
      </c>
      <c r="U24" s="115">
        <v>0.34360000000000002</v>
      </c>
    </row>
    <row r="25" spans="2:24" x14ac:dyDescent="0.25">
      <c r="R25" s="21" t="s">
        <v>619</v>
      </c>
      <c r="S25" s="93">
        <f>T18*0.9</f>
        <v>131201.80199999997</v>
      </c>
      <c r="T25" s="93">
        <f>S25*T24</f>
        <v>86120.862832799976</v>
      </c>
      <c r="U25" s="93">
        <f>S25*U24</f>
        <v>45080.939167199991</v>
      </c>
    </row>
    <row r="28" spans="2:24" x14ac:dyDescent="0.25">
      <c r="O28" s="22" t="s">
        <v>640</v>
      </c>
      <c r="P28" s="18"/>
      <c r="Q28" s="18"/>
      <c r="R28" s="18"/>
      <c r="S28" s="18"/>
      <c r="T28" s="18"/>
      <c r="U28" s="18"/>
      <c r="V28" s="18"/>
      <c r="W28" s="18"/>
    </row>
    <row r="29" spans="2:24" x14ac:dyDescent="0.25">
      <c r="O29" s="18"/>
      <c r="P29" s="18"/>
      <c r="Q29" s="18"/>
      <c r="R29" s="18"/>
      <c r="S29" s="18"/>
      <c r="T29" s="18"/>
      <c r="U29" s="18"/>
      <c r="V29" s="18"/>
      <c r="W29" s="18"/>
      <c r="X29" s="126"/>
    </row>
    <row r="30" spans="2:24" ht="13.8" x14ac:dyDescent="0.25">
      <c r="O30" s="178" t="s">
        <v>297</v>
      </c>
      <c r="P30" s="178" t="s">
        <v>319</v>
      </c>
      <c r="Q30" s="142" t="s">
        <v>620</v>
      </c>
      <c r="R30" s="142" t="s">
        <v>509</v>
      </c>
      <c r="S30" s="179" t="s">
        <v>311</v>
      </c>
      <c r="T30" s="179" t="s">
        <v>561</v>
      </c>
      <c r="U30" s="18"/>
      <c r="V30" s="18"/>
      <c r="W30" s="18"/>
    </row>
    <row r="31" spans="2:24" x14ac:dyDescent="0.25">
      <c r="O31" s="18"/>
      <c r="P31" s="18"/>
      <c r="Q31" s="18"/>
      <c r="R31" s="18"/>
      <c r="S31" s="18"/>
      <c r="T31" s="18"/>
      <c r="U31" s="18"/>
      <c r="V31" s="18"/>
      <c r="W31" s="18"/>
    </row>
    <row r="32" spans="2:24" ht="13.8" customHeight="1" x14ac:dyDescent="0.25">
      <c r="O32" s="180"/>
      <c r="P32" s="181"/>
      <c r="Q32" s="181"/>
      <c r="R32" s="182"/>
      <c r="S32" s="183" t="s">
        <v>298</v>
      </c>
      <c r="T32" s="184" t="s">
        <v>299</v>
      </c>
      <c r="U32" s="184" t="s">
        <v>300</v>
      </c>
      <c r="V32" s="184" t="s">
        <v>301</v>
      </c>
      <c r="W32" s="140" t="s">
        <v>320</v>
      </c>
    </row>
    <row r="33" spans="15:23" ht="13.8" x14ac:dyDescent="0.25">
      <c r="O33" s="142" t="s">
        <v>629</v>
      </c>
      <c r="P33" s="142" t="s">
        <v>313</v>
      </c>
      <c r="Q33" s="142" t="s">
        <v>314</v>
      </c>
      <c r="R33" s="142" t="s">
        <v>630</v>
      </c>
      <c r="S33" s="144"/>
      <c r="T33" s="144"/>
      <c r="U33" s="144"/>
      <c r="V33" s="144"/>
      <c r="W33" s="144"/>
    </row>
    <row r="34" spans="15:23" ht="13.8" customHeight="1" x14ac:dyDescent="0.25">
      <c r="O34" s="142" t="s">
        <v>649</v>
      </c>
      <c r="P34" s="165" t="s">
        <v>621</v>
      </c>
      <c r="Q34" s="142" t="s">
        <v>317</v>
      </c>
      <c r="R34" s="142" t="s">
        <v>646</v>
      </c>
      <c r="S34" s="195">
        <v>61.28</v>
      </c>
      <c r="T34" s="196">
        <v>32.11</v>
      </c>
      <c r="U34" s="196">
        <v>20.63</v>
      </c>
      <c r="V34" s="196">
        <v>8.5399999999999991</v>
      </c>
      <c r="W34" s="200">
        <v>1</v>
      </c>
    </row>
    <row r="35" spans="15:23" ht="13.8" x14ac:dyDescent="0.25">
      <c r="O35" s="185" t="s">
        <v>650</v>
      </c>
      <c r="P35" s="165" t="s">
        <v>621</v>
      </c>
      <c r="Q35" s="142" t="s">
        <v>317</v>
      </c>
      <c r="R35" s="142" t="s">
        <v>641</v>
      </c>
      <c r="S35" s="198">
        <v>458133.51</v>
      </c>
      <c r="T35" s="196">
        <v>240039.05000000019</v>
      </c>
      <c r="U35" s="196">
        <v>154230.77000000002</v>
      </c>
      <c r="V35" s="196">
        <v>63863.689999999981</v>
      </c>
      <c r="W35" s="199">
        <v>17504.25</v>
      </c>
    </row>
    <row r="36" spans="15:23" ht="13.8" x14ac:dyDescent="0.25">
      <c r="O36" s="186"/>
      <c r="P36" s="165"/>
      <c r="Q36" s="142"/>
      <c r="R36" s="142" t="s">
        <v>642</v>
      </c>
      <c r="S36" s="198">
        <v>39343.87000000001</v>
      </c>
      <c r="T36" s="196">
        <v>20614.220000000008</v>
      </c>
      <c r="U36" s="196">
        <v>13245.109999999997</v>
      </c>
      <c r="V36" s="196">
        <v>5484.5400000000009</v>
      </c>
      <c r="W36" s="199">
        <v>1795</v>
      </c>
    </row>
    <row r="37" spans="15:23" ht="13.8" x14ac:dyDescent="0.25">
      <c r="O37" s="186"/>
      <c r="P37" s="165"/>
      <c r="Q37" s="142"/>
      <c r="R37" s="142" t="s">
        <v>643</v>
      </c>
      <c r="S37" s="195">
        <v>33080.840000000004</v>
      </c>
      <c r="T37" s="196">
        <v>17332.68</v>
      </c>
      <c r="U37" s="196">
        <v>11136.689999999999</v>
      </c>
      <c r="V37" s="196">
        <v>4611.4699999999993</v>
      </c>
      <c r="W37" s="200">
        <v>1217</v>
      </c>
    </row>
    <row r="38" spans="15:23" ht="13.8" x14ac:dyDescent="0.25">
      <c r="O38" s="186"/>
      <c r="P38" s="165"/>
      <c r="Q38" s="142"/>
      <c r="R38" s="142" t="s">
        <v>644</v>
      </c>
      <c r="S38" s="195">
        <v>21835.680000000004</v>
      </c>
      <c r="T38" s="196">
        <v>11440.800000000001</v>
      </c>
      <c r="U38" s="196">
        <v>7351.02</v>
      </c>
      <c r="V38" s="196">
        <v>3043.8599999999997</v>
      </c>
      <c r="W38" s="200">
        <v>930.5</v>
      </c>
    </row>
    <row r="39" spans="15:23" ht="13.8" x14ac:dyDescent="0.25">
      <c r="O39" s="186"/>
      <c r="P39" s="165"/>
      <c r="Q39" s="142"/>
      <c r="R39" s="142" t="s">
        <v>647</v>
      </c>
      <c r="S39" s="195">
        <v>53764.61</v>
      </c>
      <c r="T39" s="196">
        <v>28169.960000000003</v>
      </c>
      <c r="U39" s="196">
        <v>18099.859999999997</v>
      </c>
      <c r="V39" s="196">
        <v>7494.7899999999991</v>
      </c>
      <c r="W39" s="200">
        <v>1784</v>
      </c>
    </row>
    <row r="40" spans="15:23" ht="13.8" x14ac:dyDescent="0.25">
      <c r="O40" s="186" t="s">
        <v>651</v>
      </c>
      <c r="P40" s="165" t="s">
        <v>621</v>
      </c>
      <c r="Q40" s="142" t="s">
        <v>622</v>
      </c>
      <c r="R40" s="142" t="s">
        <v>639</v>
      </c>
      <c r="S40" s="195">
        <v>6528</v>
      </c>
      <c r="T40" s="196">
        <v>3420.3599999999997</v>
      </c>
      <c r="U40" s="196">
        <v>2197.6799999999994</v>
      </c>
      <c r="V40" s="196">
        <v>909.96000000000026</v>
      </c>
      <c r="W40" s="200"/>
    </row>
    <row r="41" spans="15:23" ht="13.8" x14ac:dyDescent="0.25">
      <c r="O41" s="186"/>
      <c r="P41" s="165"/>
      <c r="Q41" s="142" t="s">
        <v>317</v>
      </c>
      <c r="R41" s="142" t="s">
        <v>645</v>
      </c>
      <c r="S41" s="195">
        <v>31432.91</v>
      </c>
      <c r="T41" s="196">
        <v>16469.27</v>
      </c>
      <c r="U41" s="196">
        <v>10581.89</v>
      </c>
      <c r="V41" s="196">
        <v>4381.75</v>
      </c>
      <c r="W41" s="200">
        <v>1192.5</v>
      </c>
    </row>
    <row r="42" spans="15:23" ht="13.8" x14ac:dyDescent="0.25">
      <c r="O42" s="186" t="s">
        <v>652</v>
      </c>
      <c r="P42" s="165" t="s">
        <v>621</v>
      </c>
      <c r="Q42" s="142" t="s">
        <v>648</v>
      </c>
      <c r="R42" s="142" t="s">
        <v>639</v>
      </c>
      <c r="S42" s="195">
        <v>100</v>
      </c>
      <c r="T42" s="196">
        <v>52.4</v>
      </c>
      <c r="U42" s="196">
        <v>33.67</v>
      </c>
      <c r="V42" s="196">
        <v>13.93</v>
      </c>
      <c r="W42" s="200">
        <v>500</v>
      </c>
    </row>
    <row r="43" spans="15:23" ht="13.8" x14ac:dyDescent="0.25">
      <c r="O43" s="186" t="s">
        <v>653</v>
      </c>
      <c r="P43" s="165" t="s">
        <v>621</v>
      </c>
      <c r="Q43" s="142" t="s">
        <v>315</v>
      </c>
      <c r="R43" s="142" t="s">
        <v>639</v>
      </c>
      <c r="S43" s="195">
        <v>9</v>
      </c>
      <c r="T43" s="196">
        <v>4.7200000000000006</v>
      </c>
      <c r="U43" s="196">
        <v>3.02</v>
      </c>
      <c r="V43" s="196">
        <v>1.26</v>
      </c>
      <c r="W43" s="200"/>
    </row>
    <row r="44" spans="15:23" ht="13.8" x14ac:dyDescent="0.25">
      <c r="O44" s="186" t="s">
        <v>623</v>
      </c>
      <c r="P44" s="165" t="s">
        <v>621</v>
      </c>
      <c r="Q44" s="142" t="s">
        <v>540</v>
      </c>
      <c r="R44" s="142" t="s">
        <v>639</v>
      </c>
      <c r="S44" s="195">
        <v>21346</v>
      </c>
      <c r="T44" s="196">
        <v>11184.229999999998</v>
      </c>
      <c r="U44" s="196">
        <v>7186.13</v>
      </c>
      <c r="V44" s="196">
        <v>2975.6399999999994</v>
      </c>
      <c r="W44" s="200"/>
    </row>
    <row r="45" spans="15:23" ht="13.8" x14ac:dyDescent="0.25">
      <c r="O45" s="186" t="s">
        <v>303</v>
      </c>
      <c r="P45" s="165" t="s">
        <v>621</v>
      </c>
      <c r="Q45" s="142" t="s">
        <v>315</v>
      </c>
      <c r="R45" s="142" t="s">
        <v>639</v>
      </c>
      <c r="S45" s="195">
        <v>466886.87999999977</v>
      </c>
      <c r="T45" s="196">
        <v>244625.48999999996</v>
      </c>
      <c r="U45" s="196">
        <v>157177.49000000005</v>
      </c>
      <c r="V45" s="196">
        <v>65083.900000000016</v>
      </c>
      <c r="W45" s="200"/>
    </row>
    <row r="46" spans="15:23" ht="13.8" x14ac:dyDescent="0.25">
      <c r="O46" s="186" t="s">
        <v>305</v>
      </c>
      <c r="P46" s="165" t="s">
        <v>621</v>
      </c>
      <c r="Q46" s="142" t="s">
        <v>317</v>
      </c>
      <c r="R46" s="142" t="s">
        <v>639</v>
      </c>
      <c r="S46" s="195">
        <v>3253.7300000000032</v>
      </c>
      <c r="T46" s="196">
        <v>1704.7900000000009</v>
      </c>
      <c r="U46" s="196">
        <v>1095.3699999999972</v>
      </c>
      <c r="V46" s="196">
        <v>453.57000000000062</v>
      </c>
      <c r="W46" s="200">
        <v>104.70000000000073</v>
      </c>
    </row>
    <row r="47" spans="15:23" ht="13.8" x14ac:dyDescent="0.25">
      <c r="O47" s="187" t="s">
        <v>508</v>
      </c>
      <c r="P47" s="165" t="s">
        <v>621</v>
      </c>
      <c r="Q47" s="142" t="s">
        <v>315</v>
      </c>
      <c r="R47" s="142" t="s">
        <v>639</v>
      </c>
      <c r="S47" s="195">
        <v>86499.930000000008</v>
      </c>
      <c r="T47" s="196">
        <v>45321.640000000029</v>
      </c>
      <c r="U47" s="196">
        <v>29120.219999999998</v>
      </c>
      <c r="V47" s="196">
        <v>12058.069999999998</v>
      </c>
      <c r="W47" s="200"/>
    </row>
    <row r="48" spans="15:23" ht="13.8" x14ac:dyDescent="0.25">
      <c r="O48" s="201" t="s">
        <v>268</v>
      </c>
      <c r="P48" s="202"/>
      <c r="Q48" s="194"/>
      <c r="R48" s="194"/>
      <c r="S48" s="198">
        <v>1222276.2399999998</v>
      </c>
      <c r="T48" s="203">
        <v>640411.7200000002</v>
      </c>
      <c r="U48" s="203">
        <v>411479.55</v>
      </c>
      <c r="V48" s="203">
        <v>170384.97</v>
      </c>
      <c r="W48" s="199">
        <v>25028.95</v>
      </c>
    </row>
    <row r="51" spans="16:23" x14ac:dyDescent="0.25">
      <c r="P51" s="18"/>
      <c r="Q51" s="18"/>
      <c r="R51" s="18"/>
      <c r="S51" s="18"/>
      <c r="T51" s="104">
        <f>T48/$S48</f>
        <v>0.52395006876677919</v>
      </c>
      <c r="U51" s="104">
        <f t="shared" ref="U51:V51" si="0">U48/$S48</f>
        <v>0.3366502076486409</v>
      </c>
      <c r="V51" s="104">
        <f t="shared" si="0"/>
        <v>0.13939972358458022</v>
      </c>
      <c r="W51" s="18"/>
    </row>
    <row r="52" spans="16:23" x14ac:dyDescent="0.25">
      <c r="P52" s="18"/>
      <c r="Q52" s="18"/>
      <c r="R52" s="18"/>
      <c r="S52" s="18"/>
      <c r="T52" s="18"/>
      <c r="U52" s="18"/>
      <c r="V52" s="18"/>
      <c r="W52" s="18"/>
    </row>
    <row r="53" spans="16:23" x14ac:dyDescent="0.25">
      <c r="P53" s="18"/>
      <c r="Q53" s="18"/>
      <c r="R53" s="18"/>
      <c r="T53" s="18"/>
      <c r="U53" s="18"/>
      <c r="V53" s="18"/>
      <c r="W53" s="18"/>
    </row>
    <row r="54" spans="16:23" x14ac:dyDescent="0.25">
      <c r="P54" s="18"/>
      <c r="Q54" s="18"/>
      <c r="R54" s="22" t="s">
        <v>317</v>
      </c>
      <c r="S54" s="109">
        <f>SUM(S34:S39,S41)</f>
        <v>637652.70000000007</v>
      </c>
      <c r="T54" s="18"/>
      <c r="U54" s="18"/>
      <c r="V54" s="18"/>
      <c r="W54" s="99"/>
    </row>
    <row r="55" spans="16:23" x14ac:dyDescent="0.25">
      <c r="R55" s="100" t="s">
        <v>322</v>
      </c>
      <c r="S55" s="197">
        <f>S45/S54</f>
        <v>0.73219619394695534</v>
      </c>
    </row>
    <row r="57" spans="16:23" x14ac:dyDescent="0.25">
      <c r="R57" s="100" t="s">
        <v>321</v>
      </c>
      <c r="S57" s="97">
        <f>(S35+S36)*(1+S55)</f>
        <v>861728.42421070323</v>
      </c>
      <c r="W57" s="101">
        <f>W35+W36</f>
        <v>19299.25</v>
      </c>
    </row>
    <row r="58" spans="16:23" x14ac:dyDescent="0.25">
      <c r="R58" s="100" t="s">
        <v>323</v>
      </c>
      <c r="S58" s="98">
        <f>S57/W57</f>
        <v>44.650876288493244</v>
      </c>
    </row>
    <row r="60" spans="16:23" x14ac:dyDescent="0.25">
      <c r="R60" s="100"/>
    </row>
  </sheetData>
  <customSheetViews>
    <customSheetView guid="{DEF9EA2D-EECC-4092-9C86-17CCB814CCD7}" showPageBreaks="1" fitToPage="1" printArea="1" hiddenColumns="1" topLeftCell="H1">
      <selection activeCell="P1" sqref="P1:W61"/>
      <pageMargins left="0.2" right="0.2" top="0.63" bottom="0.25" header="0.5" footer="0.3"/>
      <printOptions horizontalCentered="1" verticalCentered="1"/>
      <pageSetup scale="66" orientation="landscape" r:id="rId1"/>
      <headerFooter>
        <oddHeader>&amp;A</oddHeader>
        <oddFooter>&amp;F</oddFooter>
      </headerFooter>
    </customSheetView>
  </customSheetViews>
  <printOptions horizontalCentered="1" verticalCentered="1"/>
  <pageMargins left="0.5" right="0.5" top="0.63" bottom="0.5" header="0.5" footer="0.3"/>
  <pageSetup scale="69" orientation="landscape" r:id="rId2"/>
  <headerFooter scaleWithDoc="0">
    <oddHeader>&amp;A</oddHeader>
    <oddFooter>&amp;L&amp;"Geneva,Regular"&amp;F / &amp;A</oddFoot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C000"/>
    <pageSetUpPr fitToPage="1"/>
  </sheetPr>
  <dimension ref="A2:W89"/>
  <sheetViews>
    <sheetView view="pageBreakPreview" zoomScale="60" zoomScaleNormal="100" workbookViewId="0">
      <selection activeCell="A4" sqref="A4"/>
    </sheetView>
  </sheetViews>
  <sheetFormatPr defaultRowHeight="13.2" x14ac:dyDescent="0.25"/>
  <cols>
    <col min="1" max="1" width="16.33203125" customWidth="1"/>
    <col min="2" max="2" width="37.109375" customWidth="1"/>
    <col min="3" max="3" width="11" customWidth="1"/>
    <col min="4" max="4" width="11.44140625" bestFit="1" customWidth="1"/>
    <col min="5" max="5" width="10.109375" style="18" customWidth="1"/>
    <col min="6" max="6" width="11.109375" style="18" customWidth="1"/>
    <col min="7" max="9" width="10.33203125" style="18" customWidth="1"/>
    <col min="10" max="10" width="10.44140625" style="18" customWidth="1"/>
    <col min="11" max="11" width="10.6640625" style="18" customWidth="1"/>
    <col min="12" max="12" width="10.33203125" style="18" customWidth="1"/>
    <col min="13" max="13" width="10.77734375" style="18" customWidth="1"/>
    <col min="14" max="14" width="12.109375" style="18" customWidth="1"/>
    <col min="15" max="15" width="10.77734375" style="18" customWidth="1"/>
    <col min="16" max="16" width="9.44140625" bestFit="1" customWidth="1"/>
    <col min="19" max="19" width="23.6640625" customWidth="1"/>
    <col min="20" max="20" width="22.88671875" customWidth="1"/>
    <col min="21" max="21" width="22.6640625" customWidth="1"/>
    <col min="22" max="22" width="14.109375" customWidth="1"/>
    <col min="23" max="23" width="12" customWidth="1"/>
  </cols>
  <sheetData>
    <row r="2" spans="1:22" x14ac:dyDescent="0.25">
      <c r="A2" t="s">
        <v>52</v>
      </c>
      <c r="S2" t="s">
        <v>281</v>
      </c>
      <c r="U2" s="120">
        <v>43435</v>
      </c>
    </row>
    <row r="3" spans="1:22" x14ac:dyDescent="0.25">
      <c r="A3" t="s">
        <v>13</v>
      </c>
    </row>
    <row r="4" spans="1:22" x14ac:dyDescent="0.25">
      <c r="A4" t="s">
        <v>60</v>
      </c>
      <c r="M4"/>
      <c r="N4"/>
      <c r="O4"/>
      <c r="S4" s="209"/>
      <c r="T4" s="206" t="s">
        <v>263</v>
      </c>
      <c r="U4" s="210"/>
      <c r="V4" s="65"/>
    </row>
    <row r="5" spans="1:22" ht="13.8" customHeight="1" x14ac:dyDescent="0.25">
      <c r="A5" s="102" t="s">
        <v>627</v>
      </c>
      <c r="M5"/>
      <c r="N5"/>
      <c r="O5"/>
      <c r="S5" s="211" t="s">
        <v>545</v>
      </c>
      <c r="T5" s="205" t="s">
        <v>546</v>
      </c>
      <c r="U5" s="212" t="s">
        <v>547</v>
      </c>
      <c r="V5" s="65"/>
    </row>
    <row r="6" spans="1:22" x14ac:dyDescent="0.25">
      <c r="M6"/>
      <c r="N6"/>
      <c r="O6"/>
      <c r="S6" s="213" t="s">
        <v>267</v>
      </c>
      <c r="T6" s="207">
        <v>5030.260000000002</v>
      </c>
      <c r="U6" s="214">
        <v>2643.9599999999978</v>
      </c>
      <c r="V6" s="65"/>
    </row>
    <row r="7" spans="1:22" x14ac:dyDescent="0.25">
      <c r="A7" t="s">
        <v>276</v>
      </c>
      <c r="C7" s="237" t="s">
        <v>277</v>
      </c>
      <c r="D7" s="237"/>
      <c r="E7" s="237"/>
      <c r="F7" s="237"/>
      <c r="H7" s="237" t="s">
        <v>280</v>
      </c>
      <c r="I7" s="237"/>
      <c r="J7" s="237"/>
      <c r="K7" s="237"/>
      <c r="M7"/>
      <c r="N7"/>
      <c r="O7"/>
      <c r="S7" s="213" t="s">
        <v>265</v>
      </c>
      <c r="T7" s="207">
        <v>2480.6899999999996</v>
      </c>
      <c r="U7" s="214">
        <v>1582.1200000000001</v>
      </c>
      <c r="V7" s="66"/>
    </row>
    <row r="8" spans="1:22" x14ac:dyDescent="0.25">
      <c r="C8" s="75" t="s">
        <v>14</v>
      </c>
      <c r="D8" s="40" t="s">
        <v>15</v>
      </c>
      <c r="E8" s="40" t="s">
        <v>16</v>
      </c>
      <c r="F8" s="78" t="s">
        <v>0</v>
      </c>
      <c r="H8" s="75" t="s">
        <v>14</v>
      </c>
      <c r="I8" s="40" t="s">
        <v>15</v>
      </c>
      <c r="J8" s="40" t="s">
        <v>16</v>
      </c>
      <c r="K8" s="78" t="s">
        <v>0</v>
      </c>
      <c r="M8"/>
      <c r="N8"/>
      <c r="O8"/>
      <c r="S8" s="213" t="s">
        <v>266</v>
      </c>
      <c r="T8" s="207">
        <v>36.270000000000003</v>
      </c>
      <c r="U8" s="214">
        <v>31.87</v>
      </c>
      <c r="V8" s="66"/>
    </row>
    <row r="9" spans="1:22" x14ac:dyDescent="0.25">
      <c r="C9" s="76"/>
      <c r="D9" s="18"/>
      <c r="F9" s="76"/>
      <c r="H9" s="76"/>
      <c r="K9" s="76"/>
      <c r="M9"/>
      <c r="N9"/>
      <c r="O9"/>
      <c r="S9" s="215" t="s">
        <v>268</v>
      </c>
      <c r="T9" s="208">
        <v>7547.2200000000021</v>
      </c>
      <c r="U9" s="216">
        <v>4257.949999999998</v>
      </c>
      <c r="V9" s="66"/>
    </row>
    <row r="10" spans="1:22" x14ac:dyDescent="0.25">
      <c r="B10" t="s">
        <v>8</v>
      </c>
      <c r="C10" s="77">
        <f>T19</f>
        <v>14624.180000000004</v>
      </c>
      <c r="D10" s="48">
        <f>T47</f>
        <v>71.259844243293628</v>
      </c>
      <c r="E10" s="48">
        <f>U47</f>
        <v>3589.0646128548688</v>
      </c>
      <c r="F10" s="77">
        <f>SUM(C10:E10)</f>
        <v>18284.504457098166</v>
      </c>
      <c r="H10" s="77">
        <f>T6</f>
        <v>5030.260000000002</v>
      </c>
      <c r="I10" s="48">
        <f>T32</f>
        <v>48.530664937570691</v>
      </c>
      <c r="J10" s="48">
        <f>U32</f>
        <v>3159.3293369614839</v>
      </c>
      <c r="K10" s="77">
        <f>SUM(H10:J10)</f>
        <v>8238.1200018990567</v>
      </c>
      <c r="M10"/>
      <c r="N10"/>
      <c r="O10"/>
      <c r="T10" s="98"/>
      <c r="U10" s="98"/>
      <c r="V10" s="66"/>
    </row>
    <row r="11" spans="1:22" x14ac:dyDescent="0.25">
      <c r="B11" t="s">
        <v>9</v>
      </c>
      <c r="C11" s="77">
        <f>T20</f>
        <v>7332.0100000000029</v>
      </c>
      <c r="D11" s="48">
        <f>T45</f>
        <v>43.496644441271201</v>
      </c>
      <c r="E11" s="48">
        <f>U45</f>
        <v>1634.8941139535127</v>
      </c>
      <c r="F11" s="77">
        <f>SUM(C11:E11)</f>
        <v>9010.400758394786</v>
      </c>
      <c r="H11" s="77">
        <f t="shared" ref="H11:H12" si="0">T7</f>
        <v>2480.6899999999996</v>
      </c>
      <c r="I11" s="48">
        <f>T30</f>
        <v>31.204910326283425</v>
      </c>
      <c r="J11" s="48">
        <f>U30</f>
        <v>1425.6947903817891</v>
      </c>
      <c r="K11" s="77">
        <f>SUM(H11:J11)</f>
        <v>3937.5897007080721</v>
      </c>
      <c r="M11"/>
      <c r="N11"/>
      <c r="O11"/>
      <c r="V11" s="65"/>
    </row>
    <row r="12" spans="1:22" x14ac:dyDescent="0.25">
      <c r="B12" t="s">
        <v>17</v>
      </c>
      <c r="C12" s="77">
        <f>T21</f>
        <v>116.03</v>
      </c>
      <c r="D12" s="48">
        <f>T46</f>
        <v>1.2906747870147228E-2</v>
      </c>
      <c r="E12" s="48">
        <f>U46</f>
        <v>0.48342200880870223</v>
      </c>
      <c r="F12" s="77">
        <f>SUM(C12:E12)</f>
        <v>116.52632875667885</v>
      </c>
      <c r="H12" s="77">
        <f t="shared" si="0"/>
        <v>36.270000000000003</v>
      </c>
      <c r="I12" s="48">
        <f>T31</f>
        <v>1.2906747870147228E-2</v>
      </c>
      <c r="J12" s="48">
        <f>U31</f>
        <v>0.44438552064821124</v>
      </c>
      <c r="K12" s="77">
        <f>SUM(H12:J12)</f>
        <v>36.727292268518362</v>
      </c>
      <c r="M12"/>
      <c r="N12"/>
      <c r="O12"/>
      <c r="V12" s="65"/>
    </row>
    <row r="13" spans="1:22" x14ac:dyDescent="0.25">
      <c r="B13" s="79" t="s">
        <v>278</v>
      </c>
      <c r="C13" s="49">
        <f>SUM(C10:C12)</f>
        <v>22072.220000000005</v>
      </c>
      <c r="D13" s="49">
        <f>SUM(D10:D12)</f>
        <v>114.76939543243498</v>
      </c>
      <c r="E13" s="49">
        <f>SUM(E10:E12)</f>
        <v>5224.4421488171902</v>
      </c>
      <c r="F13" s="49">
        <f>SUM(F10:F12)</f>
        <v>27411.43154424963</v>
      </c>
      <c r="H13" s="49">
        <f>SUM(H10:H12)</f>
        <v>7547.2200000000021</v>
      </c>
      <c r="I13" s="49">
        <f>SUM(I10:I12)</f>
        <v>79.748482011724263</v>
      </c>
      <c r="J13" s="49">
        <f>SUM(J10:J12)</f>
        <v>4585.4685128639212</v>
      </c>
      <c r="K13" s="49">
        <f>SUM(K10:K12)</f>
        <v>12212.436994875647</v>
      </c>
      <c r="M13"/>
      <c r="N13"/>
      <c r="O13"/>
      <c r="V13" s="65"/>
    </row>
    <row r="14" spans="1:22" x14ac:dyDescent="0.25">
      <c r="C14" s="76"/>
      <c r="D14" s="18"/>
      <c r="F14" s="76"/>
      <c r="H14" s="76"/>
      <c r="K14" s="76"/>
      <c r="M14"/>
      <c r="N14"/>
      <c r="O14"/>
      <c r="V14" s="65"/>
    </row>
    <row r="15" spans="1:22" x14ac:dyDescent="0.25">
      <c r="B15" t="s">
        <v>8</v>
      </c>
      <c r="C15" s="77">
        <f>U19</f>
        <v>3415.79</v>
      </c>
      <c r="D15" s="48">
        <f>T51</f>
        <v>827.64589052455267</v>
      </c>
      <c r="E15" s="48">
        <f>U51</f>
        <v>781.95023396818215</v>
      </c>
      <c r="F15" s="77">
        <f>SUM(C15:E15)</f>
        <v>5025.3861244927348</v>
      </c>
      <c r="H15" s="77">
        <f>U6</f>
        <v>2643.9599999999978</v>
      </c>
      <c r="I15" s="48">
        <f>T36</f>
        <v>769.23642281829962</v>
      </c>
      <c r="J15" s="48">
        <f>U36</f>
        <v>671.18682573180195</v>
      </c>
      <c r="K15" s="77">
        <f>SUM(H15:J15)</f>
        <v>4084.3832485500993</v>
      </c>
      <c r="M15"/>
      <c r="N15"/>
      <c r="O15"/>
      <c r="S15" t="s">
        <v>282</v>
      </c>
      <c r="U15" s="120">
        <v>43465</v>
      </c>
      <c r="V15" s="65"/>
    </row>
    <row r="16" spans="1:22" x14ac:dyDescent="0.25">
      <c r="B16" t="s">
        <v>9</v>
      </c>
      <c r="C16" s="77">
        <f>U20</f>
        <v>2051.0700000000002</v>
      </c>
      <c r="D16" s="48">
        <f>T49</f>
        <v>604.16581199871143</v>
      </c>
      <c r="E16" s="48">
        <f>U49</f>
        <v>478.79738809244373</v>
      </c>
      <c r="F16" s="77">
        <f>SUM(C16:E16)</f>
        <v>3134.0332000911553</v>
      </c>
      <c r="H16" s="77">
        <f t="shared" ref="H16:H17" si="1">U7</f>
        <v>1582.1200000000001</v>
      </c>
      <c r="I16" s="48">
        <f>T34</f>
        <v>561.55305986962048</v>
      </c>
      <c r="J16" s="48">
        <f>U34</f>
        <v>401.80820182751995</v>
      </c>
      <c r="K16" s="77">
        <f>SUM(H16:J16)</f>
        <v>2545.4812616971403</v>
      </c>
      <c r="M16"/>
      <c r="N16"/>
      <c r="O16"/>
      <c r="V16" s="65"/>
    </row>
    <row r="17" spans="1:23" x14ac:dyDescent="0.25">
      <c r="B17" t="s">
        <v>17</v>
      </c>
      <c r="C17" s="77">
        <f>U21</f>
        <v>49.06</v>
      </c>
      <c r="D17" s="48">
        <f>T50</f>
        <v>0.35019275592640042</v>
      </c>
      <c r="E17" s="48">
        <f>U50</f>
        <v>7.5463456101715565E-2</v>
      </c>
      <c r="F17" s="77">
        <f>SUM(C17:E17)</f>
        <v>49.485656212028118</v>
      </c>
      <c r="H17" s="77">
        <f t="shared" si="1"/>
        <v>31.87</v>
      </c>
      <c r="I17" s="48">
        <f>T35</f>
        <v>0.3242974397726357</v>
      </c>
      <c r="J17" s="48">
        <f>U35</f>
        <v>4.3657976202666759E-2</v>
      </c>
      <c r="K17" s="77">
        <f>SUM(H17:J17)</f>
        <v>32.237955415975307</v>
      </c>
      <c r="M17"/>
      <c r="N17"/>
      <c r="O17"/>
      <c r="S17" s="209"/>
      <c r="T17" s="206" t="s">
        <v>263</v>
      </c>
      <c r="U17" s="210"/>
      <c r="V17" s="65"/>
    </row>
    <row r="18" spans="1:23" ht="15.6" customHeight="1" x14ac:dyDescent="0.25">
      <c r="B18" s="79" t="s">
        <v>279</v>
      </c>
      <c r="C18" s="49">
        <f>SUM(C15:C17)</f>
        <v>5515.920000000001</v>
      </c>
      <c r="D18" s="49">
        <f>SUM(D15:D17)</f>
        <v>1432.1618952791905</v>
      </c>
      <c r="E18" s="49">
        <f>SUM(E15:E17)</f>
        <v>1260.8230855167276</v>
      </c>
      <c r="F18" s="49">
        <f>SUM(F15:F17)</f>
        <v>8208.9049807959182</v>
      </c>
      <c r="H18" s="49">
        <f>SUM(H15:H17)</f>
        <v>4257.949999999998</v>
      </c>
      <c r="I18" s="49">
        <f>SUM(I15:I17)</f>
        <v>1331.1137801276927</v>
      </c>
      <c r="J18" s="49">
        <f>SUM(J15:J17)</f>
        <v>1073.0386855355246</v>
      </c>
      <c r="K18" s="49">
        <f>SUM(K15:K17)</f>
        <v>6662.1024656632153</v>
      </c>
      <c r="M18"/>
      <c r="N18"/>
      <c r="O18"/>
      <c r="S18" s="211" t="s">
        <v>545</v>
      </c>
      <c r="T18" s="205" t="s">
        <v>548</v>
      </c>
      <c r="U18" s="212" t="s">
        <v>549</v>
      </c>
      <c r="V18" s="65"/>
    </row>
    <row r="19" spans="1:23" ht="13.8" thickBot="1" x14ac:dyDescent="0.3">
      <c r="B19" s="79"/>
      <c r="C19" s="50"/>
      <c r="D19" s="50"/>
      <c r="E19" s="50"/>
      <c r="F19" s="50"/>
      <c r="H19" s="50"/>
      <c r="I19" s="50"/>
      <c r="J19" s="50"/>
      <c r="K19" s="50"/>
      <c r="M19"/>
      <c r="N19"/>
      <c r="O19"/>
      <c r="S19" s="88" t="s">
        <v>267</v>
      </c>
      <c r="T19" s="217">
        <v>14624.180000000004</v>
      </c>
      <c r="U19" s="218">
        <v>3415.79</v>
      </c>
      <c r="V19" s="65"/>
    </row>
    <row r="20" spans="1:23" x14ac:dyDescent="0.25">
      <c r="D20" s="50"/>
      <c r="E20" s="50"/>
      <c r="F20" s="50"/>
      <c r="G20" s="50"/>
      <c r="H20" s="151" t="s">
        <v>245</v>
      </c>
      <c r="I20" s="152"/>
      <c r="J20" s="152"/>
      <c r="K20" s="153"/>
      <c r="M20"/>
      <c r="N20"/>
      <c r="O20"/>
      <c r="S20" s="213" t="s">
        <v>265</v>
      </c>
      <c r="T20" s="207">
        <v>7332.0100000000029</v>
      </c>
      <c r="U20" s="214">
        <v>2051.0700000000002</v>
      </c>
      <c r="V20" s="65"/>
    </row>
    <row r="21" spans="1:23" x14ac:dyDescent="0.25">
      <c r="D21" s="18"/>
      <c r="E21" s="18" t="s">
        <v>14</v>
      </c>
      <c r="F21" s="18" t="s">
        <v>15</v>
      </c>
      <c r="H21" s="154" t="s">
        <v>246</v>
      </c>
      <c r="I21" s="76" t="s">
        <v>259</v>
      </c>
      <c r="J21" s="76" t="s">
        <v>247</v>
      </c>
      <c r="K21" s="155" t="s">
        <v>248</v>
      </c>
      <c r="M21"/>
      <c r="N21"/>
      <c r="O21"/>
      <c r="S21" s="219" t="s">
        <v>266</v>
      </c>
      <c r="T21" s="220">
        <v>116.03</v>
      </c>
      <c r="U21" s="221">
        <v>49.06</v>
      </c>
      <c r="V21" s="66"/>
    </row>
    <row r="22" spans="1:23" x14ac:dyDescent="0.25">
      <c r="A22" t="s">
        <v>18</v>
      </c>
      <c r="B22" t="s">
        <v>19</v>
      </c>
      <c r="D22" s="18"/>
      <c r="E22" s="51">
        <f>H13/(H13+I13)</f>
        <v>0.98954388205486732</v>
      </c>
      <c r="F22" s="51">
        <f>I13/(I13+H13)</f>
        <v>1.0456117945132692E-2</v>
      </c>
      <c r="H22" s="154"/>
      <c r="I22" s="76"/>
      <c r="J22" s="76"/>
      <c r="K22" s="155"/>
      <c r="M22"/>
      <c r="N22"/>
      <c r="O22"/>
      <c r="S22" s="215" t="s">
        <v>268</v>
      </c>
      <c r="T22" s="208">
        <v>22072.220000000005</v>
      </c>
      <c r="U22" s="216">
        <v>5515.920000000001</v>
      </c>
      <c r="V22" s="66"/>
    </row>
    <row r="23" spans="1:23" x14ac:dyDescent="0.25">
      <c r="A23" t="s">
        <v>262</v>
      </c>
      <c r="B23" t="s">
        <v>53</v>
      </c>
      <c r="D23" s="18"/>
      <c r="E23" s="52">
        <f>H10/(H10+I10)</f>
        <v>0.99044444472330551</v>
      </c>
      <c r="F23" s="52">
        <f>I10/(I10+H10)</f>
        <v>9.5555552766944402E-3</v>
      </c>
      <c r="H23" s="156">
        <f>'area lights'!G14-I23</f>
        <v>0.94209317805521664</v>
      </c>
      <c r="I23" s="157">
        <f>ROUND('DA Sch 25'!G42*'area lights'!G14,4)</f>
        <v>4.3299999999999998E-2</v>
      </c>
      <c r="J23" s="157">
        <f>'area lights'!F8</f>
        <v>5.1000000000000004E-3</v>
      </c>
      <c r="K23" s="158">
        <f>'area lights'!G17</f>
        <v>9.5068219447832988E-3</v>
      </c>
      <c r="M23"/>
      <c r="N23"/>
      <c r="O23"/>
      <c r="T23" s="98"/>
      <c r="U23" s="98"/>
      <c r="V23" s="66"/>
    </row>
    <row r="24" spans="1:23" x14ac:dyDescent="0.25">
      <c r="B24" t="s">
        <v>20</v>
      </c>
      <c r="D24" s="18"/>
      <c r="E24" s="55">
        <f>C11/(C11+D11)</f>
        <v>0.99410255504629585</v>
      </c>
      <c r="F24" s="55">
        <f>D11/(C11+D11)</f>
        <v>5.8974449537040931E-3</v>
      </c>
      <c r="H24" s="154"/>
      <c r="I24" s="76"/>
      <c r="J24" s="76"/>
      <c r="K24" s="155"/>
      <c r="M24"/>
      <c r="N24"/>
      <c r="O24"/>
      <c r="V24" s="66"/>
    </row>
    <row r="25" spans="1:23" ht="14.4" x14ac:dyDescent="0.3">
      <c r="A25" t="s">
        <v>21</v>
      </c>
      <c r="B25" t="s">
        <v>22</v>
      </c>
      <c r="D25" s="18"/>
      <c r="E25" s="51">
        <f>C13/(C13+D13)</f>
        <v>0.99482717581070002</v>
      </c>
      <c r="F25" s="51">
        <f>D13/(C13+D13)</f>
        <v>5.1728241892999762E-3</v>
      </c>
      <c r="H25" s="154"/>
      <c r="I25" s="76"/>
      <c r="J25" s="76"/>
      <c r="K25" s="155"/>
      <c r="M25"/>
      <c r="N25"/>
      <c r="O25"/>
      <c r="S25" s="67" t="s">
        <v>551</v>
      </c>
      <c r="U25" s="106">
        <v>43479</v>
      </c>
      <c r="V25" s="67"/>
    </row>
    <row r="26" spans="1:23" ht="14.4" x14ac:dyDescent="0.3">
      <c r="A26" t="s">
        <v>269</v>
      </c>
      <c r="B26" t="s">
        <v>53</v>
      </c>
      <c r="D26" s="18"/>
      <c r="E26" s="52">
        <f>C10/(C10+D10)</f>
        <v>0.99515088728213819</v>
      </c>
      <c r="F26" s="52">
        <f>D10/(C10+D10)</f>
        <v>4.849112717861829E-3</v>
      </c>
      <c r="H26" s="156">
        <f>E26-J26-I26</f>
        <v>0.95085088728213818</v>
      </c>
      <c r="I26" s="157">
        <f>ROUND('DA Sch 25'!H42*E26,4)</f>
        <v>4.4299999999999999E-2</v>
      </c>
      <c r="J26" s="159"/>
      <c r="K26" s="158">
        <f>ROUND(F26,4)</f>
        <v>4.7999999999999996E-3</v>
      </c>
      <c r="M26"/>
      <c r="N26"/>
      <c r="O26"/>
      <c r="S26" s="121" t="s">
        <v>262</v>
      </c>
      <c r="T26" s="67"/>
      <c r="U26" s="67"/>
      <c r="V26" s="67"/>
    </row>
    <row r="27" spans="1:23" x14ac:dyDescent="0.25">
      <c r="B27" t="s">
        <v>20</v>
      </c>
      <c r="D27" s="18"/>
      <c r="E27" s="51">
        <f>C11/(C11+D11)</f>
        <v>0.99410255504629585</v>
      </c>
      <c r="F27" s="51">
        <f>D11/(C11+D11)</f>
        <v>5.8974449537040931E-3</v>
      </c>
      <c r="H27" s="156"/>
      <c r="I27" s="157"/>
      <c r="J27" s="159"/>
      <c r="K27" s="158"/>
      <c r="M27"/>
      <c r="N27"/>
      <c r="O27"/>
      <c r="S27" s="209" t="s">
        <v>273</v>
      </c>
      <c r="T27" s="206" t="s">
        <v>270</v>
      </c>
      <c r="U27" s="206"/>
      <c r="V27" s="210"/>
    </row>
    <row r="28" spans="1:23" x14ac:dyDescent="0.25">
      <c r="A28" t="s">
        <v>23</v>
      </c>
      <c r="B28" t="s">
        <v>24</v>
      </c>
      <c r="D28" s="18"/>
      <c r="E28" s="51">
        <f>H18/(H18+I18)</f>
        <v>0.76183600107399718</v>
      </c>
      <c r="F28" s="51">
        <f>I18/(I18+H18)</f>
        <v>0.23816399892600285</v>
      </c>
      <c r="H28" s="154"/>
      <c r="I28" s="76"/>
      <c r="J28" s="76"/>
      <c r="K28" s="155"/>
      <c r="M28"/>
      <c r="N28"/>
      <c r="O28"/>
      <c r="S28" s="211" t="s">
        <v>264</v>
      </c>
      <c r="T28" s="204" t="s">
        <v>271</v>
      </c>
      <c r="U28" s="204" t="s">
        <v>272</v>
      </c>
      <c r="V28" s="222" t="s">
        <v>268</v>
      </c>
    </row>
    <row r="29" spans="1:23" x14ac:dyDescent="0.25">
      <c r="A29" t="s">
        <v>262</v>
      </c>
      <c r="B29" t="s">
        <v>53</v>
      </c>
      <c r="D29" s="18"/>
      <c r="E29" s="52">
        <f>H15/(H15+I15)</f>
        <v>0.77462872699745289</v>
      </c>
      <c r="F29" s="52">
        <f>I15/(I15+H15)</f>
        <v>0.22537127300254708</v>
      </c>
      <c r="H29" s="156">
        <f>E29-J29-I29</f>
        <v>0.73052872699745286</v>
      </c>
      <c r="I29" s="157">
        <f>ROUND('DA Sch 25'!I42*E29,4)</f>
        <v>4.41E-2</v>
      </c>
      <c r="J29" s="159"/>
      <c r="K29" s="158">
        <f>ROUND(F29,4)</f>
        <v>0.22539999999999999</v>
      </c>
      <c r="M29"/>
      <c r="N29"/>
      <c r="O29"/>
      <c r="S29" s="224" t="s">
        <v>274</v>
      </c>
      <c r="T29" s="223">
        <v>79.748482011724263</v>
      </c>
      <c r="U29" s="223">
        <v>4585.4685128639212</v>
      </c>
      <c r="V29" s="225">
        <v>4665.2169948756455</v>
      </c>
    </row>
    <row r="30" spans="1:23" ht="14.4" x14ac:dyDescent="0.3">
      <c r="B30" t="s">
        <v>20</v>
      </c>
      <c r="D30" s="18"/>
      <c r="E30" s="51">
        <f>H16/(H16+I16)</f>
        <v>0.73804164898924729</v>
      </c>
      <c r="F30" s="51">
        <f>I16/(I16+H16)</f>
        <v>0.26195835101075277</v>
      </c>
      <c r="H30" s="154"/>
      <c r="I30" s="76"/>
      <c r="J30" s="76"/>
      <c r="K30" s="155"/>
      <c r="M30"/>
      <c r="N30"/>
      <c r="O30"/>
      <c r="S30" s="226" t="s">
        <v>265</v>
      </c>
      <c r="T30" s="207">
        <v>31.204910326283425</v>
      </c>
      <c r="U30" s="207">
        <v>1425.6947903817891</v>
      </c>
      <c r="V30" s="214">
        <v>1456.8997007080725</v>
      </c>
      <c r="W30" s="67"/>
    </row>
    <row r="31" spans="1:23" ht="14.4" x14ac:dyDescent="0.3">
      <c r="A31" t="s">
        <v>25</v>
      </c>
      <c r="B31" t="s">
        <v>26</v>
      </c>
      <c r="D31" s="18"/>
      <c r="E31" s="36">
        <f>C18/(C18+D18)</f>
        <v>0.79387665302962829</v>
      </c>
      <c r="F31" s="36">
        <f>D18/(D18+C18)</f>
        <v>0.20612334697037168</v>
      </c>
      <c r="H31" s="154"/>
      <c r="I31" s="76"/>
      <c r="J31" s="76"/>
      <c r="K31" s="155"/>
      <c r="M31"/>
      <c r="N31"/>
      <c r="O31"/>
      <c r="S31" s="226" t="s">
        <v>266</v>
      </c>
      <c r="T31" s="207">
        <v>1.2906747870147228E-2</v>
      </c>
      <c r="U31" s="207">
        <v>0.44438552064821124</v>
      </c>
      <c r="V31" s="214">
        <v>0.45729226851835847</v>
      </c>
      <c r="W31" s="67"/>
    </row>
    <row r="32" spans="1:23" ht="13.8" thickBot="1" x14ac:dyDescent="0.3">
      <c r="A32" s="21" t="s">
        <v>269</v>
      </c>
      <c r="B32" t="s">
        <v>53</v>
      </c>
      <c r="D32" s="18"/>
      <c r="E32" s="53">
        <f>C15/(C15+D15)</f>
        <v>0.80495854965721114</v>
      </c>
      <c r="F32" s="53">
        <f>D15/(D15+C15)</f>
        <v>0.19504145034278889</v>
      </c>
      <c r="H32" s="160">
        <f>E32-J32-I32</f>
        <v>0.75665854965721113</v>
      </c>
      <c r="I32" s="161">
        <f>ROUND('DA Sch 25'!J42*E32,4)</f>
        <v>4.8300000000000003E-2</v>
      </c>
      <c r="J32" s="162"/>
      <c r="K32" s="163">
        <f>ROUND(F32,4)</f>
        <v>0.19500000000000001</v>
      </c>
      <c r="M32"/>
      <c r="N32"/>
      <c r="O32"/>
      <c r="S32" s="227" t="s">
        <v>267</v>
      </c>
      <c r="T32" s="220">
        <v>48.530664937570691</v>
      </c>
      <c r="U32" s="220">
        <v>3159.3293369614839</v>
      </c>
      <c r="V32" s="221">
        <v>3207.8600018990546</v>
      </c>
    </row>
    <row r="33" spans="1:23" x14ac:dyDescent="0.25">
      <c r="B33" t="s">
        <v>20</v>
      </c>
      <c r="D33" s="18"/>
      <c r="E33" s="36">
        <f>C16/(C16+D16)</f>
        <v>0.77246246481440395</v>
      </c>
      <c r="F33" s="36">
        <f>D16/(D16+C16)</f>
        <v>0.22753753518559602</v>
      </c>
      <c r="H33" s="36"/>
      <c r="I33" s="36"/>
      <c r="J33" s="56"/>
      <c r="K33" s="36"/>
      <c r="M33"/>
      <c r="N33"/>
      <c r="O33"/>
      <c r="S33" s="224" t="s">
        <v>275</v>
      </c>
      <c r="T33" s="223">
        <v>1331.1137801276927</v>
      </c>
      <c r="U33" s="223">
        <v>1073.0386855355246</v>
      </c>
      <c r="V33" s="225">
        <v>2404.1524656632173</v>
      </c>
    </row>
    <row r="34" spans="1:23" x14ac:dyDescent="0.25">
      <c r="A34" t="s">
        <v>27</v>
      </c>
      <c r="B34" t="s">
        <v>16</v>
      </c>
      <c r="D34" s="18"/>
      <c r="G34" s="54">
        <v>1</v>
      </c>
      <c r="S34" s="226" t="s">
        <v>265</v>
      </c>
      <c r="T34" s="207">
        <v>561.55305986962048</v>
      </c>
      <c r="U34" s="207">
        <v>401.80820182751995</v>
      </c>
      <c r="V34" s="214">
        <v>963.36126169714043</v>
      </c>
      <c r="W34" s="98"/>
    </row>
    <row r="35" spans="1:23" x14ac:dyDescent="0.25">
      <c r="D35" s="18"/>
      <c r="S35" s="226" t="s">
        <v>266</v>
      </c>
      <c r="T35" s="207">
        <v>0.3242974397726357</v>
      </c>
      <c r="U35" s="207">
        <v>4.3657976202666759E-2</v>
      </c>
      <c r="V35" s="214">
        <v>0.36795541597530246</v>
      </c>
      <c r="W35" s="98"/>
    </row>
    <row r="36" spans="1:23" x14ac:dyDescent="0.25">
      <c r="S36" s="227" t="s">
        <v>267</v>
      </c>
      <c r="T36" s="220">
        <v>769.23642281829962</v>
      </c>
      <c r="U36" s="220">
        <v>671.18682573180195</v>
      </c>
      <c r="V36" s="221">
        <v>1440.4232485501016</v>
      </c>
      <c r="W36" s="98"/>
    </row>
    <row r="37" spans="1:23" x14ac:dyDescent="0.25">
      <c r="E37"/>
      <c r="F37"/>
      <c r="G37"/>
      <c r="H37"/>
      <c r="I37"/>
      <c r="J37"/>
      <c r="K37"/>
      <c r="L37"/>
      <c r="M37"/>
      <c r="N37"/>
      <c r="O37"/>
      <c r="S37" s="228" t="s">
        <v>268</v>
      </c>
      <c r="T37" s="229">
        <v>1410.862262139417</v>
      </c>
      <c r="U37" s="229">
        <v>5658.5071983994458</v>
      </c>
      <c r="V37" s="230">
        <v>7069.3694605388628</v>
      </c>
      <c r="W37" s="98"/>
    </row>
    <row r="38" spans="1:23" ht="14.4" x14ac:dyDescent="0.3">
      <c r="E38"/>
      <c r="F38"/>
      <c r="G38"/>
      <c r="H38"/>
      <c r="I38"/>
      <c r="J38"/>
      <c r="K38"/>
      <c r="L38"/>
      <c r="M38"/>
      <c r="N38"/>
      <c r="O38"/>
      <c r="S38" s="67"/>
      <c r="T38" s="68"/>
      <c r="U38" s="68"/>
      <c r="V38" s="68"/>
      <c r="W38" s="98"/>
    </row>
    <row r="39" spans="1:23" ht="14.4" x14ac:dyDescent="0.3">
      <c r="E39"/>
      <c r="F39"/>
      <c r="G39"/>
      <c r="H39"/>
      <c r="I39"/>
      <c r="J39"/>
      <c r="K39"/>
      <c r="L39"/>
      <c r="M39"/>
      <c r="N39"/>
      <c r="O39"/>
      <c r="S39" s="67"/>
      <c r="T39" s="68"/>
      <c r="U39" s="68"/>
      <c r="V39" s="68"/>
      <c r="W39" s="98"/>
    </row>
    <row r="40" spans="1:23" ht="14.4" x14ac:dyDescent="0.3">
      <c r="E40"/>
      <c r="F40"/>
      <c r="G40"/>
      <c r="H40"/>
      <c r="I40"/>
      <c r="J40"/>
      <c r="K40"/>
      <c r="L40"/>
      <c r="M40"/>
      <c r="N40"/>
      <c r="O40"/>
      <c r="S40" s="67" t="s">
        <v>552</v>
      </c>
      <c r="U40" s="106">
        <v>43479</v>
      </c>
      <c r="V40" s="68"/>
      <c r="W40" s="98"/>
    </row>
    <row r="41" spans="1:23" ht="14.4" x14ac:dyDescent="0.3">
      <c r="E41"/>
      <c r="F41"/>
      <c r="G41"/>
      <c r="H41"/>
      <c r="I41"/>
      <c r="J41"/>
      <c r="K41"/>
      <c r="L41"/>
      <c r="M41"/>
      <c r="N41"/>
      <c r="O41"/>
      <c r="S41" s="121" t="s">
        <v>550</v>
      </c>
      <c r="T41" s="68"/>
      <c r="U41" s="68"/>
      <c r="V41" s="68"/>
      <c r="W41" s="98"/>
    </row>
    <row r="42" spans="1:23" x14ac:dyDescent="0.25">
      <c r="E42"/>
      <c r="F42"/>
      <c r="G42"/>
      <c r="H42"/>
      <c r="I42"/>
      <c r="J42"/>
      <c r="K42"/>
      <c r="L42"/>
      <c r="M42"/>
      <c r="N42"/>
      <c r="O42"/>
      <c r="S42" s="209" t="s">
        <v>273</v>
      </c>
      <c r="T42" s="206" t="s">
        <v>270</v>
      </c>
      <c r="U42" s="206"/>
      <c r="V42" s="210"/>
      <c r="W42" s="98"/>
    </row>
    <row r="43" spans="1:23" ht="14.4" x14ac:dyDescent="0.3">
      <c r="E43"/>
      <c r="F43"/>
      <c r="G43"/>
      <c r="H43"/>
      <c r="I43"/>
      <c r="J43"/>
      <c r="K43"/>
      <c r="L43"/>
      <c r="M43"/>
      <c r="N43"/>
      <c r="O43"/>
      <c r="S43" s="211" t="s">
        <v>264</v>
      </c>
      <c r="T43" s="204" t="s">
        <v>271</v>
      </c>
      <c r="U43" s="204" t="s">
        <v>272</v>
      </c>
      <c r="V43" s="222" t="s">
        <v>268</v>
      </c>
      <c r="W43" s="68"/>
    </row>
    <row r="44" spans="1:23" ht="14.4" x14ac:dyDescent="0.3">
      <c r="E44"/>
      <c r="F44"/>
      <c r="G44"/>
      <c r="H44"/>
      <c r="I44"/>
      <c r="J44"/>
      <c r="K44"/>
      <c r="L44"/>
      <c r="M44"/>
      <c r="N44"/>
      <c r="O44"/>
      <c r="S44" s="224" t="s">
        <v>274</v>
      </c>
      <c r="T44" s="223">
        <v>114.76939543243498</v>
      </c>
      <c r="U44" s="223">
        <v>5224.4421488171902</v>
      </c>
      <c r="V44" s="225">
        <v>5339.2115442496251</v>
      </c>
      <c r="W44" s="68"/>
    </row>
    <row r="45" spans="1:23" ht="14.4" x14ac:dyDescent="0.3">
      <c r="E45"/>
      <c r="F45"/>
      <c r="G45"/>
      <c r="H45"/>
      <c r="I45"/>
      <c r="J45"/>
      <c r="K45"/>
      <c r="L45"/>
      <c r="M45"/>
      <c r="N45"/>
      <c r="O45"/>
      <c r="S45" s="226" t="s">
        <v>265</v>
      </c>
      <c r="T45" s="207">
        <v>43.496644441271201</v>
      </c>
      <c r="U45" s="207">
        <v>1634.8941139535127</v>
      </c>
      <c r="V45" s="214">
        <v>1678.3907583947839</v>
      </c>
      <c r="W45" s="68"/>
    </row>
    <row r="46" spans="1:23" ht="14.4" x14ac:dyDescent="0.3">
      <c r="E46"/>
      <c r="F46"/>
      <c r="G46"/>
      <c r="H46"/>
      <c r="I46"/>
      <c r="J46"/>
      <c r="K46"/>
      <c r="L46"/>
      <c r="M46"/>
      <c r="N46"/>
      <c r="O46"/>
      <c r="S46" s="226" t="s">
        <v>266</v>
      </c>
      <c r="T46" s="207">
        <v>1.2906747870147228E-2</v>
      </c>
      <c r="U46" s="207">
        <v>0.48342200880870223</v>
      </c>
      <c r="V46" s="214">
        <v>0.49632875667884946</v>
      </c>
      <c r="W46" s="68"/>
    </row>
    <row r="47" spans="1:23" x14ac:dyDescent="0.25">
      <c r="E47"/>
      <c r="F47"/>
      <c r="G47"/>
      <c r="H47"/>
      <c r="I47"/>
      <c r="J47"/>
      <c r="K47"/>
      <c r="L47"/>
      <c r="M47"/>
      <c r="N47"/>
      <c r="O47"/>
      <c r="S47" s="227" t="s">
        <v>267</v>
      </c>
      <c r="T47" s="220">
        <v>71.259844243293628</v>
      </c>
      <c r="U47" s="220">
        <v>3589.0646128548688</v>
      </c>
      <c r="V47" s="221">
        <v>3660.3244570981624</v>
      </c>
      <c r="W47" s="98"/>
    </row>
    <row r="48" spans="1:23" x14ac:dyDescent="0.25">
      <c r="E48"/>
      <c r="F48"/>
      <c r="G48"/>
      <c r="H48"/>
      <c r="I48"/>
      <c r="J48"/>
      <c r="K48"/>
      <c r="L48"/>
      <c r="M48"/>
      <c r="N48"/>
      <c r="O48"/>
      <c r="S48" s="224" t="s">
        <v>275</v>
      </c>
      <c r="T48" s="223">
        <v>1432.1618952791905</v>
      </c>
      <c r="U48" s="223">
        <v>1260.8230855167276</v>
      </c>
      <c r="V48" s="225">
        <v>2692.9849807959181</v>
      </c>
      <c r="W48" s="98"/>
    </row>
    <row r="49" spans="5:23" x14ac:dyDescent="0.25">
      <c r="E49"/>
      <c r="F49"/>
      <c r="G49"/>
      <c r="H49"/>
      <c r="I49"/>
      <c r="J49"/>
      <c r="K49"/>
      <c r="L49"/>
      <c r="M49"/>
      <c r="N49"/>
      <c r="O49"/>
      <c r="S49" s="226" t="s">
        <v>265</v>
      </c>
      <c r="T49" s="207">
        <v>604.16581199871143</v>
      </c>
      <c r="U49" s="207">
        <v>478.79738809244373</v>
      </c>
      <c r="V49" s="214">
        <v>1082.9632000911552</v>
      </c>
      <c r="W49" s="98"/>
    </row>
    <row r="50" spans="5:23" x14ac:dyDescent="0.25">
      <c r="E50"/>
      <c r="F50"/>
      <c r="G50"/>
      <c r="H50"/>
      <c r="I50"/>
      <c r="J50"/>
      <c r="K50"/>
      <c r="L50"/>
      <c r="M50"/>
      <c r="N50"/>
      <c r="O50"/>
      <c r="S50" s="226" t="s">
        <v>266</v>
      </c>
      <c r="T50" s="207">
        <v>0.35019275592640042</v>
      </c>
      <c r="U50" s="207">
        <v>7.5463456101715565E-2</v>
      </c>
      <c r="V50" s="214">
        <v>0.42565621202811599</v>
      </c>
      <c r="W50" s="98"/>
    </row>
    <row r="51" spans="5:23" x14ac:dyDescent="0.25">
      <c r="E51"/>
      <c r="F51"/>
      <c r="G51"/>
      <c r="H51"/>
      <c r="I51"/>
      <c r="J51"/>
      <c r="K51"/>
      <c r="L51"/>
      <c r="M51"/>
      <c r="N51"/>
      <c r="O51"/>
      <c r="S51" s="227" t="s">
        <v>267</v>
      </c>
      <c r="T51" s="220">
        <v>827.64589052455267</v>
      </c>
      <c r="U51" s="220">
        <v>781.95023396818215</v>
      </c>
      <c r="V51" s="221">
        <v>1609.5961244927348</v>
      </c>
      <c r="W51" s="98"/>
    </row>
    <row r="52" spans="5:23" x14ac:dyDescent="0.25">
      <c r="E52"/>
      <c r="F52"/>
      <c r="G52"/>
      <c r="H52"/>
      <c r="I52"/>
      <c r="J52"/>
      <c r="K52"/>
      <c r="L52"/>
      <c r="M52"/>
      <c r="N52"/>
      <c r="O52"/>
      <c r="S52" s="228" t="s">
        <v>268</v>
      </c>
      <c r="T52" s="229">
        <v>1546.9312907116255</v>
      </c>
      <c r="U52" s="229">
        <v>6485.2652343339178</v>
      </c>
      <c r="V52" s="230">
        <v>8032.1965250455432</v>
      </c>
      <c r="W52" s="98"/>
    </row>
    <row r="53" spans="5:23" x14ac:dyDescent="0.25">
      <c r="E53"/>
      <c r="F53"/>
      <c r="G53"/>
      <c r="H53"/>
      <c r="I53"/>
      <c r="J53"/>
      <c r="K53"/>
      <c r="L53"/>
      <c r="M53"/>
      <c r="N53"/>
      <c r="O53"/>
      <c r="W53" s="98"/>
    </row>
    <row r="54" spans="5:23" x14ac:dyDescent="0.25">
      <c r="E54"/>
      <c r="F54"/>
      <c r="G54"/>
      <c r="H54"/>
      <c r="I54"/>
      <c r="J54"/>
      <c r="K54"/>
      <c r="L54"/>
      <c r="M54"/>
      <c r="N54"/>
      <c r="O54"/>
      <c r="W54" s="98"/>
    </row>
    <row r="55" spans="5:23" x14ac:dyDescent="0.25">
      <c r="E55"/>
      <c r="F55"/>
      <c r="G55"/>
      <c r="H55"/>
      <c r="I55"/>
      <c r="J55"/>
      <c r="K55"/>
      <c r="L55"/>
      <c r="M55"/>
      <c r="N55"/>
      <c r="O55"/>
      <c r="W55" s="98"/>
    </row>
    <row r="56" spans="5:23" x14ac:dyDescent="0.25">
      <c r="E56"/>
      <c r="F56"/>
      <c r="G56"/>
      <c r="H56"/>
      <c r="I56"/>
      <c r="J56"/>
      <c r="K56"/>
      <c r="L56"/>
      <c r="M56"/>
      <c r="N56"/>
      <c r="O56"/>
      <c r="W56" s="98"/>
    </row>
    <row r="57" spans="5:23" x14ac:dyDescent="0.25">
      <c r="E57"/>
      <c r="F57"/>
      <c r="G57"/>
      <c r="H57"/>
      <c r="I57"/>
      <c r="J57"/>
      <c r="K57"/>
      <c r="L57"/>
      <c r="M57"/>
      <c r="N57"/>
      <c r="O57"/>
      <c r="W57" s="98"/>
    </row>
    <row r="58" spans="5:23" x14ac:dyDescent="0.25">
      <c r="E58"/>
      <c r="F58"/>
      <c r="G58"/>
      <c r="H58"/>
      <c r="I58"/>
      <c r="J58"/>
      <c r="K58"/>
      <c r="L58"/>
      <c r="M58"/>
      <c r="N58"/>
      <c r="O58"/>
    </row>
    <row r="59" spans="5:23" x14ac:dyDescent="0.25">
      <c r="E59"/>
      <c r="F59"/>
      <c r="G59"/>
      <c r="H59"/>
      <c r="I59"/>
      <c r="J59"/>
      <c r="K59"/>
      <c r="L59"/>
      <c r="M59"/>
      <c r="N59"/>
      <c r="O59"/>
    </row>
    <row r="60" spans="5:23" x14ac:dyDescent="0.25">
      <c r="E60"/>
      <c r="F60"/>
      <c r="G60"/>
      <c r="H60"/>
      <c r="I60"/>
      <c r="J60"/>
      <c r="K60"/>
      <c r="L60"/>
      <c r="M60"/>
      <c r="N60"/>
      <c r="O60"/>
    </row>
    <row r="61" spans="5:23" x14ac:dyDescent="0.25">
      <c r="E61"/>
      <c r="F61"/>
      <c r="G61"/>
      <c r="H61"/>
      <c r="I61"/>
      <c r="J61"/>
      <c r="K61"/>
      <c r="L61"/>
      <c r="M61"/>
      <c r="N61"/>
      <c r="O61"/>
    </row>
    <row r="62" spans="5:23" x14ac:dyDescent="0.25">
      <c r="E62"/>
      <c r="F62"/>
      <c r="G62"/>
      <c r="H62"/>
      <c r="I62"/>
      <c r="J62"/>
      <c r="K62"/>
      <c r="L62"/>
      <c r="M62"/>
      <c r="N62"/>
      <c r="O62"/>
    </row>
    <row r="63" spans="5:23" x14ac:dyDescent="0.25">
      <c r="E63"/>
      <c r="F63"/>
      <c r="G63"/>
      <c r="H63"/>
      <c r="I63"/>
      <c r="J63"/>
      <c r="K63"/>
      <c r="L63"/>
      <c r="M63"/>
      <c r="N63"/>
      <c r="O63"/>
    </row>
    <row r="64" spans="5:23" x14ac:dyDescent="0.25">
      <c r="E64"/>
      <c r="F64"/>
      <c r="G64"/>
      <c r="H64"/>
      <c r="I64"/>
      <c r="J64"/>
      <c r="K64"/>
      <c r="L64"/>
      <c r="M64"/>
      <c r="N64"/>
      <c r="O64"/>
    </row>
    <row r="65" spans="5:15" x14ac:dyDescent="0.25">
      <c r="E65"/>
      <c r="F65"/>
      <c r="G65"/>
      <c r="H65"/>
      <c r="I65"/>
      <c r="J65"/>
      <c r="K65"/>
      <c r="L65"/>
      <c r="M65"/>
      <c r="N65"/>
      <c r="O65"/>
    </row>
    <row r="66" spans="5:15" x14ac:dyDescent="0.25">
      <c r="E66"/>
      <c r="F66"/>
      <c r="G66"/>
      <c r="H66"/>
      <c r="I66"/>
      <c r="J66"/>
      <c r="K66"/>
      <c r="L66"/>
      <c r="M66"/>
      <c r="N66"/>
      <c r="O66"/>
    </row>
    <row r="67" spans="5:15" x14ac:dyDescent="0.25">
      <c r="E67"/>
      <c r="F67"/>
      <c r="G67"/>
      <c r="H67"/>
      <c r="I67"/>
      <c r="J67"/>
      <c r="K67"/>
      <c r="L67"/>
      <c r="M67"/>
      <c r="N67"/>
      <c r="O67"/>
    </row>
    <row r="68" spans="5:15" x14ac:dyDescent="0.25">
      <c r="E68"/>
      <c r="F68"/>
      <c r="G68"/>
      <c r="H68"/>
      <c r="I68"/>
      <c r="J68"/>
      <c r="K68"/>
      <c r="L68"/>
      <c r="M68"/>
      <c r="N68"/>
      <c r="O68"/>
    </row>
    <row r="69" spans="5:15" x14ac:dyDescent="0.25">
      <c r="E69"/>
      <c r="F69"/>
      <c r="G69"/>
      <c r="H69"/>
      <c r="I69"/>
      <c r="J69"/>
      <c r="K69"/>
      <c r="L69"/>
      <c r="M69"/>
      <c r="N69"/>
      <c r="O69"/>
    </row>
    <row r="70" spans="5:15" x14ac:dyDescent="0.25">
      <c r="E70"/>
      <c r="F70"/>
      <c r="G70"/>
      <c r="H70"/>
      <c r="I70"/>
      <c r="J70"/>
      <c r="K70"/>
      <c r="L70"/>
      <c r="M70"/>
      <c r="N70"/>
      <c r="O70"/>
    </row>
    <row r="71" spans="5:15" x14ac:dyDescent="0.25">
      <c r="E71"/>
      <c r="F71"/>
      <c r="G71"/>
      <c r="H71"/>
      <c r="I71"/>
      <c r="J71"/>
      <c r="K71"/>
      <c r="L71"/>
      <c r="M71"/>
      <c r="N71"/>
      <c r="O71"/>
    </row>
    <row r="72" spans="5:15" x14ac:dyDescent="0.25">
      <c r="E72"/>
      <c r="F72"/>
      <c r="G72"/>
      <c r="H72"/>
      <c r="I72"/>
      <c r="J72"/>
      <c r="K72"/>
      <c r="L72"/>
      <c r="M72"/>
      <c r="N72"/>
      <c r="O72"/>
    </row>
    <row r="73" spans="5:15" x14ac:dyDescent="0.25">
      <c r="E73"/>
      <c r="F73"/>
      <c r="G73"/>
      <c r="H73"/>
      <c r="I73"/>
      <c r="J73"/>
      <c r="K73"/>
      <c r="L73"/>
      <c r="M73"/>
      <c r="N73"/>
      <c r="O73"/>
    </row>
    <row r="74" spans="5:15" x14ac:dyDescent="0.25">
      <c r="E74"/>
      <c r="F74"/>
      <c r="G74"/>
      <c r="H74"/>
      <c r="I74"/>
      <c r="J74"/>
      <c r="K74"/>
      <c r="L74"/>
      <c r="M74"/>
      <c r="N74"/>
      <c r="O74"/>
    </row>
    <row r="75" spans="5:15" x14ac:dyDescent="0.25">
      <c r="E75"/>
      <c r="F75"/>
      <c r="G75"/>
      <c r="H75"/>
      <c r="I75"/>
      <c r="J75"/>
      <c r="K75"/>
      <c r="L75"/>
      <c r="M75"/>
      <c r="N75"/>
      <c r="O75"/>
    </row>
    <row r="76" spans="5:15" x14ac:dyDescent="0.25">
      <c r="E76"/>
      <c r="F76"/>
      <c r="G76"/>
      <c r="H76"/>
      <c r="I76"/>
      <c r="J76"/>
      <c r="K76"/>
      <c r="L76"/>
      <c r="M76"/>
      <c r="N76"/>
      <c r="O76"/>
    </row>
    <row r="77" spans="5:15" x14ac:dyDescent="0.25">
      <c r="E77"/>
      <c r="F77"/>
      <c r="G77"/>
      <c r="H77"/>
      <c r="I77"/>
      <c r="J77"/>
      <c r="K77"/>
      <c r="L77"/>
      <c r="M77"/>
      <c r="N77"/>
      <c r="O77"/>
    </row>
    <row r="78" spans="5:15" x14ac:dyDescent="0.25">
      <c r="E78"/>
      <c r="F78"/>
      <c r="G78"/>
      <c r="H78"/>
      <c r="I78"/>
      <c r="J78"/>
      <c r="K78"/>
      <c r="L78"/>
      <c r="M78"/>
      <c r="N78"/>
      <c r="O78"/>
    </row>
    <row r="79" spans="5:15" x14ac:dyDescent="0.25">
      <c r="E79"/>
      <c r="F79"/>
      <c r="G79"/>
      <c r="H79"/>
      <c r="I79"/>
      <c r="J79"/>
      <c r="K79"/>
      <c r="L79"/>
      <c r="M79"/>
      <c r="N79"/>
      <c r="O79"/>
    </row>
    <row r="80" spans="5:15" x14ac:dyDescent="0.25">
      <c r="E80"/>
      <c r="F80"/>
      <c r="G80"/>
      <c r="H80"/>
      <c r="I80"/>
      <c r="J80"/>
      <c r="K80"/>
      <c r="L80"/>
      <c r="M80"/>
      <c r="N80"/>
      <c r="O80"/>
    </row>
    <row r="81" spans="5:15" x14ac:dyDescent="0.25">
      <c r="E81"/>
      <c r="F81"/>
      <c r="G81"/>
      <c r="H81"/>
      <c r="I81"/>
      <c r="J81"/>
      <c r="K81"/>
      <c r="L81"/>
      <c r="M81"/>
      <c r="N81"/>
      <c r="O81"/>
    </row>
    <row r="82" spans="5:15" x14ac:dyDescent="0.25">
      <c r="E82"/>
      <c r="F82"/>
      <c r="G82"/>
      <c r="H82"/>
      <c r="I82"/>
      <c r="J82"/>
      <c r="K82"/>
      <c r="L82"/>
      <c r="M82"/>
      <c r="N82"/>
      <c r="O82"/>
    </row>
    <row r="83" spans="5:15" x14ac:dyDescent="0.25">
      <c r="E83"/>
      <c r="F83"/>
      <c r="G83"/>
      <c r="H83"/>
      <c r="I83"/>
      <c r="J83"/>
      <c r="K83"/>
      <c r="L83"/>
      <c r="M83"/>
      <c r="N83"/>
      <c r="O83"/>
    </row>
    <row r="84" spans="5:15" x14ac:dyDescent="0.25">
      <c r="E84"/>
      <c r="F84"/>
      <c r="G84"/>
      <c r="H84"/>
      <c r="I84"/>
      <c r="J84"/>
      <c r="K84"/>
      <c r="L84"/>
      <c r="M84"/>
      <c r="N84"/>
      <c r="O84"/>
    </row>
    <row r="85" spans="5:15" x14ac:dyDescent="0.25">
      <c r="E85"/>
      <c r="F85"/>
      <c r="G85"/>
      <c r="H85"/>
      <c r="I85"/>
      <c r="J85"/>
      <c r="K85"/>
      <c r="L85"/>
      <c r="M85"/>
      <c r="N85"/>
      <c r="O85"/>
    </row>
    <row r="86" spans="5:15" x14ac:dyDescent="0.25">
      <c r="E86"/>
      <c r="F86"/>
      <c r="G86"/>
      <c r="H86"/>
      <c r="I86"/>
      <c r="J86"/>
      <c r="K86"/>
      <c r="L86"/>
      <c r="M86"/>
      <c r="N86"/>
      <c r="O86"/>
    </row>
    <row r="87" spans="5:15" x14ac:dyDescent="0.25">
      <c r="E87"/>
      <c r="F87"/>
      <c r="G87"/>
      <c r="H87"/>
      <c r="I87"/>
      <c r="J87"/>
      <c r="K87"/>
      <c r="L87"/>
      <c r="M87"/>
      <c r="N87"/>
      <c r="O87"/>
    </row>
    <row r="88" spans="5:15" x14ac:dyDescent="0.25">
      <c r="E88"/>
      <c r="F88"/>
      <c r="G88"/>
      <c r="H88"/>
      <c r="I88"/>
      <c r="J88"/>
      <c r="K88"/>
      <c r="L88"/>
      <c r="M88"/>
      <c r="N88"/>
      <c r="O88"/>
    </row>
    <row r="89" spans="5:15" x14ac:dyDescent="0.25">
      <c r="E89"/>
      <c r="F89"/>
      <c r="G89"/>
      <c r="H89"/>
      <c r="I89"/>
      <c r="J89"/>
      <c r="K89"/>
      <c r="L89"/>
      <c r="M89"/>
      <c r="N89"/>
      <c r="O89"/>
    </row>
  </sheetData>
  <customSheetViews>
    <customSheetView guid="{DEF9EA2D-EECC-4092-9C86-17CCB814CCD7}" showPageBreaks="1" printArea="1" topLeftCell="O1">
      <selection activeCell="P1" sqref="P1:W61"/>
      <rowBreaks count="1" manualBreakCount="1">
        <brk id="34" max="12" man="1"/>
      </rowBreaks>
      <pageMargins left="0.75" right="0.75" top="1" bottom="1" header="0.5" footer="0.5"/>
      <printOptions horizontalCentered="1"/>
      <pageSetup scale="85" orientation="portrait" r:id="rId1"/>
      <headerFooter alignWithMargins="0">
        <oddHeader>&amp;A</oddHeader>
        <oddFooter>&amp;C&amp;F&amp;Rtlk &amp;D</oddFooter>
      </headerFooter>
    </customSheetView>
  </customSheetViews>
  <mergeCells count="2">
    <mergeCell ref="C7:F7"/>
    <mergeCell ref="H7:K7"/>
  </mergeCells>
  <phoneticPr fontId="0" type="noConversion"/>
  <printOptions horizontalCentered="1"/>
  <pageMargins left="0.75" right="0.75" top="1" bottom="1" header="0.5" footer="0.5"/>
  <pageSetup scale="70" orientation="landscape" r:id="rId2"/>
  <headerFooter scaleWithDoc="0">
    <oddHeader>&amp;A</oddHeader>
    <oddFooter>&amp;L&amp;"Geneva,Regular"&amp;F / &amp;A</oddFooter>
  </headerFooter>
  <rowBreaks count="1" manualBreakCount="1">
    <brk id="35" max="12" man="1"/>
  </rowBreak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2"/>
  <sheetViews>
    <sheetView workbookViewId="0">
      <selection activeCell="A4" sqref="A4"/>
    </sheetView>
  </sheetViews>
  <sheetFormatPr defaultRowHeight="13.2" x14ac:dyDescent="0.25"/>
  <cols>
    <col min="1" max="1" width="35.109375" customWidth="1"/>
    <col min="2" max="2" width="13.44140625" customWidth="1"/>
    <col min="3" max="3" width="14.109375" customWidth="1"/>
    <col min="4" max="4" width="14.6640625" customWidth="1"/>
    <col min="5" max="5" width="18.33203125" customWidth="1"/>
    <col min="6" max="6" width="16.33203125" customWidth="1"/>
    <col min="7" max="8" width="17.77734375" customWidth="1"/>
    <col min="9" max="10" width="17.44140625" customWidth="1"/>
  </cols>
  <sheetData>
    <row r="1" spans="1:11" x14ac:dyDescent="0.25">
      <c r="A1" t="s">
        <v>52</v>
      </c>
    </row>
    <row r="2" spans="1:11" x14ac:dyDescent="0.25">
      <c r="A2" t="s">
        <v>255</v>
      </c>
    </row>
    <row r="3" spans="1:11" x14ac:dyDescent="0.25">
      <c r="A3" t="s">
        <v>60</v>
      </c>
    </row>
    <row r="4" spans="1:11" x14ac:dyDescent="0.25">
      <c r="A4" s="21" t="s">
        <v>627</v>
      </c>
    </row>
    <row r="5" spans="1:11" x14ac:dyDescent="0.25">
      <c r="B5" s="238"/>
      <c r="C5" s="239"/>
      <c r="D5" s="239"/>
      <c r="E5" s="240"/>
      <c r="F5" s="85" t="s">
        <v>256</v>
      </c>
      <c r="G5" s="88"/>
      <c r="H5" s="58"/>
      <c r="I5" s="58"/>
      <c r="J5" s="89"/>
      <c r="K5" s="2"/>
    </row>
    <row r="6" spans="1:11" x14ac:dyDescent="0.25">
      <c r="A6" t="s">
        <v>61</v>
      </c>
      <c r="B6" s="80" t="s">
        <v>287</v>
      </c>
      <c r="C6" s="81" t="s">
        <v>288</v>
      </c>
      <c r="D6" s="81" t="s">
        <v>289</v>
      </c>
      <c r="E6" s="82" t="s">
        <v>290</v>
      </c>
      <c r="F6" s="86" t="s">
        <v>28</v>
      </c>
      <c r="G6" s="80" t="s">
        <v>283</v>
      </c>
      <c r="H6" s="81" t="s">
        <v>284</v>
      </c>
      <c r="I6" s="81" t="s">
        <v>285</v>
      </c>
      <c r="J6" s="82" t="s">
        <v>286</v>
      </c>
      <c r="K6" s="2"/>
    </row>
    <row r="7" spans="1:11" x14ac:dyDescent="0.25">
      <c r="A7" s="28" t="s">
        <v>31</v>
      </c>
      <c r="B7" s="83" t="s">
        <v>257</v>
      </c>
      <c r="C7" s="62" t="s">
        <v>257</v>
      </c>
      <c r="D7" s="62" t="s">
        <v>257</v>
      </c>
      <c r="E7" s="84" t="s">
        <v>257</v>
      </c>
      <c r="F7" s="87" t="s">
        <v>32</v>
      </c>
      <c r="G7" s="90" t="s">
        <v>33</v>
      </c>
      <c r="H7" s="29" t="s">
        <v>33</v>
      </c>
      <c r="I7" s="29" t="s">
        <v>33</v>
      </c>
      <c r="J7" s="91" t="s">
        <v>33</v>
      </c>
      <c r="K7" s="63"/>
    </row>
    <row r="9" spans="1:11" x14ac:dyDescent="0.25">
      <c r="A9" s="11" t="s">
        <v>82</v>
      </c>
      <c r="B9" s="190">
        <v>0.14000000000000001</v>
      </c>
      <c r="C9" s="190">
        <v>0.46</v>
      </c>
      <c r="D9" s="190">
        <v>1.33</v>
      </c>
      <c r="E9" s="190">
        <v>3.2700000000000005</v>
      </c>
      <c r="F9" s="19">
        <f>'Substations '!J55</f>
        <v>0.41683195403871143</v>
      </c>
      <c r="G9" s="57">
        <f>ROUND(B9*$F9,2)</f>
        <v>0.06</v>
      </c>
      <c r="H9" s="57">
        <f>ROUND(C9*$F9,2)</f>
        <v>0.19</v>
      </c>
      <c r="I9" s="57">
        <f>ROUND(D9*$F9,2)</f>
        <v>0.55000000000000004</v>
      </c>
      <c r="J9" s="57">
        <f>ROUND(E9*$F9,2)</f>
        <v>1.36</v>
      </c>
    </row>
    <row r="10" spans="1:11" x14ac:dyDescent="0.25">
      <c r="A10" s="11" t="s">
        <v>519</v>
      </c>
      <c r="B10" s="190">
        <v>90.03</v>
      </c>
      <c r="C10" s="190">
        <v>252.37</v>
      </c>
      <c r="D10" s="190">
        <v>68.570000000000007</v>
      </c>
      <c r="E10" s="190">
        <v>68.19</v>
      </c>
      <c r="F10" s="19">
        <f>'Substations '!J56</f>
        <v>0.23343017857142859</v>
      </c>
      <c r="G10" s="57">
        <f t="shared" ref="G10:H34" si="0">ROUND(B10*$F10,2)</f>
        <v>21.02</v>
      </c>
      <c r="H10" s="57">
        <f t="shared" si="0"/>
        <v>58.91</v>
      </c>
      <c r="I10" s="57">
        <f t="shared" ref="I10:J34" si="1">ROUND(D10*$F10,2)</f>
        <v>16.010000000000002</v>
      </c>
      <c r="J10" s="57">
        <f t="shared" si="1"/>
        <v>15.92</v>
      </c>
    </row>
    <row r="11" spans="1:11" x14ac:dyDescent="0.25">
      <c r="A11" s="11" t="s">
        <v>81</v>
      </c>
      <c r="B11" s="190">
        <v>75.569999999999993</v>
      </c>
      <c r="C11" s="190">
        <v>204.27</v>
      </c>
      <c r="D11" s="190">
        <v>51.33</v>
      </c>
      <c r="E11" s="190">
        <v>52.84</v>
      </c>
      <c r="F11" s="19">
        <f>'Substations '!J57</f>
        <v>0.14132696428571428</v>
      </c>
      <c r="G11" s="57">
        <f t="shared" si="0"/>
        <v>10.68</v>
      </c>
      <c r="H11" s="57">
        <f t="shared" si="0"/>
        <v>28.87</v>
      </c>
      <c r="I11" s="57">
        <f t="shared" si="1"/>
        <v>7.25</v>
      </c>
      <c r="J11" s="57">
        <f t="shared" si="1"/>
        <v>7.47</v>
      </c>
    </row>
    <row r="12" spans="1:11" x14ac:dyDescent="0.25">
      <c r="A12" s="11" t="s">
        <v>80</v>
      </c>
      <c r="B12" s="190">
        <v>51.820000000000007</v>
      </c>
      <c r="C12" s="190">
        <v>154.47</v>
      </c>
      <c r="D12" s="190">
        <v>12.4</v>
      </c>
      <c r="E12" s="190">
        <v>19.760000000000002</v>
      </c>
      <c r="F12" s="19">
        <f>'Substations '!J58</f>
        <v>6.1696116071428567E-2</v>
      </c>
      <c r="G12" s="57">
        <f t="shared" si="0"/>
        <v>3.2</v>
      </c>
      <c r="H12" s="57">
        <f t="shared" si="0"/>
        <v>9.5299999999999994</v>
      </c>
      <c r="I12" s="57">
        <f t="shared" si="1"/>
        <v>0.77</v>
      </c>
      <c r="J12" s="57">
        <f t="shared" si="1"/>
        <v>1.22</v>
      </c>
    </row>
    <row r="13" spans="1:11" x14ac:dyDescent="0.25">
      <c r="A13" s="11" t="s">
        <v>96</v>
      </c>
      <c r="B13" s="190">
        <v>51.879999999999995</v>
      </c>
      <c r="C13" s="190">
        <v>163.88</v>
      </c>
      <c r="D13" s="190">
        <v>9.91</v>
      </c>
      <c r="E13" s="190">
        <v>18.7</v>
      </c>
      <c r="F13" s="19">
        <f>'Substations '!J59</f>
        <v>5.820977678571429E-2</v>
      </c>
      <c r="G13" s="57">
        <f t="shared" si="0"/>
        <v>3.02</v>
      </c>
      <c r="H13" s="57">
        <f t="shared" si="0"/>
        <v>9.5399999999999991</v>
      </c>
      <c r="I13" s="57">
        <f t="shared" si="1"/>
        <v>0.57999999999999996</v>
      </c>
      <c r="J13" s="57">
        <f t="shared" si="1"/>
        <v>1.0900000000000001</v>
      </c>
    </row>
    <row r="14" spans="1:11" x14ac:dyDescent="0.25">
      <c r="A14" s="11" t="s">
        <v>66</v>
      </c>
      <c r="B14" s="190">
        <v>68.88</v>
      </c>
      <c r="C14" s="190">
        <v>200.35</v>
      </c>
      <c r="D14" s="190">
        <v>6.89</v>
      </c>
      <c r="E14" s="190">
        <v>14</v>
      </c>
      <c r="F14" s="19">
        <f>'Substations '!J60</f>
        <v>8.8320397350993368E-2</v>
      </c>
      <c r="G14" s="57">
        <f t="shared" si="0"/>
        <v>6.08</v>
      </c>
      <c r="H14" s="57">
        <f t="shared" si="0"/>
        <v>17.690000000000001</v>
      </c>
      <c r="I14" s="57">
        <f t="shared" si="1"/>
        <v>0.61</v>
      </c>
      <c r="J14" s="57">
        <f t="shared" si="1"/>
        <v>1.24</v>
      </c>
    </row>
    <row r="15" spans="1:11" x14ac:dyDescent="0.25">
      <c r="A15" s="11" t="s">
        <v>87</v>
      </c>
      <c r="B15" s="190">
        <v>33.050000000000004</v>
      </c>
      <c r="C15" s="190">
        <v>110.99000000000001</v>
      </c>
      <c r="D15" s="190">
        <v>15.02</v>
      </c>
      <c r="E15" s="190">
        <v>24.08</v>
      </c>
      <c r="F15" s="19">
        <f>'Substations '!J61</f>
        <v>7.4352170635809886E-2</v>
      </c>
      <c r="G15" s="57">
        <f t="shared" si="0"/>
        <v>2.46</v>
      </c>
      <c r="H15" s="57">
        <f t="shared" si="0"/>
        <v>8.25</v>
      </c>
      <c r="I15" s="57">
        <f t="shared" si="1"/>
        <v>1.1200000000000001</v>
      </c>
      <c r="J15" s="57">
        <f t="shared" si="1"/>
        <v>1.79</v>
      </c>
    </row>
    <row r="16" spans="1:11" x14ac:dyDescent="0.25">
      <c r="A16" s="11" t="s">
        <v>212</v>
      </c>
      <c r="B16" s="190">
        <v>51.34</v>
      </c>
      <c r="C16" s="190">
        <v>143.88999999999999</v>
      </c>
      <c r="D16" s="190">
        <v>29.92</v>
      </c>
      <c r="E16" s="190">
        <v>40.94</v>
      </c>
      <c r="F16" s="19">
        <f>'Substations '!J62</f>
        <v>0.18924424107142856</v>
      </c>
      <c r="G16" s="57">
        <f t="shared" si="0"/>
        <v>9.7200000000000006</v>
      </c>
      <c r="H16" s="57">
        <f t="shared" si="0"/>
        <v>27.23</v>
      </c>
      <c r="I16" s="57">
        <f t="shared" si="1"/>
        <v>5.66</v>
      </c>
      <c r="J16" s="57">
        <f t="shared" si="1"/>
        <v>7.75</v>
      </c>
    </row>
    <row r="17" spans="1:10" x14ac:dyDescent="0.25">
      <c r="A17" s="11" t="s">
        <v>83</v>
      </c>
      <c r="B17" s="190">
        <v>0</v>
      </c>
      <c r="C17" s="190">
        <v>0</v>
      </c>
      <c r="D17" s="190">
        <v>0</v>
      </c>
      <c r="E17" s="190">
        <v>0</v>
      </c>
      <c r="F17" s="19">
        <f>'Substations '!J63</f>
        <v>1</v>
      </c>
      <c r="G17" s="57">
        <f t="shared" si="0"/>
        <v>0</v>
      </c>
      <c r="H17" s="57">
        <f t="shared" si="0"/>
        <v>0</v>
      </c>
      <c r="I17" s="57">
        <f t="shared" si="1"/>
        <v>0</v>
      </c>
      <c r="J17" s="57">
        <f t="shared" si="1"/>
        <v>0</v>
      </c>
    </row>
    <row r="18" spans="1:10" x14ac:dyDescent="0.25">
      <c r="A18" s="11" t="s">
        <v>67</v>
      </c>
      <c r="B18" s="190">
        <v>11.879999999999999</v>
      </c>
      <c r="C18" s="190">
        <v>37.71</v>
      </c>
      <c r="D18" s="190">
        <v>3.96</v>
      </c>
      <c r="E18" s="190">
        <v>7.1999999999999993</v>
      </c>
      <c r="F18" s="19">
        <f>'Substations '!J64</f>
        <v>0.25</v>
      </c>
      <c r="G18" s="57">
        <f t="shared" si="0"/>
        <v>2.97</v>
      </c>
      <c r="H18" s="57">
        <f t="shared" si="0"/>
        <v>9.43</v>
      </c>
      <c r="I18" s="57">
        <f t="shared" si="1"/>
        <v>0.99</v>
      </c>
      <c r="J18" s="57">
        <f t="shared" si="1"/>
        <v>1.8</v>
      </c>
    </row>
    <row r="19" spans="1:10" x14ac:dyDescent="0.25">
      <c r="A19" s="11" t="s">
        <v>67</v>
      </c>
      <c r="B19" s="190">
        <v>11.879999999999999</v>
      </c>
      <c r="C19" s="190">
        <v>37.71</v>
      </c>
      <c r="D19" s="190">
        <v>3.96</v>
      </c>
      <c r="E19" s="190">
        <v>7.1999999999999993</v>
      </c>
      <c r="F19" s="19">
        <f>'Substations '!J65</f>
        <v>0.25</v>
      </c>
      <c r="G19" s="57">
        <f t="shared" si="0"/>
        <v>2.97</v>
      </c>
      <c r="H19" s="57">
        <f t="shared" si="0"/>
        <v>9.43</v>
      </c>
      <c r="I19" s="57">
        <f t="shared" si="1"/>
        <v>0.99</v>
      </c>
      <c r="J19" s="57">
        <f t="shared" si="1"/>
        <v>1.8</v>
      </c>
    </row>
    <row r="20" spans="1:10" x14ac:dyDescent="0.25">
      <c r="A20" s="11" t="s">
        <v>88</v>
      </c>
      <c r="B20" s="190">
        <v>69.660000000000011</v>
      </c>
      <c r="C20" s="190">
        <v>220.11000000000004</v>
      </c>
      <c r="D20" s="190">
        <v>16.46</v>
      </c>
      <c r="E20" s="190">
        <v>31.339999999999996</v>
      </c>
      <c r="F20" s="19">
        <f>'Substations '!J66</f>
        <v>8.444562500000001E-2</v>
      </c>
      <c r="G20" s="57">
        <f t="shared" si="0"/>
        <v>5.88</v>
      </c>
      <c r="H20" s="57">
        <f t="shared" si="0"/>
        <v>18.59</v>
      </c>
      <c r="I20" s="57">
        <f t="shared" si="1"/>
        <v>1.39</v>
      </c>
      <c r="J20" s="57">
        <f t="shared" si="1"/>
        <v>2.65</v>
      </c>
    </row>
    <row r="21" spans="1:10" x14ac:dyDescent="0.25">
      <c r="A21" s="11" t="s">
        <v>96</v>
      </c>
      <c r="B21" s="190">
        <v>51.879999999999995</v>
      </c>
      <c r="C21" s="190">
        <v>163.88</v>
      </c>
      <c r="D21" s="190">
        <v>9.91</v>
      </c>
      <c r="E21" s="190">
        <v>18.7</v>
      </c>
      <c r="F21" s="19">
        <f>'Substations '!J67</f>
        <v>4.2700714285714286E-2</v>
      </c>
      <c r="G21" s="57">
        <f t="shared" si="0"/>
        <v>2.2200000000000002</v>
      </c>
      <c r="H21" s="57">
        <f t="shared" si="0"/>
        <v>7</v>
      </c>
      <c r="I21" s="57">
        <f t="shared" si="1"/>
        <v>0.42</v>
      </c>
      <c r="J21" s="57">
        <f t="shared" si="1"/>
        <v>0.8</v>
      </c>
    </row>
    <row r="22" spans="1:10" x14ac:dyDescent="0.25">
      <c r="A22" s="11" t="s">
        <v>87</v>
      </c>
      <c r="B22" s="190">
        <v>33.050000000000004</v>
      </c>
      <c r="C22" s="190">
        <v>110.99000000000001</v>
      </c>
      <c r="D22" s="190">
        <v>15.02</v>
      </c>
      <c r="E22" s="190">
        <v>24.08</v>
      </c>
      <c r="F22" s="19">
        <f>'Substations '!J68</f>
        <v>0.2</v>
      </c>
      <c r="G22" s="57">
        <f t="shared" si="0"/>
        <v>6.61</v>
      </c>
      <c r="H22" s="57">
        <f t="shared" si="0"/>
        <v>22.2</v>
      </c>
      <c r="I22" s="57">
        <f t="shared" si="1"/>
        <v>3</v>
      </c>
      <c r="J22" s="57">
        <f t="shared" si="1"/>
        <v>4.82</v>
      </c>
    </row>
    <row r="23" spans="1:10" x14ac:dyDescent="0.25">
      <c r="A23" s="11" t="s">
        <v>77</v>
      </c>
      <c r="B23" s="190">
        <v>77.199999999999989</v>
      </c>
      <c r="C23" s="190">
        <v>248.84</v>
      </c>
      <c r="D23" s="190">
        <v>47.379999999999995</v>
      </c>
      <c r="E23" s="190">
        <v>81.760000000000005</v>
      </c>
      <c r="F23" s="19">
        <f>'Substations '!J69</f>
        <v>9.7971180555555551E-2</v>
      </c>
      <c r="G23" s="57">
        <f t="shared" si="0"/>
        <v>7.56</v>
      </c>
      <c r="H23" s="57">
        <f t="shared" si="0"/>
        <v>24.38</v>
      </c>
      <c r="I23" s="57">
        <f t="shared" si="1"/>
        <v>4.6399999999999997</v>
      </c>
      <c r="J23" s="57">
        <f t="shared" si="1"/>
        <v>8.01</v>
      </c>
    </row>
    <row r="24" spans="1:10" x14ac:dyDescent="0.25">
      <c r="A24" s="11" t="s">
        <v>68</v>
      </c>
      <c r="B24" s="190">
        <v>311.60000000000002</v>
      </c>
      <c r="C24" s="190">
        <v>894.5300000000002</v>
      </c>
      <c r="D24" s="190">
        <v>172.4</v>
      </c>
      <c r="E24" s="190">
        <v>192.04000000000002</v>
      </c>
      <c r="F24" s="19">
        <f>'Substations '!J70</f>
        <v>0.2</v>
      </c>
      <c r="G24" s="57">
        <f t="shared" si="0"/>
        <v>62.32</v>
      </c>
      <c r="H24" s="57">
        <f t="shared" si="0"/>
        <v>178.91</v>
      </c>
      <c r="I24" s="57">
        <f t="shared" si="1"/>
        <v>34.479999999999997</v>
      </c>
      <c r="J24" s="57">
        <f t="shared" si="1"/>
        <v>38.409999999999997</v>
      </c>
    </row>
    <row r="25" spans="1:10" x14ac:dyDescent="0.25">
      <c r="A25" s="11" t="s">
        <v>487</v>
      </c>
      <c r="B25" s="190">
        <v>66.610000000000014</v>
      </c>
      <c r="C25" s="190">
        <v>206.79999999999998</v>
      </c>
      <c r="D25" s="190">
        <v>60.19</v>
      </c>
      <c r="E25" s="190">
        <v>94.15</v>
      </c>
      <c r="F25" s="19">
        <f>'Substations '!J71</f>
        <v>0.16666666666666666</v>
      </c>
      <c r="G25" s="57">
        <f t="shared" si="0"/>
        <v>11.1</v>
      </c>
      <c r="H25" s="57">
        <f t="shared" si="0"/>
        <v>34.47</v>
      </c>
      <c r="I25" s="57">
        <f t="shared" si="1"/>
        <v>10.029999999999999</v>
      </c>
      <c r="J25" s="57">
        <f t="shared" si="1"/>
        <v>15.69</v>
      </c>
    </row>
    <row r="26" spans="1:10" x14ac:dyDescent="0.25">
      <c r="A26" s="11" t="s">
        <v>86</v>
      </c>
      <c r="B26" s="190">
        <v>35.550000000000004</v>
      </c>
      <c r="C26" s="190">
        <v>113.73999999999998</v>
      </c>
      <c r="D26" s="190">
        <v>30.23</v>
      </c>
      <c r="E26" s="190">
        <v>52.440000000000005</v>
      </c>
      <c r="F26" s="19">
        <f>'Substations '!J72</f>
        <v>0.2</v>
      </c>
      <c r="G26" s="57">
        <f t="shared" si="0"/>
        <v>7.11</v>
      </c>
      <c r="H26" s="57">
        <f t="shared" si="0"/>
        <v>22.75</v>
      </c>
      <c r="I26" s="57">
        <f t="shared" si="1"/>
        <v>6.05</v>
      </c>
      <c r="J26" s="57">
        <f t="shared" si="1"/>
        <v>10.49</v>
      </c>
    </row>
    <row r="27" spans="1:10" x14ac:dyDescent="0.25">
      <c r="A27" s="11" t="s">
        <v>90</v>
      </c>
      <c r="B27" s="190">
        <v>0</v>
      </c>
      <c r="C27" s="190">
        <v>0</v>
      </c>
      <c r="D27" s="190">
        <v>0</v>
      </c>
      <c r="E27" s="190">
        <v>0</v>
      </c>
      <c r="F27" s="19">
        <f>'Substations '!J73</f>
        <v>0.5</v>
      </c>
      <c r="G27" s="57">
        <f t="shared" si="0"/>
        <v>0</v>
      </c>
      <c r="H27" s="57">
        <f t="shared" si="0"/>
        <v>0</v>
      </c>
      <c r="I27" s="57">
        <f t="shared" si="1"/>
        <v>0</v>
      </c>
      <c r="J27" s="57">
        <f t="shared" si="1"/>
        <v>0</v>
      </c>
    </row>
    <row r="28" spans="1:10" x14ac:dyDescent="0.25">
      <c r="A28" s="11" t="s">
        <v>261</v>
      </c>
      <c r="B28" s="190">
        <v>4.04</v>
      </c>
      <c r="C28" s="190">
        <v>12.67</v>
      </c>
      <c r="D28" s="190">
        <v>21.85</v>
      </c>
      <c r="E28" s="190">
        <v>41.72</v>
      </c>
      <c r="F28" s="19">
        <f>'Substations '!J74</f>
        <v>0.5</v>
      </c>
      <c r="G28" s="57">
        <f t="shared" si="0"/>
        <v>2.02</v>
      </c>
      <c r="H28" s="57">
        <f t="shared" si="0"/>
        <v>6.34</v>
      </c>
      <c r="I28" s="57">
        <f t="shared" si="1"/>
        <v>10.93</v>
      </c>
      <c r="J28" s="57">
        <f t="shared" si="1"/>
        <v>20.86</v>
      </c>
    </row>
    <row r="29" spans="1:10" x14ac:dyDescent="0.25">
      <c r="A29" s="11" t="s">
        <v>86</v>
      </c>
      <c r="B29" s="190">
        <v>35.550000000000004</v>
      </c>
      <c r="C29" s="190">
        <v>113.73999999999998</v>
      </c>
      <c r="D29" s="190">
        <v>30.23</v>
      </c>
      <c r="E29" s="190">
        <v>52.440000000000005</v>
      </c>
      <c r="F29" s="19">
        <f>'Substations '!J75</f>
        <v>0.2</v>
      </c>
      <c r="G29" s="57">
        <f>ROUND(B29*$F29,2)</f>
        <v>7.11</v>
      </c>
      <c r="H29" s="57">
        <f>ROUND(C29*$F29,2)</f>
        <v>22.75</v>
      </c>
      <c r="I29" s="57">
        <f>ROUND(D29*$F29,2)</f>
        <v>6.05</v>
      </c>
      <c r="J29" s="57">
        <f>ROUND(E29*$F29,2)</f>
        <v>10.49</v>
      </c>
    </row>
    <row r="30" spans="1:10" x14ac:dyDescent="0.25">
      <c r="A30" s="11" t="s">
        <v>90</v>
      </c>
      <c r="B30" s="190">
        <v>0</v>
      </c>
      <c r="C30" s="190">
        <v>0</v>
      </c>
      <c r="D30" s="190">
        <v>0</v>
      </c>
      <c r="E30" s="190">
        <v>0</v>
      </c>
      <c r="F30" s="19">
        <f>'Substations '!J76</f>
        <v>0.5</v>
      </c>
      <c r="G30" s="57">
        <f t="shared" si="0"/>
        <v>0</v>
      </c>
      <c r="H30" s="57">
        <f t="shared" si="0"/>
        <v>0</v>
      </c>
      <c r="I30" s="57">
        <f t="shared" si="1"/>
        <v>0</v>
      </c>
      <c r="J30" s="57">
        <f t="shared" si="1"/>
        <v>0</v>
      </c>
    </row>
    <row r="31" spans="1:10" x14ac:dyDescent="0.25">
      <c r="A31" s="11" t="s">
        <v>89</v>
      </c>
      <c r="B31" s="190">
        <v>0</v>
      </c>
      <c r="C31" s="190">
        <v>0</v>
      </c>
      <c r="D31" s="190">
        <v>0</v>
      </c>
      <c r="E31" s="190">
        <v>0</v>
      </c>
      <c r="F31" s="19">
        <f>'Substations '!J77</f>
        <v>0.5</v>
      </c>
      <c r="G31" s="57">
        <f t="shared" si="0"/>
        <v>0</v>
      </c>
      <c r="H31" s="57">
        <f t="shared" si="0"/>
        <v>0</v>
      </c>
      <c r="I31" s="57">
        <f t="shared" si="1"/>
        <v>0</v>
      </c>
      <c r="J31" s="57">
        <f t="shared" si="1"/>
        <v>0</v>
      </c>
    </row>
    <row r="32" spans="1:10" x14ac:dyDescent="0.25">
      <c r="A32" s="11" t="s">
        <v>487</v>
      </c>
      <c r="B32" s="190">
        <v>66.610000000000014</v>
      </c>
      <c r="C32" s="190">
        <v>206.79999999999998</v>
      </c>
      <c r="D32" s="190">
        <v>60.19</v>
      </c>
      <c r="E32" s="190">
        <v>94.15</v>
      </c>
      <c r="F32" s="19">
        <f>'Substations '!J78</f>
        <v>0.16666666666666666</v>
      </c>
      <c r="G32" s="57">
        <f t="shared" si="0"/>
        <v>11.1</v>
      </c>
      <c r="H32" s="57">
        <f t="shared" si="0"/>
        <v>34.47</v>
      </c>
      <c r="I32" s="57">
        <f t="shared" si="1"/>
        <v>10.029999999999999</v>
      </c>
      <c r="J32" s="57">
        <f t="shared" si="1"/>
        <v>15.69</v>
      </c>
    </row>
    <row r="33" spans="1:11" x14ac:dyDescent="0.25">
      <c r="A33" s="11" t="s">
        <v>86</v>
      </c>
      <c r="B33" s="190">
        <v>35.550000000000004</v>
      </c>
      <c r="C33" s="190">
        <v>113.73999999999998</v>
      </c>
      <c r="D33" s="190">
        <v>30.23</v>
      </c>
      <c r="E33" s="190">
        <v>52.440000000000005</v>
      </c>
      <c r="F33" s="19">
        <f>'Substations '!J79</f>
        <v>0.2</v>
      </c>
      <c r="G33" s="57">
        <f t="shared" si="0"/>
        <v>7.11</v>
      </c>
      <c r="H33" s="57">
        <f t="shared" si="0"/>
        <v>22.75</v>
      </c>
      <c r="I33" s="57">
        <f t="shared" si="1"/>
        <v>6.05</v>
      </c>
      <c r="J33" s="57">
        <f t="shared" si="1"/>
        <v>10.49</v>
      </c>
    </row>
    <row r="34" spans="1:11" x14ac:dyDescent="0.25">
      <c r="A34" s="11" t="s">
        <v>89</v>
      </c>
      <c r="B34" s="190">
        <v>0</v>
      </c>
      <c r="C34" s="190">
        <v>0</v>
      </c>
      <c r="D34" s="190">
        <v>0</v>
      </c>
      <c r="E34" s="190">
        <v>0</v>
      </c>
      <c r="F34" s="19">
        <f>'Substations '!J80</f>
        <v>0.5</v>
      </c>
      <c r="G34" s="57">
        <f t="shared" si="0"/>
        <v>0</v>
      </c>
      <c r="H34" s="57">
        <f t="shared" si="0"/>
        <v>0</v>
      </c>
      <c r="I34" s="57">
        <f t="shared" si="1"/>
        <v>0</v>
      </c>
      <c r="J34" s="57">
        <f t="shared" si="1"/>
        <v>0</v>
      </c>
    </row>
    <row r="35" spans="1:11" x14ac:dyDescent="0.25">
      <c r="A35" s="11" t="s">
        <v>82</v>
      </c>
      <c r="B35" s="190">
        <v>0.14000000000000001</v>
      </c>
      <c r="C35" s="190">
        <v>0.46</v>
      </c>
      <c r="D35" s="190">
        <v>1.33</v>
      </c>
      <c r="E35" s="190">
        <v>3.2700000000000005</v>
      </c>
      <c r="F35" s="19">
        <f>'Substations '!J81</f>
        <v>8.3168045961288559E-2</v>
      </c>
      <c r="G35" s="57">
        <f t="shared" ref="G35:G36" si="2">ROUND(B35*$F35,2)</f>
        <v>0.01</v>
      </c>
      <c r="H35" s="57">
        <f t="shared" ref="H35:H36" si="3">ROUND(C35*$F35,2)</f>
        <v>0.04</v>
      </c>
      <c r="I35" s="57">
        <f t="shared" ref="I35:I36" si="4">ROUND(D35*$F35,2)</f>
        <v>0.11</v>
      </c>
      <c r="J35" s="57">
        <f t="shared" ref="J35:J36" si="5">ROUND(E35*$F35,2)</f>
        <v>0.27</v>
      </c>
    </row>
    <row r="36" spans="1:11" x14ac:dyDescent="0.25">
      <c r="A36" s="11" t="s">
        <v>78</v>
      </c>
      <c r="B36" s="190">
        <v>56.62</v>
      </c>
      <c r="C36" s="190">
        <v>153.85</v>
      </c>
      <c r="D36" s="190">
        <v>45.41</v>
      </c>
      <c r="E36" s="190">
        <v>49.64</v>
      </c>
      <c r="F36" s="19">
        <f>'Substations '!J82</f>
        <v>0.5</v>
      </c>
      <c r="G36" s="57">
        <f t="shared" si="2"/>
        <v>28.31</v>
      </c>
      <c r="H36" s="57">
        <f t="shared" si="3"/>
        <v>76.930000000000007</v>
      </c>
      <c r="I36" s="57">
        <f t="shared" si="4"/>
        <v>22.71</v>
      </c>
      <c r="J36" s="57">
        <f t="shared" si="5"/>
        <v>24.82</v>
      </c>
    </row>
    <row r="37" spans="1:11" x14ac:dyDescent="0.25">
      <c r="A37" s="10"/>
    </row>
    <row r="38" spans="1:11" x14ac:dyDescent="0.25">
      <c r="A38" t="s">
        <v>253</v>
      </c>
      <c r="B38" s="217">
        <f>SUM(B9:B37)</f>
        <v>1290.5299999999997</v>
      </c>
      <c r="C38" s="217">
        <f t="shared" ref="C38:E38" si="6">SUM(C9:C37)</f>
        <v>3866.25</v>
      </c>
      <c r="D38" s="217">
        <f t="shared" si="6"/>
        <v>744.12000000000012</v>
      </c>
      <c r="E38" s="217">
        <f t="shared" si="6"/>
        <v>1044.3500000000001</v>
      </c>
      <c r="G38" s="59">
        <f>SUM(G9:G37)</f>
        <v>220.64000000000004</v>
      </c>
      <c r="H38" s="59">
        <f t="shared" ref="H38:J38" si="7">SUM(H9:H37)</f>
        <v>650.65000000000009</v>
      </c>
      <c r="I38" s="59">
        <f t="shared" si="7"/>
        <v>150.41999999999999</v>
      </c>
      <c r="J38" s="59">
        <f t="shared" si="7"/>
        <v>204.92999999999998</v>
      </c>
    </row>
    <row r="39" spans="1:11" x14ac:dyDescent="0.25">
      <c r="G39" s="14"/>
      <c r="H39" s="14"/>
      <c r="I39" s="14"/>
      <c r="J39" s="14"/>
      <c r="K39" s="60"/>
    </row>
    <row r="40" spans="1:11" x14ac:dyDescent="0.25">
      <c r="A40" t="s">
        <v>258</v>
      </c>
      <c r="G40" s="61">
        <f>'Primary-Secondary'!H10</f>
        <v>5030.260000000002</v>
      </c>
      <c r="H40" s="61">
        <f>'Primary-Secondary'!C10</f>
        <v>14624.180000000004</v>
      </c>
      <c r="I40" s="61">
        <f>'Primary-Secondary'!H15</f>
        <v>2643.9599999999978</v>
      </c>
      <c r="J40" s="61">
        <f>'Primary-Secondary'!C15</f>
        <v>3415.79</v>
      </c>
    </row>
    <row r="42" spans="1:11" x14ac:dyDescent="0.25">
      <c r="A42" t="s">
        <v>254</v>
      </c>
      <c r="G42" s="35">
        <f>ROUND(G38/G40,4)</f>
        <v>4.3900000000000002E-2</v>
      </c>
      <c r="H42" s="35">
        <f>ROUND(H38/H40,4)</f>
        <v>4.4499999999999998E-2</v>
      </c>
      <c r="I42" s="35">
        <f>ROUND(I38/I40,4)</f>
        <v>5.6899999999999999E-2</v>
      </c>
      <c r="J42" s="35">
        <f>ROUND(J38/J40,4)</f>
        <v>0.06</v>
      </c>
    </row>
  </sheetData>
  <customSheetViews>
    <customSheetView guid="{DEF9EA2D-EECC-4092-9C86-17CCB814CCD7}" showPageBreaks="1" fitToPage="1" topLeftCell="A6">
      <pane ySplit="3" topLeftCell="A21" activePane="bottomLeft"/>
      <selection pane="bottomLeft" activeCell="C24" sqref="C24"/>
      <pageMargins left="0.75" right="0.75" top="0.73" bottom="1" header="0.5" footer="0.5"/>
      <printOptions horizontalCentered="1"/>
      <pageSetup scale="74" orientation="landscape" r:id="rId1"/>
      <headerFooter alignWithMargins="0">
        <oddHeader>&amp;A</oddHeader>
        <oddFooter>&amp;F</oddFooter>
      </headerFooter>
    </customSheetView>
  </customSheetViews>
  <mergeCells count="1">
    <mergeCell ref="B5:E5"/>
  </mergeCells>
  <phoneticPr fontId="13" type="noConversion"/>
  <printOptions horizontalCentered="1"/>
  <pageMargins left="0.75" right="0.75" top="0.73" bottom="1" header="0.5" footer="0.5"/>
  <pageSetup scale="74" orientation="landscape" r:id="rId2"/>
  <headerFooter scaleWithDoc="0">
    <oddHeader>&amp;A</oddHeader>
    <oddFooter>&amp;L&amp;"Geneva,Regular"&amp;F /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C000"/>
    <pageSetUpPr autoPageBreaks="0"/>
  </sheetPr>
  <dimension ref="A1:I59"/>
  <sheetViews>
    <sheetView view="pageBreakPreview" topLeftCell="A2" zoomScale="60" zoomScaleNormal="100" workbookViewId="0">
      <selection activeCell="A4" sqref="A4"/>
    </sheetView>
  </sheetViews>
  <sheetFormatPr defaultRowHeight="13.2" x14ac:dyDescent="0.25"/>
  <cols>
    <col min="1" max="2" width="13" customWidth="1"/>
    <col min="3" max="3" width="12.33203125" customWidth="1"/>
    <col min="4" max="4" width="14.33203125" customWidth="1"/>
    <col min="5" max="5" width="13.33203125" customWidth="1"/>
    <col min="6" max="6" width="11.77734375" customWidth="1"/>
    <col min="7" max="7" width="13.33203125" customWidth="1"/>
  </cols>
  <sheetData>
    <row r="1" spans="1:9" x14ac:dyDescent="0.25">
      <c r="A1" t="s">
        <v>52</v>
      </c>
    </row>
    <row r="2" spans="1:9" x14ac:dyDescent="0.25">
      <c r="A2" t="s">
        <v>37</v>
      </c>
    </row>
    <row r="3" spans="1:9" x14ac:dyDescent="0.25">
      <c r="A3" t="s">
        <v>60</v>
      </c>
    </row>
    <row r="4" spans="1:9" x14ac:dyDescent="0.25">
      <c r="A4" s="102" t="s">
        <v>682</v>
      </c>
    </row>
    <row r="5" spans="1:9" x14ac:dyDescent="0.25">
      <c r="A5" s="102"/>
    </row>
    <row r="6" spans="1:9" x14ac:dyDescent="0.25">
      <c r="C6" t="s">
        <v>38</v>
      </c>
      <c r="D6" s="1"/>
      <c r="E6" s="1" t="s">
        <v>39</v>
      </c>
      <c r="F6" s="1"/>
      <c r="G6" s="1" t="s">
        <v>0</v>
      </c>
    </row>
    <row r="7" spans="1:9" ht="12" customHeight="1" x14ac:dyDescent="0.25">
      <c r="C7" t="s">
        <v>40</v>
      </c>
      <c r="D7" s="1" t="s">
        <v>210</v>
      </c>
      <c r="E7" s="1" t="s">
        <v>41</v>
      </c>
      <c r="F7" s="1" t="s">
        <v>42</v>
      </c>
      <c r="G7" s="1" t="s">
        <v>206</v>
      </c>
      <c r="I7" s="103"/>
    </row>
    <row r="8" spans="1:9" x14ac:dyDescent="0.25">
      <c r="A8" t="s">
        <v>43</v>
      </c>
      <c r="C8" s="69">
        <f>G35</f>
        <v>3051</v>
      </c>
      <c r="D8" s="33">
        <f>B10</f>
        <v>962.20399999999984</v>
      </c>
      <c r="E8" s="34">
        <f>C8*D8</f>
        <v>2935684.4039999996</v>
      </c>
      <c r="F8" s="35">
        <f>ROUND(E8/G8,4)</f>
        <v>5.1000000000000004E-3</v>
      </c>
      <c r="G8" s="103">
        <v>570816000</v>
      </c>
      <c r="I8" s="103"/>
    </row>
    <row r="9" spans="1:9" x14ac:dyDescent="0.25">
      <c r="A9" t="s">
        <v>44</v>
      </c>
    </row>
    <row r="10" spans="1:9" x14ac:dyDescent="0.25">
      <c r="A10" t="s">
        <v>45</v>
      </c>
      <c r="B10" s="33">
        <f>AVERAGE(B12:B56)</f>
        <v>962.20399999999984</v>
      </c>
      <c r="E10" t="s">
        <v>46</v>
      </c>
    </row>
    <row r="11" spans="1:9" x14ac:dyDescent="0.25">
      <c r="B11" s="2" t="s">
        <v>69</v>
      </c>
      <c r="C11" s="2" t="s">
        <v>57</v>
      </c>
      <c r="E11" t="s">
        <v>47</v>
      </c>
    </row>
    <row r="12" spans="1:9" x14ac:dyDescent="0.25">
      <c r="A12">
        <v>1</v>
      </c>
      <c r="B12" s="13">
        <v>2161.98</v>
      </c>
      <c r="C12" s="2">
        <v>2018</v>
      </c>
      <c r="F12" t="s">
        <v>48</v>
      </c>
    </row>
    <row r="13" spans="1:9" x14ac:dyDescent="0.25">
      <c r="A13">
        <v>2</v>
      </c>
      <c r="B13" s="13">
        <v>2099.48</v>
      </c>
      <c r="C13" s="2">
        <v>2017</v>
      </c>
      <c r="E13" t="s">
        <v>49</v>
      </c>
      <c r="G13" s="1" t="s">
        <v>50</v>
      </c>
    </row>
    <row r="14" spans="1:9" x14ac:dyDescent="0.25">
      <c r="A14">
        <v>3</v>
      </c>
      <c r="B14" s="13">
        <v>2079.0300000000002</v>
      </c>
      <c r="C14" s="2">
        <v>2016</v>
      </c>
      <c r="E14" s="36">
        <f>'Primary-Secondary'!E23</f>
        <v>0.99044444472330551</v>
      </c>
      <c r="F14" s="30">
        <f>1-F8</f>
        <v>0.99490000000000001</v>
      </c>
      <c r="G14" s="35">
        <f>E14*F14</f>
        <v>0.98539317805521665</v>
      </c>
    </row>
    <row r="15" spans="1:9" x14ac:dyDescent="0.25">
      <c r="A15">
        <v>4</v>
      </c>
      <c r="B15" s="13">
        <v>2025.96</v>
      </c>
      <c r="C15" s="2">
        <v>2015</v>
      </c>
      <c r="E15" s="18"/>
    </row>
    <row r="16" spans="1:9" x14ac:dyDescent="0.25">
      <c r="A16">
        <v>5</v>
      </c>
      <c r="B16" s="13">
        <v>2075.19</v>
      </c>
      <c r="C16" s="2">
        <v>2014</v>
      </c>
      <c r="E16" s="18" t="s">
        <v>51</v>
      </c>
      <c r="G16" s="1" t="s">
        <v>50</v>
      </c>
    </row>
    <row r="17" spans="1:7" x14ac:dyDescent="0.25">
      <c r="A17">
        <v>6</v>
      </c>
      <c r="B17" s="13">
        <v>1864.58</v>
      </c>
      <c r="C17" s="2">
        <v>2013</v>
      </c>
      <c r="E17" s="36">
        <f>'Primary-Secondary'!F23</f>
        <v>9.5555552766944402E-3</v>
      </c>
      <c r="F17" s="30">
        <f>1-F8</f>
        <v>0.99490000000000001</v>
      </c>
      <c r="G17" s="35">
        <f>E17*F17</f>
        <v>9.5068219447832988E-3</v>
      </c>
    </row>
    <row r="18" spans="1:7" x14ac:dyDescent="0.25">
      <c r="A18">
        <v>7</v>
      </c>
      <c r="B18" s="13">
        <v>1746.98</v>
      </c>
      <c r="C18" s="2">
        <v>2012</v>
      </c>
    </row>
    <row r="19" spans="1:7" x14ac:dyDescent="0.25">
      <c r="A19">
        <v>8</v>
      </c>
      <c r="B19" s="13">
        <v>1583.33</v>
      </c>
      <c r="C19" s="2">
        <v>2011</v>
      </c>
    </row>
    <row r="20" spans="1:7" x14ac:dyDescent="0.25">
      <c r="A20">
        <v>9</v>
      </c>
      <c r="B20" s="13">
        <v>1854.56</v>
      </c>
      <c r="C20" s="2">
        <v>2010</v>
      </c>
      <c r="D20" t="s">
        <v>690</v>
      </c>
    </row>
    <row r="21" spans="1:7" x14ac:dyDescent="0.25">
      <c r="A21">
        <v>10</v>
      </c>
      <c r="B21" s="13">
        <v>1675.7</v>
      </c>
      <c r="C21" s="2">
        <v>2009</v>
      </c>
      <c r="D21" s="2" t="s">
        <v>543</v>
      </c>
      <c r="E21" s="2" t="s">
        <v>685</v>
      </c>
      <c r="F21" s="233" t="s">
        <v>686</v>
      </c>
      <c r="G21" s="233" t="s">
        <v>687</v>
      </c>
    </row>
    <row r="22" spans="1:7" x14ac:dyDescent="0.25">
      <c r="A22">
        <v>11</v>
      </c>
      <c r="B22" s="13">
        <v>1551.8</v>
      </c>
      <c r="C22" s="2">
        <v>2008</v>
      </c>
      <c r="F22" s="18"/>
    </row>
    <row r="23" spans="1:7" x14ac:dyDescent="0.25">
      <c r="A23">
        <v>12</v>
      </c>
      <c r="B23" s="13">
        <v>1441.16</v>
      </c>
      <c r="C23" s="2">
        <v>2007</v>
      </c>
      <c r="D23" s="18" t="s">
        <v>237</v>
      </c>
      <c r="E23" s="12">
        <v>672</v>
      </c>
      <c r="F23" s="12">
        <v>198</v>
      </c>
      <c r="G23" s="39">
        <f>E23+F23</f>
        <v>870</v>
      </c>
    </row>
    <row r="24" spans="1:7" x14ac:dyDescent="0.25">
      <c r="A24">
        <v>13</v>
      </c>
      <c r="B24" s="13">
        <v>1335.96</v>
      </c>
      <c r="C24" s="2">
        <v>2006</v>
      </c>
      <c r="D24" s="18" t="s">
        <v>238</v>
      </c>
      <c r="E24" s="12">
        <v>318</v>
      </c>
      <c r="F24" s="12">
        <v>266</v>
      </c>
      <c r="G24" s="39">
        <f t="shared" ref="G24:G33" si="0">E24+F24</f>
        <v>584</v>
      </c>
    </row>
    <row r="25" spans="1:7" x14ac:dyDescent="0.25">
      <c r="A25">
        <v>14</v>
      </c>
      <c r="B25" s="13">
        <v>1369.17</v>
      </c>
      <c r="C25" s="2">
        <v>2005</v>
      </c>
      <c r="D25" s="18" t="s">
        <v>239</v>
      </c>
      <c r="E25" s="12">
        <v>49</v>
      </c>
      <c r="F25" s="12">
        <v>5</v>
      </c>
      <c r="G25" s="39">
        <f t="shared" si="0"/>
        <v>54</v>
      </c>
    </row>
    <row r="26" spans="1:7" x14ac:dyDescent="0.25">
      <c r="A26">
        <v>15</v>
      </c>
      <c r="B26" s="13">
        <v>1488.4</v>
      </c>
      <c r="C26" s="2">
        <v>2004</v>
      </c>
      <c r="D26" s="18" t="s">
        <v>240</v>
      </c>
      <c r="E26" s="12">
        <v>37</v>
      </c>
      <c r="F26" s="12">
        <v>101</v>
      </c>
      <c r="G26" s="39">
        <f t="shared" si="0"/>
        <v>138</v>
      </c>
    </row>
    <row r="27" spans="1:7" x14ac:dyDescent="0.25">
      <c r="A27">
        <v>16</v>
      </c>
      <c r="B27" s="13">
        <v>1363.64</v>
      </c>
      <c r="C27" s="2">
        <v>2003</v>
      </c>
      <c r="D27" s="18" t="s">
        <v>241</v>
      </c>
      <c r="E27" s="12">
        <v>55</v>
      </c>
      <c r="F27" s="12">
        <v>56</v>
      </c>
      <c r="G27" s="39">
        <f t="shared" si="0"/>
        <v>111</v>
      </c>
    </row>
    <row r="28" spans="1:7" x14ac:dyDescent="0.25">
      <c r="A28">
        <v>17</v>
      </c>
      <c r="B28" s="31">
        <v>1299.8399999999999</v>
      </c>
      <c r="C28" s="2">
        <v>2002</v>
      </c>
      <c r="D28" s="18" t="s">
        <v>242</v>
      </c>
      <c r="E28" s="12">
        <v>143</v>
      </c>
      <c r="F28" s="12">
        <v>17</v>
      </c>
      <c r="G28" s="39">
        <f t="shared" si="0"/>
        <v>160</v>
      </c>
    </row>
    <row r="29" spans="1:7" x14ac:dyDescent="0.25">
      <c r="A29">
        <v>18</v>
      </c>
      <c r="B29" s="31">
        <v>1253.8900000000001</v>
      </c>
      <c r="C29" s="2">
        <v>2001</v>
      </c>
      <c r="D29" s="18" t="s">
        <v>243</v>
      </c>
      <c r="E29" s="12">
        <v>53</v>
      </c>
      <c r="F29" s="12">
        <v>2</v>
      </c>
      <c r="G29" s="39">
        <f t="shared" si="0"/>
        <v>55</v>
      </c>
    </row>
    <row r="30" spans="1:7" x14ac:dyDescent="0.25">
      <c r="A30">
        <v>19</v>
      </c>
      <c r="B30" s="31">
        <v>1162.53</v>
      </c>
      <c r="C30" s="2">
        <v>2000</v>
      </c>
      <c r="D30" s="18" t="s">
        <v>688</v>
      </c>
      <c r="E30" s="12">
        <v>0</v>
      </c>
      <c r="F30" s="12">
        <v>0</v>
      </c>
      <c r="G30" s="39">
        <f t="shared" si="0"/>
        <v>0</v>
      </c>
    </row>
    <row r="31" spans="1:7" x14ac:dyDescent="0.25">
      <c r="A31">
        <v>20</v>
      </c>
      <c r="B31" s="31">
        <v>1001.25</v>
      </c>
      <c r="C31" s="2">
        <v>1999</v>
      </c>
      <c r="D31" s="18" t="s">
        <v>684</v>
      </c>
      <c r="E31" s="12">
        <v>292</v>
      </c>
      <c r="F31" s="12">
        <v>297</v>
      </c>
      <c r="G31" s="39">
        <f t="shared" si="0"/>
        <v>589</v>
      </c>
    </row>
    <row r="32" spans="1:7" x14ac:dyDescent="0.25">
      <c r="A32">
        <v>21</v>
      </c>
      <c r="B32" s="31">
        <v>946.3</v>
      </c>
      <c r="C32" s="2">
        <v>1998</v>
      </c>
      <c r="D32" s="18" t="s">
        <v>689</v>
      </c>
      <c r="E32" s="12">
        <v>357</v>
      </c>
      <c r="F32" s="12">
        <v>59</v>
      </c>
      <c r="G32" s="39">
        <f t="shared" si="0"/>
        <v>416</v>
      </c>
    </row>
    <row r="33" spans="1:8" x14ac:dyDescent="0.25">
      <c r="A33">
        <v>22</v>
      </c>
      <c r="B33" s="32">
        <v>942.18</v>
      </c>
      <c r="C33" s="2">
        <v>1997</v>
      </c>
      <c r="D33" s="18" t="s">
        <v>691</v>
      </c>
      <c r="E33" s="12">
        <v>5</v>
      </c>
      <c r="F33" s="12">
        <v>0</v>
      </c>
      <c r="G33" s="39">
        <f t="shared" si="0"/>
        <v>5</v>
      </c>
    </row>
    <row r="34" spans="1:8" x14ac:dyDescent="0.25">
      <c r="A34">
        <v>23</v>
      </c>
      <c r="B34" s="32">
        <v>893.49</v>
      </c>
      <c r="C34" s="2">
        <v>1996</v>
      </c>
      <c r="D34" s="18" t="s">
        <v>683</v>
      </c>
      <c r="E34" s="12">
        <v>69</v>
      </c>
      <c r="F34" s="12">
        <v>0</v>
      </c>
      <c r="G34" s="39">
        <f>E34+F34</f>
        <v>69</v>
      </c>
    </row>
    <row r="35" spans="1:8" x14ac:dyDescent="0.25">
      <c r="A35">
        <v>24</v>
      </c>
      <c r="B35" s="32">
        <v>839.53</v>
      </c>
      <c r="C35" s="2">
        <v>1995</v>
      </c>
      <c r="D35" t="s">
        <v>56</v>
      </c>
      <c r="E35" s="37">
        <f>SUM(E21:E34)</f>
        <v>2050</v>
      </c>
      <c r="F35" s="37">
        <f>SUM(F21:F34)</f>
        <v>1001</v>
      </c>
      <c r="G35" s="37">
        <f>SUM(G21:G34)</f>
        <v>3051</v>
      </c>
    </row>
    <row r="36" spans="1:8" x14ac:dyDescent="0.25">
      <c r="A36">
        <v>25</v>
      </c>
      <c r="B36" s="32">
        <v>467.04</v>
      </c>
      <c r="C36" s="2">
        <v>1994</v>
      </c>
    </row>
    <row r="37" spans="1:8" x14ac:dyDescent="0.25">
      <c r="A37">
        <v>26</v>
      </c>
      <c r="B37" s="32">
        <v>449.64</v>
      </c>
      <c r="C37" s="2">
        <v>1993</v>
      </c>
    </row>
    <row r="38" spans="1:8" x14ac:dyDescent="0.25">
      <c r="A38">
        <v>27</v>
      </c>
      <c r="B38" s="32">
        <v>446.13</v>
      </c>
      <c r="C38" s="2">
        <v>1992</v>
      </c>
      <c r="H38" s="12"/>
    </row>
    <row r="39" spans="1:8" x14ac:dyDescent="0.25">
      <c r="A39">
        <v>28</v>
      </c>
      <c r="B39" s="32">
        <v>422.3</v>
      </c>
      <c r="C39" s="2">
        <v>1991</v>
      </c>
      <c r="H39" s="12"/>
    </row>
    <row r="40" spans="1:8" x14ac:dyDescent="0.25">
      <c r="A40">
        <v>29</v>
      </c>
      <c r="B40" s="32">
        <v>442.51</v>
      </c>
      <c r="C40" s="2">
        <v>1990</v>
      </c>
      <c r="H40" s="12"/>
    </row>
    <row r="41" spans="1:8" x14ac:dyDescent="0.25">
      <c r="A41">
        <v>30</v>
      </c>
      <c r="B41" s="32">
        <v>399.79</v>
      </c>
      <c r="C41" s="2">
        <v>1989</v>
      </c>
      <c r="H41" s="12"/>
    </row>
    <row r="42" spans="1:8" x14ac:dyDescent="0.25">
      <c r="A42">
        <v>31</v>
      </c>
      <c r="B42" s="32">
        <v>482.97</v>
      </c>
      <c r="C42" s="2">
        <v>1988</v>
      </c>
      <c r="H42" s="12"/>
    </row>
    <row r="43" spans="1:8" x14ac:dyDescent="0.25">
      <c r="A43">
        <v>32</v>
      </c>
      <c r="B43" s="32">
        <v>410.12</v>
      </c>
      <c r="C43" s="2">
        <v>1987</v>
      </c>
      <c r="H43" s="12"/>
    </row>
    <row r="44" spans="1:8" x14ac:dyDescent="0.25">
      <c r="A44">
        <v>33</v>
      </c>
      <c r="B44" s="32">
        <v>368.91</v>
      </c>
      <c r="C44" s="2">
        <v>1986</v>
      </c>
      <c r="H44" s="12"/>
    </row>
    <row r="45" spans="1:8" x14ac:dyDescent="0.25">
      <c r="A45">
        <v>34</v>
      </c>
      <c r="B45" s="32">
        <v>407.18</v>
      </c>
      <c r="C45" s="2">
        <v>1985</v>
      </c>
      <c r="H45" s="12"/>
    </row>
    <row r="46" spans="1:8" x14ac:dyDescent="0.25">
      <c r="A46">
        <v>35</v>
      </c>
      <c r="B46" s="32">
        <v>393.04</v>
      </c>
      <c r="C46" s="2">
        <v>1984</v>
      </c>
      <c r="H46" s="12"/>
    </row>
    <row r="47" spans="1:8" x14ac:dyDescent="0.25">
      <c r="A47">
        <v>36</v>
      </c>
      <c r="B47" s="32">
        <v>381.07</v>
      </c>
      <c r="C47" s="2">
        <v>1983</v>
      </c>
      <c r="H47" s="12"/>
    </row>
    <row r="48" spans="1:8" x14ac:dyDescent="0.25">
      <c r="A48">
        <v>37</v>
      </c>
      <c r="B48" s="32">
        <v>354.9</v>
      </c>
      <c r="C48" s="2">
        <v>1982</v>
      </c>
      <c r="F48" s="18"/>
      <c r="H48" s="12"/>
    </row>
    <row r="49" spans="1:8" x14ac:dyDescent="0.25">
      <c r="A49">
        <v>38</v>
      </c>
      <c r="B49" s="32">
        <v>338.9</v>
      </c>
      <c r="C49" s="2">
        <v>1981</v>
      </c>
      <c r="F49" s="18"/>
      <c r="H49" s="12"/>
    </row>
    <row r="50" spans="1:8" x14ac:dyDescent="0.25">
      <c r="A50">
        <v>39</v>
      </c>
      <c r="B50" s="32">
        <v>278.75</v>
      </c>
      <c r="C50" s="2">
        <v>1980</v>
      </c>
      <c r="F50" s="18"/>
      <c r="H50" s="12"/>
    </row>
    <row r="51" spans="1:8" x14ac:dyDescent="0.25">
      <c r="A51">
        <v>40</v>
      </c>
      <c r="B51" s="32">
        <v>243.02</v>
      </c>
      <c r="C51" s="2">
        <v>1979</v>
      </c>
      <c r="F51" s="18"/>
      <c r="H51" s="12"/>
    </row>
    <row r="52" spans="1:8" x14ac:dyDescent="0.25">
      <c r="A52">
        <v>41</v>
      </c>
      <c r="B52" s="32">
        <v>220.59</v>
      </c>
      <c r="C52" s="2">
        <v>1978</v>
      </c>
      <c r="F52" s="18"/>
    </row>
    <row r="53" spans="1:8" x14ac:dyDescent="0.25">
      <c r="A53">
        <v>42</v>
      </c>
      <c r="B53" s="32">
        <v>206.02</v>
      </c>
      <c r="C53" s="2">
        <v>1977</v>
      </c>
      <c r="F53" s="18"/>
    </row>
    <row r="54" spans="1:8" x14ac:dyDescent="0.25">
      <c r="A54">
        <v>43</v>
      </c>
      <c r="B54" s="32">
        <v>193.79</v>
      </c>
      <c r="C54" s="2">
        <v>1976</v>
      </c>
      <c r="F54" s="18"/>
    </row>
    <row r="55" spans="1:8" x14ac:dyDescent="0.25">
      <c r="A55">
        <v>44</v>
      </c>
      <c r="B55" s="32">
        <v>180.59</v>
      </c>
      <c r="C55" s="2">
        <v>1975</v>
      </c>
    </row>
    <row r="56" spans="1:8" x14ac:dyDescent="0.25">
      <c r="A56">
        <v>45</v>
      </c>
      <c r="B56" s="32">
        <v>155.99</v>
      </c>
      <c r="C56" s="2">
        <v>1974</v>
      </c>
    </row>
    <row r="57" spans="1:8" x14ac:dyDescent="0.25">
      <c r="B57" s="32"/>
      <c r="C57" s="2"/>
    </row>
    <row r="58" spans="1:8" x14ac:dyDescent="0.25">
      <c r="B58" s="32"/>
      <c r="C58" s="2"/>
    </row>
    <row r="59" spans="1:8" x14ac:dyDescent="0.25">
      <c r="B59" s="32"/>
      <c r="C59" s="2"/>
    </row>
  </sheetData>
  <customSheetViews>
    <customSheetView guid="{DEF9EA2D-EECC-4092-9C86-17CCB814CCD7}">
      <selection activeCell="C24" sqref="C24"/>
      <pageMargins left="0.5" right="0.5" top="0.75" bottom="0.75" header="0.5" footer="0.5"/>
      <printOptions horizontalCentered="1"/>
      <pageSetup scale="90" orientation="portrait" r:id="rId1"/>
      <headerFooter alignWithMargins="0">
        <oddHeader>&amp;R&amp;A</oddHeader>
        <oddFooter>&amp;C&amp;F&amp;Rtlk &amp;D</oddFooter>
      </headerFooter>
    </customSheetView>
  </customSheetViews>
  <phoneticPr fontId="0" type="noConversion"/>
  <printOptions horizontalCentered="1"/>
  <pageMargins left="0.5" right="0.5" top="0.75" bottom="0.75" header="0.5" footer="0.5"/>
  <pageSetup scale="90" orientation="portrait" r:id="rId2"/>
  <headerFooter scaleWithDoc="0">
    <oddHeader>&amp;R&amp;A</oddHeader>
    <oddFooter>&amp;L&amp;"Geneva,Regular"&amp;F / &amp;A</oddFooter>
  </headerFooter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C000"/>
    <pageSetUpPr autoPageBreaks="0"/>
  </sheetPr>
  <dimension ref="A1:S287"/>
  <sheetViews>
    <sheetView tabSelected="1" view="pageBreakPreview" topLeftCell="A32" zoomScale="60" zoomScaleNormal="100" workbookViewId="0">
      <selection activeCell="A4" sqref="A4"/>
    </sheetView>
  </sheetViews>
  <sheetFormatPr defaultRowHeight="13.2" x14ac:dyDescent="0.25"/>
  <cols>
    <col min="1" max="1" width="3.33203125" customWidth="1"/>
    <col min="2" max="2" width="28" customWidth="1"/>
    <col min="3" max="3" width="14.109375" customWidth="1"/>
    <col min="4" max="4" width="13.33203125" customWidth="1"/>
    <col min="5" max="5" width="15.44140625" customWidth="1"/>
    <col min="6" max="6" width="16.6640625" customWidth="1"/>
    <col min="7" max="7" width="16.109375" customWidth="1"/>
    <col min="8" max="8" width="11.88671875" customWidth="1"/>
    <col min="9" max="9" width="12.6640625" bestFit="1" customWidth="1"/>
    <col min="10" max="10" width="14.33203125" bestFit="1" customWidth="1"/>
    <col min="11" max="11" width="14.33203125" customWidth="1"/>
    <col min="12" max="12" width="26.77734375" customWidth="1"/>
    <col min="13" max="13" width="64" style="18" customWidth="1"/>
    <col min="14" max="14" width="8.109375" style="18" customWidth="1"/>
    <col min="15" max="15" width="13.109375" style="18" customWidth="1"/>
    <col min="16" max="16" width="17.109375" style="18" customWidth="1"/>
    <col min="17" max="17" width="18.44140625" style="18" customWidth="1"/>
    <col min="18" max="18" width="18.44140625" style="42" customWidth="1"/>
    <col min="19" max="19" width="13" bestFit="1" customWidth="1"/>
  </cols>
  <sheetData>
    <row r="1" spans="2:18" x14ac:dyDescent="0.25">
      <c r="B1" t="s">
        <v>52</v>
      </c>
      <c r="M1" s="122" t="s">
        <v>658</v>
      </c>
      <c r="N1" s="108"/>
      <c r="O1" s="108"/>
      <c r="P1" s="108"/>
      <c r="Q1" s="108"/>
      <c r="R1" s="108"/>
    </row>
    <row r="2" spans="2:18" x14ac:dyDescent="0.25">
      <c r="B2" t="s">
        <v>54</v>
      </c>
      <c r="R2" s="18"/>
    </row>
    <row r="3" spans="2:18" ht="15" x14ac:dyDescent="0.25">
      <c r="B3" t="s">
        <v>60</v>
      </c>
      <c r="M3" s="112" t="s">
        <v>659</v>
      </c>
      <c r="N3" s="112" t="s">
        <v>524</v>
      </c>
      <c r="O3" s="108"/>
      <c r="P3" s="108"/>
      <c r="Q3" s="108"/>
      <c r="R3" s="108"/>
    </row>
    <row r="4" spans="2:18" x14ac:dyDescent="0.25">
      <c r="B4" s="21" t="s">
        <v>627</v>
      </c>
      <c r="L4" s="18"/>
      <c r="R4" s="18"/>
    </row>
    <row r="5" spans="2:18" s="43" customFormat="1" ht="15.75" customHeight="1" x14ac:dyDescent="0.25">
      <c r="L5" s="132"/>
      <c r="M5" s="133"/>
      <c r="N5" s="134"/>
      <c r="O5" s="135" t="s">
        <v>97</v>
      </c>
      <c r="P5" s="135" t="s">
        <v>98</v>
      </c>
      <c r="Q5" s="135" t="s">
        <v>99</v>
      </c>
      <c r="R5" s="136" t="s">
        <v>0</v>
      </c>
    </row>
    <row r="6" spans="2:18" s="43" customFormat="1" ht="16.5" customHeight="1" x14ac:dyDescent="0.25">
      <c r="B6" s="43" t="s">
        <v>61</v>
      </c>
      <c r="C6" s="4">
        <v>43465</v>
      </c>
      <c r="D6" s="4">
        <v>43465</v>
      </c>
      <c r="E6" s="2" t="s">
        <v>28</v>
      </c>
      <c r="F6" s="2" t="s">
        <v>29</v>
      </c>
      <c r="G6" s="2" t="s">
        <v>30</v>
      </c>
      <c r="L6" s="137"/>
      <c r="M6" s="138"/>
      <c r="N6" s="139"/>
      <c r="O6" s="140"/>
      <c r="P6" s="140" t="s">
        <v>208</v>
      </c>
      <c r="Q6" s="140" t="s">
        <v>208</v>
      </c>
      <c r="R6" s="141"/>
    </row>
    <row r="7" spans="2:18" s="43" customFormat="1" ht="16.5" customHeight="1" x14ac:dyDescent="0.25">
      <c r="B7" s="64" t="s">
        <v>31</v>
      </c>
      <c r="C7" s="29" t="s">
        <v>29</v>
      </c>
      <c r="D7" s="29" t="s">
        <v>30</v>
      </c>
      <c r="E7" s="29" t="s">
        <v>32</v>
      </c>
      <c r="F7" s="29" t="s">
        <v>33</v>
      </c>
      <c r="G7" s="29" t="s">
        <v>33</v>
      </c>
      <c r="L7" s="142" t="s">
        <v>331</v>
      </c>
      <c r="M7" s="143" t="s">
        <v>100</v>
      </c>
      <c r="N7" s="143" t="s">
        <v>101</v>
      </c>
      <c r="O7" s="144"/>
      <c r="P7" s="144"/>
      <c r="Q7" s="144"/>
      <c r="R7" s="144"/>
    </row>
    <row r="8" spans="2:18" ht="15" x14ac:dyDescent="0.25">
      <c r="L8" s="142" t="s">
        <v>482</v>
      </c>
      <c r="M8" s="143" t="s">
        <v>193</v>
      </c>
      <c r="N8" s="143" t="s">
        <v>324</v>
      </c>
      <c r="O8" s="144"/>
      <c r="P8" s="145">
        <v>88950.67</v>
      </c>
      <c r="Q8" s="145">
        <v>2275415.7200000002</v>
      </c>
      <c r="R8" s="145">
        <v>2364366.39</v>
      </c>
    </row>
    <row r="9" spans="2:18" ht="15" x14ac:dyDescent="0.25">
      <c r="B9" s="10" t="s">
        <v>77</v>
      </c>
      <c r="C9" s="45">
        <f>SUMIF($M:$M,$B9,P:P)</f>
        <v>333517.93</v>
      </c>
      <c r="D9" s="45">
        <f>SUMIF($M:$M,$B9,Q:Q)</f>
        <v>1093179.3700000001</v>
      </c>
      <c r="E9" s="19">
        <f>SUMIF($C$55:$C$80,$B9,$J$55:$J$80)</f>
        <v>9.7971180555555551E-2</v>
      </c>
      <c r="F9" s="5">
        <f>ROUND(C9*$E9,0)</f>
        <v>32675</v>
      </c>
      <c r="G9" s="5">
        <f>ROUND(D9*$E9,0)</f>
        <v>107100</v>
      </c>
      <c r="L9" s="142" t="s">
        <v>511</v>
      </c>
      <c r="M9" s="143" t="s">
        <v>512</v>
      </c>
      <c r="N9" s="143" t="s">
        <v>324</v>
      </c>
      <c r="O9" s="144"/>
      <c r="P9" s="145">
        <v>0</v>
      </c>
      <c r="Q9" s="145">
        <v>0</v>
      </c>
      <c r="R9" s="145">
        <v>0</v>
      </c>
    </row>
    <row r="10" spans="2:18" ht="15" x14ac:dyDescent="0.25">
      <c r="B10" s="10" t="s">
        <v>78</v>
      </c>
      <c r="C10" s="45">
        <f>SUMIF($M:$M,$B10,P:P)</f>
        <v>9899.61</v>
      </c>
      <c r="D10" s="45">
        <f>SUMIF($M:$M,$B10,Q:Q)</f>
        <v>223041.91</v>
      </c>
      <c r="E10" s="19"/>
      <c r="F10" s="5"/>
      <c r="G10" s="5"/>
      <c r="L10" s="142" t="s">
        <v>332</v>
      </c>
      <c r="M10" s="143" t="s">
        <v>88</v>
      </c>
      <c r="N10" s="143" t="s">
        <v>324</v>
      </c>
      <c r="O10" s="144"/>
      <c r="P10" s="145">
        <v>733217.5</v>
      </c>
      <c r="Q10" s="145">
        <v>2396528.5299999998</v>
      </c>
      <c r="R10" s="145">
        <v>3129746.03</v>
      </c>
    </row>
    <row r="11" spans="2:18" ht="15" x14ac:dyDescent="0.25">
      <c r="B11" s="10"/>
      <c r="C11" s="45"/>
      <c r="D11" s="45"/>
      <c r="E11" s="19"/>
      <c r="F11" s="5"/>
      <c r="G11" s="5"/>
      <c r="L11" s="142" t="s">
        <v>333</v>
      </c>
      <c r="M11" s="143" t="s">
        <v>219</v>
      </c>
      <c r="N11" s="143" t="s">
        <v>324</v>
      </c>
      <c r="O11" s="144"/>
      <c r="P11" s="145">
        <v>0</v>
      </c>
      <c r="Q11" s="145"/>
      <c r="R11" s="145">
        <v>0</v>
      </c>
    </row>
    <row r="12" spans="2:18" ht="15" x14ac:dyDescent="0.25">
      <c r="B12" s="11" t="s">
        <v>527</v>
      </c>
      <c r="C12" s="45">
        <f>SUMIF($M:$M,$B12,P:P)</f>
        <v>1699509.35</v>
      </c>
      <c r="D12" s="45">
        <f>SUMIF($M:$M,$B12,Q:Q)</f>
        <v>1471375.79</v>
      </c>
      <c r="E12" s="19"/>
      <c r="F12" s="5"/>
      <c r="G12" s="5"/>
      <c r="L12" s="142" t="s">
        <v>334</v>
      </c>
      <c r="M12" s="143" t="s">
        <v>160</v>
      </c>
      <c r="N12" s="143" t="s">
        <v>324</v>
      </c>
      <c r="O12" s="144"/>
      <c r="P12" s="145">
        <v>812999.9</v>
      </c>
      <c r="Q12" s="145">
        <v>1843369.67</v>
      </c>
      <c r="R12" s="145">
        <v>2656369.5699999998</v>
      </c>
    </row>
    <row r="13" spans="2:18" ht="18.75" customHeight="1" x14ac:dyDescent="0.25">
      <c r="B13" s="11" t="s">
        <v>528</v>
      </c>
      <c r="C13" s="45">
        <f>SUMIF($M:$M,$B13,P:P)</f>
        <v>50747.39</v>
      </c>
      <c r="D13" s="45">
        <f>SUMIF($M:$M,$B13,Q:Q)</f>
        <v>437640.59</v>
      </c>
      <c r="E13" s="19"/>
      <c r="F13" s="5"/>
      <c r="G13" s="5"/>
      <c r="L13" s="142" t="s">
        <v>335</v>
      </c>
      <c r="M13" s="143" t="s">
        <v>102</v>
      </c>
      <c r="N13" s="143" t="s">
        <v>324</v>
      </c>
      <c r="O13" s="144"/>
      <c r="P13" s="145">
        <v>30745.17</v>
      </c>
      <c r="Q13" s="145">
        <v>453278.28</v>
      </c>
      <c r="R13" s="145">
        <v>484023.45</v>
      </c>
    </row>
    <row r="14" spans="2:18" ht="15" customHeight="1" x14ac:dyDescent="0.25">
      <c r="B14" s="24" t="s">
        <v>96</v>
      </c>
      <c r="C14" s="20">
        <f>SUM(C12:C13)</f>
        <v>1750256.74</v>
      </c>
      <c r="D14" s="20">
        <f>SUM(D12:D13)</f>
        <v>1909016.3800000001</v>
      </c>
      <c r="E14" s="19">
        <f>SUMIF($C$55:$C$80,$B14,$J$55:$J$80)</f>
        <v>0.10091049107142858</v>
      </c>
      <c r="F14" s="5">
        <f>ROUND(C14*$E14,0)</f>
        <v>176619</v>
      </c>
      <c r="G14" s="5">
        <f>ROUND(D14*$E14,0)</f>
        <v>192640</v>
      </c>
      <c r="L14" s="142" t="s">
        <v>336</v>
      </c>
      <c r="M14" s="143" t="s">
        <v>77</v>
      </c>
      <c r="N14" s="143" t="s">
        <v>324</v>
      </c>
      <c r="O14" s="144"/>
      <c r="P14" s="145">
        <v>333517.93</v>
      </c>
      <c r="Q14" s="145">
        <v>1093179.3700000001</v>
      </c>
      <c r="R14" s="145">
        <v>1426697.3</v>
      </c>
    </row>
    <row r="15" spans="2:18" ht="17.399999999999999" customHeight="1" x14ac:dyDescent="0.25">
      <c r="B15" s="11"/>
      <c r="C15" s="45"/>
      <c r="D15" s="45"/>
      <c r="E15" s="19"/>
      <c r="F15" s="5"/>
      <c r="G15" s="5"/>
      <c r="L15" s="142" t="s">
        <v>660</v>
      </c>
      <c r="M15" s="143" t="s">
        <v>664</v>
      </c>
      <c r="N15" s="143" t="s">
        <v>324</v>
      </c>
      <c r="O15" s="144"/>
      <c r="P15" s="145">
        <v>10964.91</v>
      </c>
      <c r="Q15" s="145"/>
      <c r="R15" s="145">
        <v>10964.91</v>
      </c>
    </row>
    <row r="16" spans="2:18" ht="20.25" customHeight="1" x14ac:dyDescent="0.25">
      <c r="B16" s="10" t="s">
        <v>79</v>
      </c>
      <c r="C16" s="45">
        <f t="shared" ref="C16:D18" si="0">SUMIF($M:$M,$B16,P:P)</f>
        <v>96281.09</v>
      </c>
      <c r="D16" s="45">
        <f t="shared" si="0"/>
        <v>1315066.95</v>
      </c>
      <c r="E16" s="19"/>
      <c r="F16" s="5"/>
      <c r="G16" s="5"/>
      <c r="L16" s="142" t="s">
        <v>337</v>
      </c>
      <c r="M16" s="143" t="s">
        <v>525</v>
      </c>
      <c r="N16" s="143" t="s">
        <v>325</v>
      </c>
      <c r="O16" s="144"/>
      <c r="P16" s="145"/>
      <c r="Q16" s="145">
        <v>0</v>
      </c>
      <c r="R16" s="145">
        <v>0</v>
      </c>
    </row>
    <row r="17" spans="2:18" ht="15" x14ac:dyDescent="0.25">
      <c r="B17" s="10" t="s">
        <v>92</v>
      </c>
      <c r="C17" s="45">
        <f t="shared" si="0"/>
        <v>0</v>
      </c>
      <c r="D17" s="45">
        <f t="shared" si="0"/>
        <v>303.04000000000002</v>
      </c>
      <c r="E17" s="19"/>
      <c r="F17" s="5"/>
      <c r="G17" s="5"/>
      <c r="L17" s="142" t="s">
        <v>338</v>
      </c>
      <c r="M17" s="143" t="s">
        <v>78</v>
      </c>
      <c r="N17" s="143" t="s">
        <v>324</v>
      </c>
      <c r="O17" s="144"/>
      <c r="P17" s="145">
        <v>9899.61</v>
      </c>
      <c r="Q17" s="145">
        <v>223041.91</v>
      </c>
      <c r="R17" s="145">
        <v>232941.52000000002</v>
      </c>
    </row>
    <row r="18" spans="2:18" ht="15" customHeight="1" x14ac:dyDescent="0.25">
      <c r="B18" s="10" t="s">
        <v>93</v>
      </c>
      <c r="C18" s="45">
        <f t="shared" si="0"/>
        <v>0</v>
      </c>
      <c r="D18" s="45">
        <f t="shared" si="0"/>
        <v>23086.63</v>
      </c>
      <c r="E18" s="19"/>
      <c r="F18" s="5"/>
      <c r="G18" s="5"/>
      <c r="L18" s="142" t="s">
        <v>339</v>
      </c>
      <c r="M18" s="143" t="s">
        <v>526</v>
      </c>
      <c r="N18" s="143" t="s">
        <v>325</v>
      </c>
      <c r="O18" s="144"/>
      <c r="P18" s="145"/>
      <c r="Q18" s="145">
        <v>0</v>
      </c>
      <c r="R18" s="145">
        <v>0</v>
      </c>
    </row>
    <row r="19" spans="2:18" ht="15" x14ac:dyDescent="0.25">
      <c r="B19" s="25" t="s">
        <v>68</v>
      </c>
      <c r="C19" s="20">
        <f>SUM(C16:C18)</f>
        <v>96281.09</v>
      </c>
      <c r="D19" s="20">
        <f>SUM(D16:D18)</f>
        <v>1338456.6199999999</v>
      </c>
      <c r="E19" s="19">
        <f>SUMIF($C$55:$C$80,$B19,$J$55:$J$80)</f>
        <v>0.2</v>
      </c>
      <c r="F19" s="5">
        <f>ROUND(C19*$E19,0)</f>
        <v>19256</v>
      </c>
      <c r="G19" s="5">
        <f>ROUND(D19*$E19,0)</f>
        <v>267691</v>
      </c>
      <c r="L19" s="142" t="s">
        <v>340</v>
      </c>
      <c r="M19" s="143" t="s">
        <v>105</v>
      </c>
      <c r="N19" s="143" t="s">
        <v>324</v>
      </c>
      <c r="O19" s="144"/>
      <c r="P19" s="145">
        <v>80369.33</v>
      </c>
      <c r="Q19" s="145">
        <v>2421570.79</v>
      </c>
      <c r="R19" s="145">
        <v>2501940.12</v>
      </c>
    </row>
    <row r="20" spans="2:18" ht="15.75" customHeight="1" x14ac:dyDescent="0.25">
      <c r="B20" s="10"/>
      <c r="C20" s="45"/>
      <c r="D20" s="45"/>
      <c r="E20" s="19"/>
      <c r="F20" s="5"/>
      <c r="G20" s="5"/>
      <c r="L20" s="142" t="s">
        <v>341</v>
      </c>
      <c r="M20" s="143" t="s">
        <v>106</v>
      </c>
      <c r="N20" s="143" t="s">
        <v>324</v>
      </c>
      <c r="O20" s="144"/>
      <c r="P20" s="145"/>
      <c r="Q20" s="145">
        <v>2104.83</v>
      </c>
      <c r="R20" s="145">
        <v>2104.83</v>
      </c>
    </row>
    <row r="21" spans="2:18" ht="15" x14ac:dyDescent="0.25">
      <c r="B21" s="10" t="s">
        <v>212</v>
      </c>
      <c r="C21" s="45">
        <f t="shared" ref="C21:D25" si="1">SUMIF($M:$M,$B21,P:P)</f>
        <v>168778.79</v>
      </c>
      <c r="D21" s="45">
        <f t="shared" si="1"/>
        <v>773287.28</v>
      </c>
      <c r="E21" s="19">
        <f>SUMIF($C$55:$C$80,$B21,$J$55:$J$80)</f>
        <v>0.18924424107142856</v>
      </c>
      <c r="F21" s="5">
        <f>ROUND(C21*$E21,0)</f>
        <v>31940</v>
      </c>
      <c r="G21" s="5">
        <f>ROUND(D21*$E21,0)</f>
        <v>146340</v>
      </c>
      <c r="L21" s="142" t="s">
        <v>342</v>
      </c>
      <c r="M21" s="143" t="s">
        <v>103</v>
      </c>
      <c r="N21" s="143" t="s">
        <v>324</v>
      </c>
      <c r="O21" s="144"/>
      <c r="P21" s="145">
        <v>131478.53</v>
      </c>
      <c r="Q21" s="145">
        <v>702236.59</v>
      </c>
      <c r="R21" s="145">
        <v>833715.12</v>
      </c>
    </row>
    <row r="22" spans="2:18" ht="15" x14ac:dyDescent="0.25">
      <c r="B22" s="11" t="s">
        <v>80</v>
      </c>
      <c r="C22" s="45">
        <f t="shared" si="1"/>
        <v>41159.68</v>
      </c>
      <c r="D22" s="45">
        <f t="shared" si="1"/>
        <v>856006.58</v>
      </c>
      <c r="E22" s="19">
        <f>SUMIF($C$55:$C$80,$B22,$J$55:$J$80)</f>
        <v>6.1696116071428567E-2</v>
      </c>
      <c r="F22" s="5">
        <f t="shared" ref="F22:G25" si="2">ROUND(C22*$E22,0)</f>
        <v>2539</v>
      </c>
      <c r="G22" s="5">
        <f t="shared" si="2"/>
        <v>52812</v>
      </c>
      <c r="L22" s="142" t="s">
        <v>513</v>
      </c>
      <c r="M22" s="143" t="s">
        <v>577</v>
      </c>
      <c r="N22" s="143" t="s">
        <v>324</v>
      </c>
      <c r="O22" s="144"/>
      <c r="P22" s="145"/>
      <c r="Q22" s="145">
        <v>0</v>
      </c>
      <c r="R22" s="145">
        <v>0</v>
      </c>
    </row>
    <row r="23" spans="2:18" ht="15" x14ac:dyDescent="0.25">
      <c r="B23" s="11" t="s">
        <v>81</v>
      </c>
      <c r="C23" s="45">
        <f t="shared" si="1"/>
        <v>18838.830000000002</v>
      </c>
      <c r="D23" s="45">
        <f t="shared" si="1"/>
        <v>468586.06</v>
      </c>
      <c r="E23" s="19">
        <f>SUMIF($C$55:$C$80,$B23,$J$55:$J$80)</f>
        <v>0.14132696428571428</v>
      </c>
      <c r="F23" s="5">
        <f t="shared" si="2"/>
        <v>2662</v>
      </c>
      <c r="G23" s="5">
        <f t="shared" si="2"/>
        <v>66224</v>
      </c>
      <c r="L23" s="142" t="s">
        <v>343</v>
      </c>
      <c r="M23" s="143" t="s">
        <v>107</v>
      </c>
      <c r="N23" s="143" t="s">
        <v>324</v>
      </c>
      <c r="O23" s="144"/>
      <c r="P23" s="145"/>
      <c r="Q23" s="145">
        <v>6629.7</v>
      </c>
      <c r="R23" s="145">
        <v>6629.7</v>
      </c>
    </row>
    <row r="24" spans="2:18" ht="15" x14ac:dyDescent="0.25">
      <c r="B24" s="11" t="s">
        <v>82</v>
      </c>
      <c r="C24" s="45">
        <f t="shared" si="1"/>
        <v>688151</v>
      </c>
      <c r="D24" s="45">
        <f t="shared" si="1"/>
        <v>1931400.52</v>
      </c>
      <c r="E24" s="19">
        <f>SUMIF($C$55:$C$80,$B24,$J$55:$J$80)</f>
        <v>0.41683195403871143</v>
      </c>
      <c r="F24" s="5">
        <f t="shared" si="2"/>
        <v>286843</v>
      </c>
      <c r="G24" s="5">
        <f t="shared" si="2"/>
        <v>805069</v>
      </c>
      <c r="L24" s="142" t="s">
        <v>344</v>
      </c>
      <c r="M24" s="143" t="s">
        <v>108</v>
      </c>
      <c r="N24" s="143" t="s">
        <v>324</v>
      </c>
      <c r="O24" s="144"/>
      <c r="P24" s="145"/>
      <c r="Q24" s="145">
        <v>1992.6</v>
      </c>
      <c r="R24" s="145">
        <v>1992.6</v>
      </c>
    </row>
    <row r="25" spans="2:18" ht="15" x14ac:dyDescent="0.25">
      <c r="B25" s="10" t="s">
        <v>83</v>
      </c>
      <c r="C25" s="45">
        <f t="shared" si="1"/>
        <v>18235.46</v>
      </c>
      <c r="D25" s="45">
        <f t="shared" si="1"/>
        <v>224997.32</v>
      </c>
      <c r="E25" s="19">
        <f>SUMIF($C$55:$C$80,$B25,$J$55:$J$80)</f>
        <v>1</v>
      </c>
      <c r="F25" s="5">
        <f t="shared" si="2"/>
        <v>18235</v>
      </c>
      <c r="G25" s="5">
        <f t="shared" si="2"/>
        <v>224997</v>
      </c>
      <c r="L25" s="142" t="s">
        <v>345</v>
      </c>
      <c r="M25" s="143" t="s">
        <v>109</v>
      </c>
      <c r="N25" s="143" t="s">
        <v>324</v>
      </c>
      <c r="O25" s="144"/>
      <c r="P25" s="145"/>
      <c r="Q25" s="145">
        <v>1012.69</v>
      </c>
      <c r="R25" s="145">
        <v>1012.69</v>
      </c>
    </row>
    <row r="26" spans="2:18" ht="15" customHeight="1" x14ac:dyDescent="0.25">
      <c r="B26" s="10"/>
      <c r="C26" s="45"/>
      <c r="D26" s="45"/>
      <c r="E26" s="19"/>
      <c r="F26" s="5"/>
      <c r="G26" s="5"/>
      <c r="L26" s="142" t="s">
        <v>346</v>
      </c>
      <c r="M26" s="143" t="s">
        <v>104</v>
      </c>
      <c r="N26" s="143" t="s">
        <v>324</v>
      </c>
      <c r="O26" s="144"/>
      <c r="P26" s="145"/>
      <c r="Q26" s="145">
        <v>4202.54</v>
      </c>
      <c r="R26" s="145">
        <v>4202.54</v>
      </c>
    </row>
    <row r="27" spans="2:18" ht="15" x14ac:dyDescent="0.25">
      <c r="B27" s="10" t="s">
        <v>519</v>
      </c>
      <c r="C27" s="45">
        <f>SUMIF($M:$M,$B27,P:P)</f>
        <v>382.07</v>
      </c>
      <c r="D27" s="45">
        <f>SUMIF($M:$M,$B27,Q:Q)</f>
        <v>159030.62</v>
      </c>
      <c r="E27" s="19">
        <f>SUMIF($C$55:$C$80,$B27,$J$55:$J$80)</f>
        <v>0.23343017857142859</v>
      </c>
      <c r="F27" s="5">
        <f>ROUND(C27*$E27,0)</f>
        <v>89</v>
      </c>
      <c r="G27" s="5">
        <f>ROUND(D27*$E27,0)</f>
        <v>37123</v>
      </c>
      <c r="L27" s="142" t="s">
        <v>347</v>
      </c>
      <c r="M27" s="143" t="s">
        <v>527</v>
      </c>
      <c r="N27" s="143" t="s">
        <v>324</v>
      </c>
      <c r="O27" s="144"/>
      <c r="P27" s="145">
        <v>1699509.35</v>
      </c>
      <c r="Q27" s="145">
        <v>1471375.79</v>
      </c>
      <c r="R27" s="145">
        <v>3170885.14</v>
      </c>
    </row>
    <row r="28" spans="2:18" ht="15" x14ac:dyDescent="0.25">
      <c r="B28" s="10"/>
      <c r="C28" s="45"/>
      <c r="D28" s="45"/>
      <c r="E28" s="19"/>
      <c r="F28" s="5"/>
      <c r="G28" s="5"/>
      <c r="L28" s="142" t="s">
        <v>348</v>
      </c>
      <c r="M28" s="143" t="s">
        <v>528</v>
      </c>
      <c r="N28" s="143" t="s">
        <v>324</v>
      </c>
      <c r="O28" s="144"/>
      <c r="P28" s="145">
        <v>50747.39</v>
      </c>
      <c r="Q28" s="145">
        <v>437640.59</v>
      </c>
      <c r="R28" s="145">
        <v>488387.98000000004</v>
      </c>
    </row>
    <row r="29" spans="2:18" ht="15" x14ac:dyDescent="0.25">
      <c r="B29" s="11" t="s">
        <v>84</v>
      </c>
      <c r="C29" s="45">
        <f>SUMIF($M:$M,$B29,P:P)</f>
        <v>28371.279999999999</v>
      </c>
      <c r="D29" s="45">
        <f>SUMIF($M:$M,$B29,Q:Q)</f>
        <v>943956.23</v>
      </c>
      <c r="E29" s="19"/>
      <c r="F29" s="5"/>
      <c r="G29" s="5"/>
      <c r="L29" s="142" t="s">
        <v>349</v>
      </c>
      <c r="M29" s="143" t="s">
        <v>110</v>
      </c>
      <c r="N29" s="143" t="s">
        <v>324</v>
      </c>
      <c r="O29" s="144"/>
      <c r="P29" s="145"/>
      <c r="Q29" s="145">
        <v>11339.09</v>
      </c>
      <c r="R29" s="145">
        <v>11339.09</v>
      </c>
    </row>
    <row r="30" spans="2:18" ht="15" x14ac:dyDescent="0.25">
      <c r="B30" s="11" t="s">
        <v>94</v>
      </c>
      <c r="C30" s="45">
        <f>SUMIF($M:$M,$B30,P:P)</f>
        <v>0</v>
      </c>
      <c r="D30" s="45">
        <f>SUMIF($M:$M,$B30,Q:Q)</f>
        <v>0</v>
      </c>
      <c r="E30" s="19"/>
      <c r="F30" s="5"/>
      <c r="G30" s="5"/>
      <c r="L30" s="142" t="s">
        <v>350</v>
      </c>
      <c r="M30" s="143" t="s">
        <v>249</v>
      </c>
      <c r="N30" s="143" t="s">
        <v>324</v>
      </c>
      <c r="O30" s="144"/>
      <c r="P30" s="145">
        <v>988620.17</v>
      </c>
      <c r="Q30" s="145">
        <v>726195.37</v>
      </c>
      <c r="R30" s="145">
        <v>1714815.54</v>
      </c>
    </row>
    <row r="31" spans="2:18" ht="15" x14ac:dyDescent="0.25">
      <c r="B31" s="24" t="s">
        <v>67</v>
      </c>
      <c r="C31" s="20">
        <f>SUM(C29:C30)</f>
        <v>28371.279999999999</v>
      </c>
      <c r="D31" s="20">
        <f>SUM(D29:D30)</f>
        <v>943956.23</v>
      </c>
      <c r="E31" s="19">
        <f>SUMIF($C$55:$C$80,$B31,$J$55:$J$80)</f>
        <v>0.5</v>
      </c>
      <c r="F31" s="5">
        <f>ROUND(C31*$E31,0)</f>
        <v>14186</v>
      </c>
      <c r="G31" s="5">
        <f>ROUND(D31*$E31,0)</f>
        <v>471978</v>
      </c>
      <c r="L31" s="142" t="s">
        <v>351</v>
      </c>
      <c r="M31" s="143" t="s">
        <v>112</v>
      </c>
      <c r="N31" s="143" t="s">
        <v>324</v>
      </c>
      <c r="O31" s="144"/>
      <c r="P31" s="145">
        <v>21625.22</v>
      </c>
      <c r="Q31" s="145">
        <v>674515.28</v>
      </c>
      <c r="R31" s="145">
        <v>696140.5</v>
      </c>
    </row>
    <row r="32" spans="2:18" ht="15" x14ac:dyDescent="0.25">
      <c r="B32" s="11"/>
      <c r="C32" s="45"/>
      <c r="D32" s="45"/>
      <c r="E32" s="19"/>
      <c r="F32" s="5"/>
      <c r="G32" s="5"/>
      <c r="L32" s="142" t="s">
        <v>352</v>
      </c>
      <c r="M32" s="143" t="s">
        <v>111</v>
      </c>
      <c r="N32" s="143" t="s">
        <v>324</v>
      </c>
      <c r="O32" s="144"/>
      <c r="P32" s="145"/>
      <c r="Q32" s="145">
        <v>4126.41</v>
      </c>
      <c r="R32" s="145">
        <v>4126.41</v>
      </c>
    </row>
    <row r="33" spans="2:18" ht="15" x14ac:dyDescent="0.25">
      <c r="B33" s="10" t="s">
        <v>487</v>
      </c>
      <c r="C33" s="45">
        <f>SUMIF($M:$M,$B33,P:P)</f>
        <v>1995837.65</v>
      </c>
      <c r="D33" s="45">
        <f>SUMIF($M:$M,$B33,Q:Q)</f>
        <v>1324357.49</v>
      </c>
      <c r="E33" s="19">
        <f>SUMIF($C$55:$C$80,$B33,$J$55:$J$80)</f>
        <v>0.33333333333333331</v>
      </c>
      <c r="F33" s="5">
        <f>ROUND(C33*$E33,0)</f>
        <v>665279</v>
      </c>
      <c r="G33" s="5">
        <f>ROUND(D33*$E33,0)</f>
        <v>441452</v>
      </c>
      <c r="L33" s="142" t="s">
        <v>353</v>
      </c>
      <c r="M33" s="143" t="s">
        <v>115</v>
      </c>
      <c r="N33" s="143" t="s">
        <v>324</v>
      </c>
      <c r="O33" s="144"/>
      <c r="P33" s="145"/>
      <c r="Q33" s="145">
        <v>1150.79</v>
      </c>
      <c r="R33" s="145">
        <v>1150.79</v>
      </c>
    </row>
    <row r="34" spans="2:18" ht="15" x14ac:dyDescent="0.25">
      <c r="B34" s="10" t="s">
        <v>89</v>
      </c>
      <c r="C34" s="45">
        <f>SUMIF($M:$M,$B34,P:P)</f>
        <v>97</v>
      </c>
      <c r="D34" s="45">
        <f>SUMIF($M:$M,$B34,Q:Q)</f>
        <v>497543.62</v>
      </c>
      <c r="E34" s="19">
        <f>SUMIF($C$55:$C$80,$B34,$J$55:$J$80)</f>
        <v>1</v>
      </c>
      <c r="F34" s="5">
        <f>ROUND(C34*$E34,0)</f>
        <v>97</v>
      </c>
      <c r="G34" s="5">
        <f>ROUND(D34*$E34,0)</f>
        <v>497544</v>
      </c>
      <c r="L34" s="142" t="s">
        <v>354</v>
      </c>
      <c r="M34" s="143" t="s">
        <v>113</v>
      </c>
      <c r="N34" s="143" t="s">
        <v>324</v>
      </c>
      <c r="O34" s="144"/>
      <c r="P34" s="145">
        <v>129539.37</v>
      </c>
      <c r="Q34" s="145">
        <v>1041429.24</v>
      </c>
      <c r="R34" s="145">
        <v>1170968.6099999999</v>
      </c>
    </row>
    <row r="35" spans="2:18" ht="15" x14ac:dyDescent="0.25">
      <c r="B35" s="10"/>
      <c r="C35" s="45"/>
      <c r="D35" s="45"/>
      <c r="E35" s="19"/>
      <c r="F35" s="5"/>
      <c r="G35" s="5"/>
      <c r="L35" s="142" t="s">
        <v>355</v>
      </c>
      <c r="M35" s="143" t="s">
        <v>114</v>
      </c>
      <c r="N35" s="143" t="s">
        <v>324</v>
      </c>
      <c r="O35" s="144"/>
      <c r="P35" s="145"/>
      <c r="Q35" s="145">
        <v>3433.14</v>
      </c>
      <c r="R35" s="145">
        <v>3433.14</v>
      </c>
    </row>
    <row r="36" spans="2:18" ht="15" x14ac:dyDescent="0.25">
      <c r="B36" s="11" t="s">
        <v>85</v>
      </c>
      <c r="C36" s="45">
        <f>SUMIF($M:$M,$B36,P:P)</f>
        <v>1509031.26</v>
      </c>
      <c r="D36" s="45">
        <f>SUMIF($M:$M,$B36,Q:Q)</f>
        <v>1104527.92</v>
      </c>
      <c r="E36" s="19"/>
      <c r="F36" s="5"/>
      <c r="G36" s="5"/>
      <c r="L36" s="142" t="s">
        <v>356</v>
      </c>
      <c r="M36" s="143" t="s">
        <v>118</v>
      </c>
      <c r="N36" s="143" t="s">
        <v>324</v>
      </c>
      <c r="O36" s="144"/>
      <c r="P36" s="145"/>
      <c r="Q36" s="145">
        <v>3034.7</v>
      </c>
      <c r="R36" s="145">
        <v>3034.7</v>
      </c>
    </row>
    <row r="37" spans="2:18" ht="15" x14ac:dyDescent="0.25">
      <c r="B37" s="11" t="s">
        <v>95</v>
      </c>
      <c r="C37" s="45">
        <f>SUMIF($M:$M,$B37,P:P)</f>
        <v>0</v>
      </c>
      <c r="D37" s="45">
        <f>SUMIF($M:$M,$B37,Q:Q)</f>
        <v>0</v>
      </c>
      <c r="E37" s="19"/>
      <c r="F37" s="5"/>
      <c r="G37" s="5"/>
      <c r="L37" s="142" t="s">
        <v>357</v>
      </c>
      <c r="M37" s="143" t="s">
        <v>117</v>
      </c>
      <c r="N37" s="143" t="s">
        <v>324</v>
      </c>
      <c r="O37" s="144"/>
      <c r="P37" s="145"/>
      <c r="Q37" s="145">
        <v>580.15</v>
      </c>
      <c r="R37" s="145">
        <v>580.15</v>
      </c>
    </row>
    <row r="38" spans="2:18" ht="15" x14ac:dyDescent="0.25">
      <c r="B38" s="24" t="s">
        <v>66</v>
      </c>
      <c r="C38" s="20">
        <f>SUM(C36:C37)</f>
        <v>1509031.26</v>
      </c>
      <c r="D38" s="20">
        <f>SUM(D36:D37)</f>
        <v>1104527.92</v>
      </c>
      <c r="E38" s="19">
        <f>SUMIF($C$55:$C$80,$B38,$J$55:$J$80)</f>
        <v>8.8320397350993368E-2</v>
      </c>
      <c r="F38" s="5">
        <f>ROUND(C38*$E38,0)</f>
        <v>133278</v>
      </c>
      <c r="G38" s="5">
        <f>ROUND(D38*$E38,0)</f>
        <v>97552</v>
      </c>
      <c r="L38" s="142" t="s">
        <v>358</v>
      </c>
      <c r="M38" s="143" t="s">
        <v>116</v>
      </c>
      <c r="N38" s="143" t="s">
        <v>324</v>
      </c>
      <c r="O38" s="144"/>
      <c r="P38" s="145"/>
      <c r="Q38" s="145">
        <v>2474.41</v>
      </c>
      <c r="R38" s="145">
        <v>2474.41</v>
      </c>
    </row>
    <row r="39" spans="2:18" ht="15" x14ac:dyDescent="0.25">
      <c r="B39" s="11"/>
      <c r="C39" s="45"/>
      <c r="D39" s="45"/>
      <c r="E39" s="19"/>
      <c r="F39" s="5"/>
      <c r="G39" s="5"/>
      <c r="L39" s="142" t="s">
        <v>359</v>
      </c>
      <c r="M39" s="143" t="s">
        <v>116</v>
      </c>
      <c r="N39" s="143" t="s">
        <v>324</v>
      </c>
      <c r="O39" s="144"/>
      <c r="P39" s="145"/>
      <c r="Q39" s="145">
        <v>1533.99</v>
      </c>
      <c r="R39" s="145">
        <v>1533.99</v>
      </c>
    </row>
    <row r="40" spans="2:18" ht="15" x14ac:dyDescent="0.25">
      <c r="B40" s="10" t="s">
        <v>86</v>
      </c>
      <c r="C40" s="45">
        <f t="shared" ref="C40:D44" si="3">SUMIF($M:$M,$B40,P:P)</f>
        <v>293035.81</v>
      </c>
      <c r="D40" s="45">
        <f t="shared" si="3"/>
        <v>1367428.73</v>
      </c>
      <c r="E40" s="19">
        <f>SUMIF($C$55:$C$80,$B40,$J$55:$J$80)</f>
        <v>0.60000000000000009</v>
      </c>
      <c r="F40" s="5">
        <f t="shared" ref="F40:G45" si="4">ROUND(C40*$E40,0)</f>
        <v>175821</v>
      </c>
      <c r="G40" s="5">
        <f t="shared" si="4"/>
        <v>820457</v>
      </c>
      <c r="L40" s="142" t="s">
        <v>360</v>
      </c>
      <c r="M40" s="143" t="s">
        <v>79</v>
      </c>
      <c r="N40" s="143" t="s">
        <v>324</v>
      </c>
      <c r="O40" s="144"/>
      <c r="P40" s="145">
        <v>96281.09</v>
      </c>
      <c r="Q40" s="145">
        <v>1315066.95</v>
      </c>
      <c r="R40" s="145">
        <v>1411348.04</v>
      </c>
    </row>
    <row r="41" spans="2:18" ht="15" x14ac:dyDescent="0.25">
      <c r="B41" s="11" t="s">
        <v>87</v>
      </c>
      <c r="C41" s="45">
        <f t="shared" si="3"/>
        <v>63289.86</v>
      </c>
      <c r="D41" s="45">
        <f t="shared" si="3"/>
        <v>751837.39</v>
      </c>
      <c r="E41" s="19">
        <f>SUMIF($C$55:$C$80,$B41,$J$55:$J$80)</f>
        <v>0.27435217063580991</v>
      </c>
      <c r="F41" s="5">
        <f t="shared" si="4"/>
        <v>17364</v>
      </c>
      <c r="G41" s="5">
        <f t="shared" si="4"/>
        <v>206268</v>
      </c>
      <c r="L41" s="142" t="s">
        <v>361</v>
      </c>
      <c r="M41" s="143" t="s">
        <v>92</v>
      </c>
      <c r="N41" s="143" t="s">
        <v>324</v>
      </c>
      <c r="O41" s="144"/>
      <c r="P41" s="145"/>
      <c r="Q41" s="145">
        <v>303.04000000000002</v>
      </c>
      <c r="R41" s="145">
        <v>303.04000000000002</v>
      </c>
    </row>
    <row r="42" spans="2:18" ht="15" x14ac:dyDescent="0.25">
      <c r="B42" s="10" t="s">
        <v>88</v>
      </c>
      <c r="C42" s="45">
        <f t="shared" si="3"/>
        <v>733217.5</v>
      </c>
      <c r="D42" s="45">
        <f t="shared" si="3"/>
        <v>2396528.5299999998</v>
      </c>
      <c r="E42" s="19">
        <f>SUMIF($C$55:$C$80,$B42,$J$55:$J$80)</f>
        <v>8.444562500000001E-2</v>
      </c>
      <c r="F42" s="5">
        <f t="shared" si="4"/>
        <v>61917</v>
      </c>
      <c r="G42" s="5">
        <f t="shared" si="4"/>
        <v>202376</v>
      </c>
      <c r="L42" s="142" t="s">
        <v>362</v>
      </c>
      <c r="M42" s="143" t="s">
        <v>93</v>
      </c>
      <c r="N42" s="143" t="s">
        <v>324</v>
      </c>
      <c r="O42" s="144"/>
      <c r="P42" s="145"/>
      <c r="Q42" s="145">
        <v>2703.21</v>
      </c>
      <c r="R42" s="145">
        <v>2703.21</v>
      </c>
    </row>
    <row r="43" spans="2:18" ht="15" x14ac:dyDescent="0.25">
      <c r="B43" s="10" t="s">
        <v>261</v>
      </c>
      <c r="C43" s="45">
        <f t="shared" si="3"/>
        <v>451940.93</v>
      </c>
      <c r="D43" s="45">
        <f t="shared" si="3"/>
        <v>982296.14</v>
      </c>
      <c r="E43" s="19">
        <f>SUMIF($C$55:$C$80,$B43,$J$55:$J$80)</f>
        <v>0.5</v>
      </c>
      <c r="F43" s="5">
        <f>ROUND(C43*$E43,0)</f>
        <v>225970</v>
      </c>
      <c r="G43" s="5">
        <f>ROUND(D43*$E43,0)</f>
        <v>491148</v>
      </c>
      <c r="L43" s="142" t="s">
        <v>363</v>
      </c>
      <c r="M43" s="143" t="s">
        <v>93</v>
      </c>
      <c r="N43" s="143" t="s">
        <v>324</v>
      </c>
      <c r="O43" s="144"/>
      <c r="P43" s="145"/>
      <c r="Q43" s="145">
        <v>1838.67</v>
      </c>
      <c r="R43" s="145">
        <v>1838.67</v>
      </c>
    </row>
    <row r="44" spans="2:18" ht="15" x14ac:dyDescent="0.25">
      <c r="B44" s="10" t="s">
        <v>90</v>
      </c>
      <c r="C44" s="45">
        <f t="shared" si="3"/>
        <v>153.82</v>
      </c>
      <c r="D44" s="45">
        <f t="shared" si="3"/>
        <v>166191.15</v>
      </c>
      <c r="E44" s="19">
        <f>SUMIF($C$55:$C$80,$B44,$J$55:$J$80)</f>
        <v>1</v>
      </c>
      <c r="F44" s="5">
        <f t="shared" si="4"/>
        <v>154</v>
      </c>
      <c r="G44" s="5">
        <f t="shared" si="4"/>
        <v>166191</v>
      </c>
      <c r="L44" s="142" t="s">
        <v>364</v>
      </c>
      <c r="M44" s="143" t="s">
        <v>93</v>
      </c>
      <c r="N44" s="143" t="s">
        <v>324</v>
      </c>
      <c r="O44" s="144"/>
      <c r="P44" s="145"/>
      <c r="Q44" s="145">
        <v>16215.41</v>
      </c>
      <c r="R44" s="145">
        <v>16215.41</v>
      </c>
    </row>
    <row r="45" spans="2:18" ht="15" x14ac:dyDescent="0.25">
      <c r="B45" s="10" t="s">
        <v>244</v>
      </c>
      <c r="C45" s="6">
        <v>0</v>
      </c>
      <c r="D45" s="7">
        <v>233018.13</v>
      </c>
      <c r="E45" s="19">
        <v>1</v>
      </c>
      <c r="F45" s="5">
        <f t="shared" si="4"/>
        <v>0</v>
      </c>
      <c r="G45" s="5">
        <f t="shared" si="4"/>
        <v>233018</v>
      </c>
      <c r="L45" s="142" t="s">
        <v>365</v>
      </c>
      <c r="M45" s="143" t="s">
        <v>93</v>
      </c>
      <c r="N45" s="143" t="s">
        <v>324</v>
      </c>
      <c r="O45" s="144"/>
      <c r="P45" s="145"/>
      <c r="Q45" s="145">
        <v>2329.34</v>
      </c>
      <c r="R45" s="145">
        <v>2329.34</v>
      </c>
    </row>
    <row r="46" spans="2:18" ht="15" x14ac:dyDescent="0.25">
      <c r="C46" s="7"/>
      <c r="D46" s="7"/>
      <c r="F46" s="26">
        <f>SUM(F9:F45)</f>
        <v>1864924</v>
      </c>
      <c r="G46" s="26">
        <f>SUM(G9:G45)</f>
        <v>5527980</v>
      </c>
      <c r="H46" s="5">
        <f>F46+G46</f>
        <v>7392904</v>
      </c>
      <c r="L46" s="142" t="s">
        <v>366</v>
      </c>
      <c r="M46" s="143" t="s">
        <v>119</v>
      </c>
      <c r="N46" s="143" t="s">
        <v>324</v>
      </c>
      <c r="O46" s="144"/>
      <c r="P46" s="145">
        <v>61020.56</v>
      </c>
      <c r="Q46" s="145">
        <v>408125.47</v>
      </c>
      <c r="R46" s="145">
        <v>469146.02999999997</v>
      </c>
    </row>
    <row r="47" spans="2:18" ht="15" x14ac:dyDescent="0.25">
      <c r="L47" s="142" t="s">
        <v>367</v>
      </c>
      <c r="M47" s="143" t="s">
        <v>121</v>
      </c>
      <c r="N47" s="143" t="s">
        <v>324</v>
      </c>
      <c r="O47" s="144"/>
      <c r="P47" s="145"/>
      <c r="Q47" s="145">
        <v>6530.43</v>
      </c>
      <c r="R47" s="145">
        <v>6530.43</v>
      </c>
    </row>
    <row r="48" spans="2:18" ht="15" x14ac:dyDescent="0.25">
      <c r="F48" s="1" t="s">
        <v>34</v>
      </c>
      <c r="G48" s="1" t="s">
        <v>35</v>
      </c>
      <c r="H48" s="1" t="s">
        <v>0</v>
      </c>
      <c r="J48" s="1" t="s">
        <v>553</v>
      </c>
      <c r="L48" s="142" t="s">
        <v>368</v>
      </c>
      <c r="M48" s="143" t="s">
        <v>578</v>
      </c>
      <c r="N48" s="143" t="s">
        <v>324</v>
      </c>
      <c r="O48" s="144"/>
      <c r="P48" s="145"/>
      <c r="Q48" s="145">
        <v>0</v>
      </c>
      <c r="R48" s="145">
        <v>0</v>
      </c>
    </row>
    <row r="49" spans="1:18" ht="16.8" customHeight="1" x14ac:dyDescent="0.25">
      <c r="B49" s="21" t="s">
        <v>679</v>
      </c>
      <c r="F49" s="46">
        <f>P195</f>
        <v>27406930.079999991</v>
      </c>
      <c r="G49" s="46">
        <f>Q195+P215</f>
        <v>92651714.911081955</v>
      </c>
      <c r="H49" s="5">
        <f>F49+G49</f>
        <v>120058644.99108195</v>
      </c>
      <c r="I49" s="5">
        <f>J49+J50-H49</f>
        <v>8.9180469512939453E-3</v>
      </c>
      <c r="J49" s="150">
        <v>27406930</v>
      </c>
      <c r="L49" s="142" t="s">
        <v>369</v>
      </c>
      <c r="M49" s="143" t="s">
        <v>529</v>
      </c>
      <c r="N49" s="143" t="s">
        <v>324</v>
      </c>
      <c r="O49" s="144"/>
      <c r="P49" s="145">
        <v>0</v>
      </c>
      <c r="Q49" s="145">
        <v>0</v>
      </c>
      <c r="R49" s="145">
        <v>0</v>
      </c>
    </row>
    <row r="50" spans="1:18" ht="16.2" customHeight="1" x14ac:dyDescent="0.25">
      <c r="B50" s="44" t="s">
        <v>209</v>
      </c>
      <c r="F50" s="5">
        <f>-F46</f>
        <v>-1864924</v>
      </c>
      <c r="G50" s="5">
        <f>-G46</f>
        <v>-5527980</v>
      </c>
      <c r="H50" s="5">
        <f>F50+G50</f>
        <v>-7392904</v>
      </c>
      <c r="J50" s="150">
        <v>92651715</v>
      </c>
      <c r="L50" s="142" t="s">
        <v>514</v>
      </c>
      <c r="M50" s="143" t="s">
        <v>530</v>
      </c>
      <c r="N50" s="143" t="s">
        <v>324</v>
      </c>
      <c r="O50" s="144"/>
      <c r="P50" s="145">
        <v>83515.95</v>
      </c>
      <c r="Q50" s="145">
        <v>348685.65</v>
      </c>
      <c r="R50" s="145">
        <v>432201.60000000003</v>
      </c>
    </row>
    <row r="51" spans="1:18" ht="15" x14ac:dyDescent="0.25">
      <c r="B51" t="s">
        <v>36</v>
      </c>
      <c r="F51" s="26">
        <f>SUM(F49:F50)</f>
        <v>25542006.079999991</v>
      </c>
      <c r="G51" s="26">
        <f>SUM(G49:G50)</f>
        <v>87123734.911081955</v>
      </c>
      <c r="H51" s="8">
        <f>F51+G51</f>
        <v>112665740.99108195</v>
      </c>
      <c r="J51" s="47">
        <f>J50-G49</f>
        <v>8.8918045163154602E-2</v>
      </c>
      <c r="L51" s="142" t="s">
        <v>370</v>
      </c>
      <c r="M51" s="143" t="s">
        <v>579</v>
      </c>
      <c r="N51" s="143" t="s">
        <v>324</v>
      </c>
      <c r="O51" s="144"/>
      <c r="P51" s="145"/>
      <c r="Q51" s="145">
        <v>0</v>
      </c>
      <c r="R51" s="145">
        <v>0</v>
      </c>
    </row>
    <row r="52" spans="1:18" ht="15" x14ac:dyDescent="0.25">
      <c r="L52" s="142" t="s">
        <v>371</v>
      </c>
      <c r="M52" s="143" t="s">
        <v>122</v>
      </c>
      <c r="N52" s="143" t="s">
        <v>324</v>
      </c>
      <c r="O52" s="144"/>
      <c r="P52" s="145">
        <v>8074.36</v>
      </c>
      <c r="Q52" s="145">
        <v>177547.59</v>
      </c>
      <c r="R52" s="145">
        <v>185621.94999999998</v>
      </c>
    </row>
    <row r="53" spans="1:18" ht="15" x14ac:dyDescent="0.25">
      <c r="E53" s="241" t="s">
        <v>654</v>
      </c>
      <c r="L53" s="142" t="s">
        <v>372</v>
      </c>
      <c r="M53" s="143" t="s">
        <v>123</v>
      </c>
      <c r="N53" s="143" t="s">
        <v>324</v>
      </c>
      <c r="O53" s="144"/>
      <c r="P53" s="145"/>
      <c r="Q53" s="145">
        <v>1436.25</v>
      </c>
      <c r="R53" s="145">
        <v>1436.25</v>
      </c>
    </row>
    <row r="54" spans="1:18" ht="15" x14ac:dyDescent="0.25">
      <c r="B54" s="15" t="s">
        <v>62</v>
      </c>
      <c r="C54" s="15" t="s">
        <v>63</v>
      </c>
      <c r="D54" s="15"/>
      <c r="E54" s="241"/>
      <c r="F54" s="17" t="s">
        <v>250</v>
      </c>
      <c r="G54" s="17" t="s">
        <v>70</v>
      </c>
      <c r="H54" s="17" t="s">
        <v>91</v>
      </c>
      <c r="I54" s="16" t="s">
        <v>64</v>
      </c>
      <c r="J54" s="16" t="s">
        <v>65</v>
      </c>
      <c r="K54" s="16"/>
      <c r="L54" s="142" t="s">
        <v>373</v>
      </c>
      <c r="M54" s="143" t="s">
        <v>124</v>
      </c>
      <c r="N54" s="143" t="s">
        <v>324</v>
      </c>
      <c r="O54" s="144"/>
      <c r="P54" s="145"/>
      <c r="Q54" s="145">
        <v>2947.02</v>
      </c>
      <c r="R54" s="145">
        <v>2947.02</v>
      </c>
    </row>
    <row r="55" spans="1:18" ht="15" x14ac:dyDescent="0.25">
      <c r="A55">
        <v>1</v>
      </c>
      <c r="B55" s="234">
        <v>2317650000</v>
      </c>
      <c r="C55" t="s">
        <v>82</v>
      </c>
      <c r="E55" s="41">
        <f>12189</f>
        <v>12189</v>
      </c>
      <c r="F55" s="71" t="s">
        <v>655</v>
      </c>
      <c r="G55" s="72" t="s">
        <v>681</v>
      </c>
      <c r="H55" s="70">
        <f>50%*E55/($E$55+$E$81)</f>
        <v>0.41683195403871143</v>
      </c>
      <c r="I55" s="41"/>
      <c r="J55" s="9">
        <f t="shared" ref="J55:J70" si="5">IF(ISNUMBER(H55),H55,E55/I55)</f>
        <v>0.41683195403871143</v>
      </c>
      <c r="K55" s="9"/>
      <c r="L55" s="142" t="s">
        <v>374</v>
      </c>
      <c r="M55" s="143" t="s">
        <v>125</v>
      </c>
      <c r="N55" s="143" t="s">
        <v>324</v>
      </c>
      <c r="O55" s="144"/>
      <c r="P55" s="145"/>
      <c r="Q55" s="145">
        <v>1473.51</v>
      </c>
      <c r="R55" s="145">
        <v>1473.51</v>
      </c>
    </row>
    <row r="56" spans="1:18" ht="15" x14ac:dyDescent="0.25">
      <c r="A56">
        <v>2</v>
      </c>
      <c r="B56" s="234" t="s">
        <v>598</v>
      </c>
      <c r="C56" s="27" t="s">
        <v>519</v>
      </c>
      <c r="E56" s="41">
        <v>5228.8360000000002</v>
      </c>
      <c r="F56" s="71" t="s">
        <v>75</v>
      </c>
      <c r="G56" s="72"/>
      <c r="H56" s="70"/>
      <c r="I56" s="41">
        <v>22400</v>
      </c>
      <c r="J56" s="9">
        <f>IF(ISNUMBER(H56),H56,E56/I56)</f>
        <v>0.23343017857142859</v>
      </c>
      <c r="K56" s="9"/>
      <c r="L56" s="142" t="s">
        <v>375</v>
      </c>
      <c r="M56" s="143" t="s">
        <v>126</v>
      </c>
      <c r="N56" s="143" t="s">
        <v>324</v>
      </c>
      <c r="O56" s="144"/>
      <c r="P56" s="145"/>
      <c r="Q56" s="145">
        <v>2947.02</v>
      </c>
      <c r="R56" s="145">
        <v>2947.02</v>
      </c>
    </row>
    <row r="57" spans="1:18" ht="15" x14ac:dyDescent="0.25">
      <c r="A57">
        <v>3</v>
      </c>
      <c r="B57" s="234" t="s">
        <v>599</v>
      </c>
      <c r="C57" s="21" t="s">
        <v>81</v>
      </c>
      <c r="E57" s="41">
        <v>3165.7240000000002</v>
      </c>
      <c r="F57" s="71" t="s">
        <v>75</v>
      </c>
      <c r="G57" s="72"/>
      <c r="H57" s="70"/>
      <c r="I57" s="41">
        <v>22400</v>
      </c>
      <c r="J57" s="105">
        <f>IF(ISNUMBER(H57),H57,E57/I57)</f>
        <v>0.14132696428571428</v>
      </c>
      <c r="K57" s="9"/>
      <c r="L57" s="142" t="s">
        <v>376</v>
      </c>
      <c r="M57" s="143" t="s">
        <v>127</v>
      </c>
      <c r="N57" s="143" t="s">
        <v>324</v>
      </c>
      <c r="O57" s="144"/>
      <c r="P57" s="145"/>
      <c r="Q57" s="145">
        <v>14882.1</v>
      </c>
      <c r="R57" s="145">
        <v>14882.1</v>
      </c>
    </row>
    <row r="58" spans="1:18" ht="15" x14ac:dyDescent="0.25">
      <c r="A58">
        <v>4</v>
      </c>
      <c r="B58" s="234" t="s">
        <v>600</v>
      </c>
      <c r="C58" s="21" t="s">
        <v>80</v>
      </c>
      <c r="E58" s="41">
        <v>2763.9859999999999</v>
      </c>
      <c r="F58" s="71" t="s">
        <v>76</v>
      </c>
      <c r="G58" s="72"/>
      <c r="H58" s="70"/>
      <c r="I58" s="41">
        <v>44800</v>
      </c>
      <c r="J58" s="9">
        <f t="shared" si="5"/>
        <v>6.1696116071428567E-2</v>
      </c>
      <c r="K58" s="9"/>
      <c r="L58" s="142" t="s">
        <v>377</v>
      </c>
      <c r="M58" s="143" t="s">
        <v>128</v>
      </c>
      <c r="N58" s="143" t="s">
        <v>324</v>
      </c>
      <c r="O58" s="144"/>
      <c r="P58" s="145">
        <v>2104.4499999999998</v>
      </c>
      <c r="Q58" s="145">
        <v>4121.71</v>
      </c>
      <c r="R58" s="145">
        <v>6226.16</v>
      </c>
    </row>
    <row r="59" spans="1:18" ht="15" x14ac:dyDescent="0.25">
      <c r="A59">
        <v>5</v>
      </c>
      <c r="B59" s="234" t="s">
        <v>601</v>
      </c>
      <c r="C59" s="22" t="s">
        <v>96</v>
      </c>
      <c r="D59" s="18"/>
      <c r="E59" s="41">
        <v>3911.6970000000001</v>
      </c>
      <c r="F59" s="71" t="s">
        <v>251</v>
      </c>
      <c r="G59" s="72"/>
      <c r="H59" s="70"/>
      <c r="I59" s="41">
        <v>67200</v>
      </c>
      <c r="J59" s="9">
        <f t="shared" si="5"/>
        <v>5.820977678571429E-2</v>
      </c>
      <c r="K59" s="9"/>
      <c r="L59" s="142" t="s">
        <v>378</v>
      </c>
      <c r="M59" s="143" t="s">
        <v>129</v>
      </c>
      <c r="N59" s="143" t="s">
        <v>324</v>
      </c>
      <c r="O59" s="144"/>
      <c r="P59" s="145"/>
      <c r="Q59" s="145">
        <v>0</v>
      </c>
      <c r="R59" s="145">
        <v>0</v>
      </c>
    </row>
    <row r="60" spans="1:18" ht="15" x14ac:dyDescent="0.25">
      <c r="A60">
        <v>6</v>
      </c>
      <c r="B60" s="234" t="s">
        <v>602</v>
      </c>
      <c r="C60" s="23" t="s">
        <v>66</v>
      </c>
      <c r="E60" s="41">
        <v>5334.5519999999997</v>
      </c>
      <c r="F60" s="71" t="s">
        <v>76</v>
      </c>
      <c r="G60" s="72"/>
      <c r="H60" s="70"/>
      <c r="I60" s="41">
        <v>60400</v>
      </c>
      <c r="J60" s="9">
        <f t="shared" si="5"/>
        <v>8.8320397350993368E-2</v>
      </c>
      <c r="K60" s="9"/>
      <c r="L60" s="142" t="s">
        <v>379</v>
      </c>
      <c r="M60" s="143" t="s">
        <v>580</v>
      </c>
      <c r="N60" s="143" t="s">
        <v>324</v>
      </c>
      <c r="O60" s="144"/>
      <c r="P60" s="145"/>
      <c r="Q60" s="145">
        <v>375254.22</v>
      </c>
      <c r="R60" s="145">
        <v>375254.22</v>
      </c>
    </row>
    <row r="61" spans="1:18" ht="16.8" customHeight="1" x14ac:dyDescent="0.25">
      <c r="A61">
        <v>7</v>
      </c>
      <c r="B61" s="234" t="s">
        <v>603</v>
      </c>
      <c r="C61" s="21" t="s">
        <v>87</v>
      </c>
      <c r="E61" s="41">
        <v>3649.7249999999999</v>
      </c>
      <c r="F61" s="71" t="s">
        <v>251</v>
      </c>
      <c r="G61" s="72"/>
      <c r="H61" s="70"/>
      <c r="I61" s="41">
        <v>49087</v>
      </c>
      <c r="J61" s="9">
        <f t="shared" si="5"/>
        <v>7.4352170635809886E-2</v>
      </c>
      <c r="K61" s="9"/>
      <c r="L61" s="142" t="s">
        <v>661</v>
      </c>
      <c r="M61" s="143" t="s">
        <v>665</v>
      </c>
      <c r="N61" s="143" t="s">
        <v>324</v>
      </c>
      <c r="O61" s="144"/>
      <c r="P61" s="145">
        <v>7213571.0700000003</v>
      </c>
      <c r="Q61" s="145"/>
      <c r="R61" s="145">
        <v>7213571.0700000003</v>
      </c>
    </row>
    <row r="62" spans="1:18" ht="15" x14ac:dyDescent="0.25">
      <c r="A62">
        <v>8</v>
      </c>
      <c r="B62" s="234" t="s">
        <v>604</v>
      </c>
      <c r="C62" s="21" t="s">
        <v>212</v>
      </c>
      <c r="E62" s="41">
        <v>4239.0709999999999</v>
      </c>
      <c r="F62" s="71" t="s">
        <v>251</v>
      </c>
      <c r="G62" s="72"/>
      <c r="H62" s="70"/>
      <c r="I62" s="41">
        <v>22400</v>
      </c>
      <c r="J62" s="9">
        <f t="shared" si="5"/>
        <v>0.18924424107142856</v>
      </c>
      <c r="K62" s="9"/>
      <c r="L62" s="142" t="s">
        <v>662</v>
      </c>
      <c r="M62" s="143" t="s">
        <v>666</v>
      </c>
      <c r="N62" s="143" t="s">
        <v>324</v>
      </c>
      <c r="O62" s="144"/>
      <c r="P62" s="145">
        <v>636685.75</v>
      </c>
      <c r="Q62" s="145"/>
      <c r="R62" s="145">
        <v>636685.75</v>
      </c>
    </row>
    <row r="63" spans="1:18" ht="18" customHeight="1" x14ac:dyDescent="0.25">
      <c r="A63">
        <v>9</v>
      </c>
      <c r="B63" s="234" t="s">
        <v>605</v>
      </c>
      <c r="C63" s="21" t="s">
        <v>83</v>
      </c>
      <c r="E63" s="41">
        <v>63189</v>
      </c>
      <c r="F63" s="71" t="s">
        <v>510</v>
      </c>
      <c r="G63" s="72" t="s">
        <v>73</v>
      </c>
      <c r="H63" s="70">
        <v>1</v>
      </c>
      <c r="I63" s="41"/>
      <c r="J63" s="9">
        <f t="shared" si="5"/>
        <v>1</v>
      </c>
      <c r="K63" s="9"/>
      <c r="L63" s="142" t="s">
        <v>663</v>
      </c>
      <c r="M63" s="143" t="s">
        <v>667</v>
      </c>
      <c r="N63" s="143" t="s">
        <v>324</v>
      </c>
      <c r="O63" s="144"/>
      <c r="P63" s="145">
        <v>237144.1</v>
      </c>
      <c r="Q63" s="145"/>
      <c r="R63" s="145">
        <v>237144.1</v>
      </c>
    </row>
    <row r="64" spans="1:18" ht="15" x14ac:dyDescent="0.25">
      <c r="A64">
        <v>10</v>
      </c>
      <c r="B64" s="234" t="s">
        <v>606</v>
      </c>
      <c r="C64" s="23" t="s">
        <v>67</v>
      </c>
      <c r="E64" s="41">
        <v>9557.9490000000005</v>
      </c>
      <c r="F64" s="71" t="s">
        <v>656</v>
      </c>
      <c r="G64" s="72" t="s">
        <v>74</v>
      </c>
      <c r="H64" s="70">
        <v>0.25</v>
      </c>
      <c r="I64" s="41"/>
      <c r="J64" s="9">
        <f t="shared" si="5"/>
        <v>0.25</v>
      </c>
      <c r="K64" s="9"/>
      <c r="L64" s="142" t="s">
        <v>380</v>
      </c>
      <c r="M64" s="143" t="s">
        <v>130</v>
      </c>
      <c r="N64" s="143" t="s">
        <v>324</v>
      </c>
      <c r="O64" s="144"/>
      <c r="P64" s="145"/>
      <c r="Q64" s="145">
        <v>2104.84</v>
      </c>
      <c r="R64" s="145">
        <v>2104.84</v>
      </c>
    </row>
    <row r="65" spans="1:18" ht="15" x14ac:dyDescent="0.25">
      <c r="A65">
        <v>11</v>
      </c>
      <c r="B65" s="234" t="s">
        <v>607</v>
      </c>
      <c r="C65" s="23" t="s">
        <v>67</v>
      </c>
      <c r="E65" s="41">
        <v>9377.5310000000009</v>
      </c>
      <c r="F65" s="71" t="s">
        <v>657</v>
      </c>
      <c r="G65" s="72" t="s">
        <v>74</v>
      </c>
      <c r="H65" s="70">
        <v>0.25</v>
      </c>
      <c r="I65" s="41"/>
      <c r="J65" s="9">
        <f t="shared" si="5"/>
        <v>0.25</v>
      </c>
      <c r="K65" s="9"/>
      <c r="L65" s="142" t="s">
        <v>381</v>
      </c>
      <c r="M65" s="143" t="s">
        <v>131</v>
      </c>
      <c r="N65" s="143" t="s">
        <v>324</v>
      </c>
      <c r="O65" s="144"/>
      <c r="P65" s="145"/>
      <c r="Q65" s="145">
        <v>2097.71</v>
      </c>
      <c r="R65" s="145">
        <v>2097.71</v>
      </c>
    </row>
    <row r="66" spans="1:18" ht="15" x14ac:dyDescent="0.25">
      <c r="A66">
        <v>12</v>
      </c>
      <c r="B66" s="234" t="s">
        <v>608</v>
      </c>
      <c r="C66" s="21" t="s">
        <v>88</v>
      </c>
      <c r="E66" s="41">
        <v>8512.1190000000006</v>
      </c>
      <c r="F66" s="71" t="s">
        <v>76</v>
      </c>
      <c r="G66" s="72"/>
      <c r="H66" s="70"/>
      <c r="I66" s="41">
        <v>100800</v>
      </c>
      <c r="J66" s="9">
        <f t="shared" si="5"/>
        <v>8.444562500000001E-2</v>
      </c>
      <c r="K66" s="9"/>
      <c r="L66" s="142" t="s">
        <v>382</v>
      </c>
      <c r="M66" s="143" t="s">
        <v>120</v>
      </c>
      <c r="N66" s="143" t="s">
        <v>324</v>
      </c>
      <c r="O66" s="144"/>
      <c r="P66" s="145">
        <v>1485.29</v>
      </c>
      <c r="Q66" s="145">
        <v>160153.67000000001</v>
      </c>
      <c r="R66" s="145">
        <v>161638.96000000002</v>
      </c>
    </row>
    <row r="67" spans="1:18" ht="15" x14ac:dyDescent="0.25">
      <c r="A67">
        <v>13</v>
      </c>
      <c r="B67" s="234" t="s">
        <v>609</v>
      </c>
      <c r="C67" s="22" t="s">
        <v>96</v>
      </c>
      <c r="E67" s="41">
        <v>2869.4879999999998</v>
      </c>
      <c r="F67" s="71" t="s">
        <v>76</v>
      </c>
      <c r="G67" s="72"/>
      <c r="H67" s="70"/>
      <c r="I67" s="41">
        <v>67200</v>
      </c>
      <c r="J67" s="9">
        <f t="shared" si="5"/>
        <v>4.2700714285714286E-2</v>
      </c>
      <c r="K67" s="9"/>
      <c r="L67" s="142" t="s">
        <v>383</v>
      </c>
      <c r="M67" s="143" t="s">
        <v>214</v>
      </c>
      <c r="N67" s="143" t="s">
        <v>324</v>
      </c>
      <c r="O67" s="144"/>
      <c r="P67" s="145"/>
      <c r="Q67" s="145">
        <v>1150.79</v>
      </c>
      <c r="R67" s="145">
        <v>1150.79</v>
      </c>
    </row>
    <row r="68" spans="1:18" ht="15" x14ac:dyDescent="0.25">
      <c r="A68">
        <v>14</v>
      </c>
      <c r="B68" s="234" t="s">
        <v>610</v>
      </c>
      <c r="C68" s="21" t="s">
        <v>87</v>
      </c>
      <c r="E68" s="41">
        <v>6413.4849999999997</v>
      </c>
      <c r="F68" s="71" t="s">
        <v>542</v>
      </c>
      <c r="G68" s="72" t="s">
        <v>72</v>
      </c>
      <c r="H68" s="70">
        <v>0.2</v>
      </c>
      <c r="I68" s="41"/>
      <c r="J68" s="9">
        <f t="shared" si="5"/>
        <v>0.2</v>
      </c>
      <c r="K68" s="9"/>
      <c r="L68" s="142" t="s">
        <v>384</v>
      </c>
      <c r="M68" s="143" t="s">
        <v>211</v>
      </c>
      <c r="N68" s="143" t="s">
        <v>324</v>
      </c>
      <c r="O68" s="144"/>
      <c r="P68" s="145">
        <v>68939.570000000007</v>
      </c>
      <c r="Q68" s="145">
        <v>397861.19</v>
      </c>
      <c r="R68" s="145">
        <v>466800.76</v>
      </c>
    </row>
    <row r="69" spans="1:18" ht="15" x14ac:dyDescent="0.25">
      <c r="A69">
        <v>15</v>
      </c>
      <c r="B69" s="234" t="s">
        <v>611</v>
      </c>
      <c r="C69" s="21" t="s">
        <v>77</v>
      </c>
      <c r="E69" s="41">
        <v>3950.1979999999999</v>
      </c>
      <c r="F69" s="71" t="s">
        <v>251</v>
      </c>
      <c r="G69" s="72"/>
      <c r="H69" s="70"/>
      <c r="I69" s="41">
        <v>40320</v>
      </c>
      <c r="J69" s="9">
        <f t="shared" si="5"/>
        <v>9.7971180555555551E-2</v>
      </c>
      <c r="K69" s="9"/>
      <c r="L69" s="142" t="s">
        <v>385</v>
      </c>
      <c r="M69" s="143" t="s">
        <v>212</v>
      </c>
      <c r="N69" s="143" t="s">
        <v>324</v>
      </c>
      <c r="O69" s="144"/>
      <c r="P69" s="145">
        <v>168778.79</v>
      </c>
      <c r="Q69" s="145">
        <v>773287.28</v>
      </c>
      <c r="R69" s="145">
        <v>942066.07000000007</v>
      </c>
    </row>
    <row r="70" spans="1:18" ht="15" x14ac:dyDescent="0.25">
      <c r="A70">
        <v>16</v>
      </c>
      <c r="B70" s="234" t="s">
        <v>612</v>
      </c>
      <c r="C70" s="14" t="s">
        <v>68</v>
      </c>
      <c r="E70" s="41">
        <v>4899.0110000000004</v>
      </c>
      <c r="F70" s="71" t="s">
        <v>75</v>
      </c>
      <c r="G70" s="72" t="s">
        <v>72</v>
      </c>
      <c r="H70" s="70">
        <v>0.2</v>
      </c>
      <c r="I70" s="41"/>
      <c r="J70" s="9">
        <f t="shared" si="5"/>
        <v>0.2</v>
      </c>
      <c r="K70" s="9"/>
      <c r="L70" s="142" t="s">
        <v>386</v>
      </c>
      <c r="M70" s="143" t="s">
        <v>215</v>
      </c>
      <c r="N70" s="143" t="s">
        <v>324</v>
      </c>
      <c r="O70" s="144"/>
      <c r="P70" s="145"/>
      <c r="Q70" s="145">
        <v>6792.74</v>
      </c>
      <c r="R70" s="145">
        <v>6792.74</v>
      </c>
    </row>
    <row r="71" spans="1:18" ht="15" x14ac:dyDescent="0.25">
      <c r="A71">
        <v>17</v>
      </c>
      <c r="B71" s="234" t="s">
        <v>613</v>
      </c>
      <c r="C71" s="22" t="s">
        <v>487</v>
      </c>
      <c r="D71" s="18"/>
      <c r="E71" s="41">
        <v>4640.6400000000003</v>
      </c>
      <c r="F71" s="71" t="s">
        <v>75</v>
      </c>
      <c r="G71" s="72" t="s">
        <v>207</v>
      </c>
      <c r="H71" s="70">
        <f>1/6</f>
        <v>0.16666666666666666</v>
      </c>
      <c r="I71" s="41"/>
      <c r="J71" s="9">
        <f t="shared" ref="J71" si="6">IF(ISNUMBER(H71),H71,E71/I71)</f>
        <v>0.16666666666666666</v>
      </c>
      <c r="K71" s="9"/>
      <c r="L71" s="142" t="s">
        <v>387</v>
      </c>
      <c r="M71" s="143" t="s">
        <v>216</v>
      </c>
      <c r="N71" s="143" t="s">
        <v>324</v>
      </c>
      <c r="O71" s="144"/>
      <c r="P71" s="145"/>
      <c r="Q71" s="145">
        <v>1398.58</v>
      </c>
      <c r="R71" s="145">
        <v>1398.58</v>
      </c>
    </row>
    <row r="72" spans="1:18" ht="15" x14ac:dyDescent="0.25">
      <c r="A72">
        <v>18</v>
      </c>
      <c r="B72" s="234" t="s">
        <v>614</v>
      </c>
      <c r="C72" s="21" t="s">
        <v>86</v>
      </c>
      <c r="E72" s="41">
        <v>10983</v>
      </c>
      <c r="F72" s="71" t="s">
        <v>76</v>
      </c>
      <c r="G72" s="72" t="s">
        <v>72</v>
      </c>
      <c r="H72" s="70">
        <v>0.2</v>
      </c>
      <c r="I72" s="41"/>
      <c r="J72" s="9">
        <f>IF(ISNUMBER(H72),H72,E72/I72)</f>
        <v>0.2</v>
      </c>
      <c r="K72" s="9"/>
      <c r="L72" s="142" t="s">
        <v>388</v>
      </c>
      <c r="M72" s="143" t="s">
        <v>217</v>
      </c>
      <c r="N72" s="143" t="s">
        <v>324</v>
      </c>
      <c r="O72" s="144"/>
      <c r="P72" s="145">
        <v>5529.19</v>
      </c>
      <c r="Q72" s="145">
        <v>223388.83</v>
      </c>
      <c r="R72" s="145">
        <v>228918.02</v>
      </c>
    </row>
    <row r="73" spans="1:18" ht="15" x14ac:dyDescent="0.25">
      <c r="A73">
        <v>18</v>
      </c>
      <c r="B73" s="234" t="s">
        <v>614</v>
      </c>
      <c r="C73" s="21" t="s">
        <v>90</v>
      </c>
      <c r="E73" s="41">
        <f>E72</f>
        <v>10983</v>
      </c>
      <c r="F73" s="71" t="str">
        <f>F72</f>
        <v>Aug</v>
      </c>
      <c r="G73" s="73" t="s">
        <v>71</v>
      </c>
      <c r="H73" s="70">
        <f>1/2</f>
        <v>0.5</v>
      </c>
      <c r="I73" s="41"/>
      <c r="J73" s="9">
        <f>IF(ISNUMBER(H73),H73,E73/I73)</f>
        <v>0.5</v>
      </c>
      <c r="K73" s="9"/>
      <c r="L73" s="142" t="s">
        <v>389</v>
      </c>
      <c r="M73" s="143" t="s">
        <v>213</v>
      </c>
      <c r="N73" s="143" t="s">
        <v>324</v>
      </c>
      <c r="O73" s="144"/>
      <c r="P73" s="145"/>
      <c r="Q73" s="145">
        <v>0</v>
      </c>
      <c r="R73" s="145">
        <v>0</v>
      </c>
    </row>
    <row r="74" spans="1:18" ht="15" x14ac:dyDescent="0.25">
      <c r="A74">
        <v>18</v>
      </c>
      <c r="B74" s="234" t="s">
        <v>614</v>
      </c>
      <c r="C74" s="14" t="s">
        <v>261</v>
      </c>
      <c r="E74" s="41">
        <f>E72</f>
        <v>10983</v>
      </c>
      <c r="F74" s="71" t="str">
        <f>F72</f>
        <v>Aug</v>
      </c>
      <c r="G74" s="73" t="s">
        <v>71</v>
      </c>
      <c r="H74" s="70">
        <f>1/2</f>
        <v>0.5</v>
      </c>
      <c r="I74" s="41"/>
      <c r="J74" s="9">
        <f>IF(ISNUMBER(H74),H74,E74/I74)</f>
        <v>0.5</v>
      </c>
      <c r="K74" s="9"/>
      <c r="L74" s="142" t="s">
        <v>390</v>
      </c>
      <c r="M74" s="143" t="s">
        <v>220</v>
      </c>
      <c r="N74" s="143" t="s">
        <v>324</v>
      </c>
      <c r="O74" s="144"/>
      <c r="P74" s="145">
        <v>1156581.74</v>
      </c>
      <c r="Q74" s="145">
        <v>1748360.08</v>
      </c>
      <c r="R74" s="145">
        <v>2904941.8200000003</v>
      </c>
    </row>
    <row r="75" spans="1:18" ht="15" x14ac:dyDescent="0.25">
      <c r="A75">
        <v>19</v>
      </c>
      <c r="B75" s="234" t="s">
        <v>615</v>
      </c>
      <c r="C75" s="21" t="s">
        <v>86</v>
      </c>
      <c r="E75" s="41">
        <v>5915</v>
      </c>
      <c r="F75" s="71" t="s">
        <v>252</v>
      </c>
      <c r="G75" s="72" t="s">
        <v>72</v>
      </c>
      <c r="H75" s="70">
        <v>0.2</v>
      </c>
      <c r="I75" s="41"/>
      <c r="J75" s="9">
        <f>IF(ISNUMBER(H75),H75,E75/I75)</f>
        <v>0.2</v>
      </c>
      <c r="K75" s="9"/>
      <c r="L75" s="142" t="s">
        <v>391</v>
      </c>
      <c r="M75" s="143" t="s">
        <v>218</v>
      </c>
      <c r="N75" s="143" t="s">
        <v>324</v>
      </c>
      <c r="O75" s="144"/>
      <c r="P75" s="145">
        <v>4429.3599999999997</v>
      </c>
      <c r="Q75" s="145">
        <v>203803.91</v>
      </c>
      <c r="R75" s="145">
        <v>208233.27</v>
      </c>
    </row>
    <row r="76" spans="1:18" ht="15" x14ac:dyDescent="0.25">
      <c r="A76">
        <v>19</v>
      </c>
      <c r="B76" s="234" t="s">
        <v>615</v>
      </c>
      <c r="C76" s="21" t="s">
        <v>90</v>
      </c>
      <c r="E76" s="41">
        <f>E75</f>
        <v>5915</v>
      </c>
      <c r="F76" s="71" t="str">
        <f>F75</f>
        <v>Dec</v>
      </c>
      <c r="G76" s="73" t="s">
        <v>71</v>
      </c>
      <c r="H76" s="70">
        <f>1/2</f>
        <v>0.5</v>
      </c>
      <c r="I76" s="41"/>
      <c r="J76" s="9">
        <f>IF(ISNUMBER(H76),H76,E76/I76)</f>
        <v>0.5</v>
      </c>
      <c r="K76" s="9"/>
      <c r="L76" s="142" t="s">
        <v>392</v>
      </c>
      <c r="M76" s="143" t="s">
        <v>221</v>
      </c>
      <c r="N76" s="143" t="s">
        <v>324</v>
      </c>
      <c r="O76" s="144"/>
      <c r="P76" s="145"/>
      <c r="Q76" s="145">
        <v>2237.04</v>
      </c>
      <c r="R76" s="145">
        <v>2237.04</v>
      </c>
    </row>
    <row r="77" spans="1:18" ht="15" x14ac:dyDescent="0.25">
      <c r="A77">
        <v>20</v>
      </c>
      <c r="B77" s="234" t="s">
        <v>616</v>
      </c>
      <c r="C77" s="21" t="s">
        <v>89</v>
      </c>
      <c r="E77" s="41">
        <v>5437</v>
      </c>
      <c r="F77" s="71" t="s">
        <v>252</v>
      </c>
      <c r="G77" s="73" t="s">
        <v>71</v>
      </c>
      <c r="H77" s="70">
        <f>1/2</f>
        <v>0.5</v>
      </c>
      <c r="I77" s="41"/>
      <c r="J77" s="9">
        <f t="shared" ref="J77:J78" si="7">IF(ISNUMBER(H77),H77,E77/I77)</f>
        <v>0.5</v>
      </c>
      <c r="K77" s="9"/>
      <c r="L77" s="142" t="s">
        <v>393</v>
      </c>
      <c r="M77" s="143" t="s">
        <v>222</v>
      </c>
      <c r="N77" s="143" t="s">
        <v>324</v>
      </c>
      <c r="O77" s="144"/>
      <c r="P77" s="145"/>
      <c r="Q77" s="145">
        <v>6772.02</v>
      </c>
      <c r="R77" s="145">
        <v>6772.02</v>
      </c>
    </row>
    <row r="78" spans="1:18" ht="15" x14ac:dyDescent="0.25">
      <c r="A78">
        <v>20</v>
      </c>
      <c r="B78" s="234" t="s">
        <v>616</v>
      </c>
      <c r="C78" s="22" t="s">
        <v>487</v>
      </c>
      <c r="D78" s="18"/>
      <c r="E78" s="41">
        <f>E77</f>
        <v>5437</v>
      </c>
      <c r="F78" s="71" t="str">
        <f>F77</f>
        <v>Dec</v>
      </c>
      <c r="G78" s="72" t="s">
        <v>207</v>
      </c>
      <c r="H78" s="70">
        <f>1/6</f>
        <v>0.16666666666666666</v>
      </c>
      <c r="I78" s="41"/>
      <c r="J78" s="9">
        <f t="shared" si="7"/>
        <v>0.16666666666666666</v>
      </c>
      <c r="K78" s="9"/>
      <c r="L78" s="142" t="s">
        <v>394</v>
      </c>
      <c r="M78" s="143" t="s">
        <v>223</v>
      </c>
      <c r="N78" s="143" t="s">
        <v>324</v>
      </c>
      <c r="O78" s="144"/>
      <c r="P78" s="145"/>
      <c r="Q78" s="145">
        <v>15596.46</v>
      </c>
      <c r="R78" s="145">
        <v>15596.46</v>
      </c>
    </row>
    <row r="79" spans="1:18" ht="15" x14ac:dyDescent="0.25">
      <c r="A79">
        <v>21</v>
      </c>
      <c r="B79" s="234" t="s">
        <v>617</v>
      </c>
      <c r="C79" s="21" t="s">
        <v>86</v>
      </c>
      <c r="E79" s="41">
        <v>7163</v>
      </c>
      <c r="F79" s="71" t="s">
        <v>76</v>
      </c>
      <c r="G79" s="72" t="s">
        <v>72</v>
      </c>
      <c r="H79" s="70">
        <v>0.2</v>
      </c>
      <c r="I79" s="41"/>
      <c r="J79" s="9">
        <f>IF(ISNUMBER(H79),H79,E79/I79)</f>
        <v>0.2</v>
      </c>
      <c r="K79" s="9"/>
      <c r="L79" s="142" t="s">
        <v>395</v>
      </c>
      <c r="M79" s="143" t="s">
        <v>80</v>
      </c>
      <c r="N79" s="143" t="s">
        <v>324</v>
      </c>
      <c r="O79" s="144"/>
      <c r="P79" s="145">
        <v>41159.68</v>
      </c>
      <c r="Q79" s="145">
        <v>856006.58</v>
      </c>
      <c r="R79" s="145">
        <v>897166.26</v>
      </c>
    </row>
    <row r="80" spans="1:18" ht="15" x14ac:dyDescent="0.25">
      <c r="A80">
        <v>21</v>
      </c>
      <c r="B80" s="234" t="s">
        <v>617</v>
      </c>
      <c r="C80" s="21" t="s">
        <v>89</v>
      </c>
      <c r="E80" s="41">
        <f>E79</f>
        <v>7163</v>
      </c>
      <c r="F80" s="71" t="str">
        <f>F79</f>
        <v>Aug</v>
      </c>
      <c r="G80" s="73" t="s">
        <v>71</v>
      </c>
      <c r="H80" s="70">
        <f>1/2</f>
        <v>0.5</v>
      </c>
      <c r="I80" s="41"/>
      <c r="J80" s="9">
        <f>IF(ISNUMBER(H80),H80,E80/I80)</f>
        <v>0.5</v>
      </c>
      <c r="K80" s="9"/>
      <c r="L80" s="142" t="s">
        <v>396</v>
      </c>
      <c r="M80" s="143" t="s">
        <v>224</v>
      </c>
      <c r="N80" s="143" t="s">
        <v>324</v>
      </c>
      <c r="O80" s="144"/>
      <c r="P80" s="145">
        <v>4686.05</v>
      </c>
      <c r="Q80" s="145">
        <v>188021.51</v>
      </c>
      <c r="R80" s="145">
        <v>192707.56</v>
      </c>
    </row>
    <row r="81" spans="1:18" ht="15" x14ac:dyDescent="0.25">
      <c r="A81">
        <v>22</v>
      </c>
      <c r="B81" s="234" t="s">
        <v>680</v>
      </c>
      <c r="C81" t="s">
        <v>82</v>
      </c>
      <c r="E81" s="41">
        <v>2432</v>
      </c>
      <c r="F81" s="71" t="s">
        <v>655</v>
      </c>
      <c r="G81" s="72" t="s">
        <v>681</v>
      </c>
      <c r="H81" s="70">
        <f>50%*E81/($E$55+$E$81)</f>
        <v>8.3168045961288559E-2</v>
      </c>
      <c r="J81" s="9">
        <f>IF(ISNUMBER(H81),H81,E81/I81)</f>
        <v>8.3168045961288559E-2</v>
      </c>
      <c r="L81" s="142" t="s">
        <v>515</v>
      </c>
      <c r="M81" s="143" t="s">
        <v>581</v>
      </c>
      <c r="N81" s="143" t="s">
        <v>324</v>
      </c>
      <c r="O81" s="144"/>
      <c r="P81" s="145"/>
      <c r="Q81" s="145">
        <v>0</v>
      </c>
      <c r="R81" s="145">
        <v>0</v>
      </c>
    </row>
    <row r="82" spans="1:18" ht="15" x14ac:dyDescent="0.25">
      <c r="A82">
        <v>23</v>
      </c>
      <c r="B82" s="235">
        <v>7600430000</v>
      </c>
      <c r="C82" s="21" t="s">
        <v>78</v>
      </c>
      <c r="E82" s="41">
        <v>4002</v>
      </c>
      <c r="F82" s="71" t="s">
        <v>504</v>
      </c>
      <c r="G82" s="72" t="s">
        <v>71</v>
      </c>
      <c r="H82" s="70">
        <f>1/2</f>
        <v>0.5</v>
      </c>
      <c r="J82" s="9">
        <f>IF(ISNUMBER(H82),H82,E82/I82)</f>
        <v>0.5</v>
      </c>
      <c r="L82" s="142" t="s">
        <v>397</v>
      </c>
      <c r="M82" s="143" t="s">
        <v>226</v>
      </c>
      <c r="N82" s="143" t="s">
        <v>324</v>
      </c>
      <c r="O82" s="144"/>
      <c r="P82" s="145"/>
      <c r="Q82" s="145">
        <v>692.27</v>
      </c>
      <c r="R82" s="145">
        <v>692.27</v>
      </c>
    </row>
    <row r="83" spans="1:18" ht="15" x14ac:dyDescent="0.25">
      <c r="B83" s="113"/>
      <c r="C83" s="11"/>
      <c r="D83" s="18"/>
      <c r="E83" s="41"/>
      <c r="F83" s="71"/>
      <c r="G83" s="72"/>
      <c r="H83" s="70"/>
      <c r="I83" s="41"/>
      <c r="J83" s="9"/>
      <c r="L83" s="142" t="s">
        <v>398</v>
      </c>
      <c r="M83" s="143" t="s">
        <v>225</v>
      </c>
      <c r="N83" s="143" t="s">
        <v>324</v>
      </c>
      <c r="O83" s="144"/>
      <c r="P83" s="145">
        <v>1322.62</v>
      </c>
      <c r="Q83" s="145">
        <v>4500.8999999999996</v>
      </c>
      <c r="R83" s="145">
        <v>5823.5199999999995</v>
      </c>
    </row>
    <row r="84" spans="1:18" ht="15" x14ac:dyDescent="0.25">
      <c r="B84" s="74"/>
      <c r="C84" s="22"/>
      <c r="D84" s="18"/>
      <c r="E84" s="41"/>
      <c r="F84" s="71"/>
      <c r="G84" s="72"/>
      <c r="H84" s="70"/>
      <c r="I84" s="41"/>
      <c r="J84" s="105"/>
      <c r="L84" s="142" t="s">
        <v>399</v>
      </c>
      <c r="M84" s="143" t="s">
        <v>230</v>
      </c>
      <c r="N84" s="143" t="s">
        <v>324</v>
      </c>
      <c r="O84" s="144"/>
      <c r="P84" s="145">
        <v>487834.76</v>
      </c>
      <c r="Q84" s="145">
        <v>1548926.65</v>
      </c>
      <c r="R84" s="145">
        <v>2036761.41</v>
      </c>
    </row>
    <row r="85" spans="1:18" ht="15" x14ac:dyDescent="0.25">
      <c r="L85" s="142" t="s">
        <v>400</v>
      </c>
      <c r="M85" s="143" t="s">
        <v>227</v>
      </c>
      <c r="N85" s="143" t="s">
        <v>324</v>
      </c>
      <c r="O85" s="144"/>
      <c r="P85" s="145"/>
      <c r="Q85" s="145">
        <v>1200.98</v>
      </c>
      <c r="R85" s="145">
        <v>1200.98</v>
      </c>
    </row>
    <row r="86" spans="1:18" ht="15" x14ac:dyDescent="0.25">
      <c r="L86" s="142" t="s">
        <v>401</v>
      </c>
      <c r="M86" s="143" t="s">
        <v>228</v>
      </c>
      <c r="N86" s="143" t="s">
        <v>324</v>
      </c>
      <c r="O86" s="144"/>
      <c r="P86" s="145"/>
      <c r="Q86" s="145">
        <v>1533.99</v>
      </c>
      <c r="R86" s="145">
        <v>1533.99</v>
      </c>
    </row>
    <row r="87" spans="1:18" ht="15" x14ac:dyDescent="0.25">
      <c r="L87" s="142" t="s">
        <v>402</v>
      </c>
      <c r="M87" s="143" t="s">
        <v>229</v>
      </c>
      <c r="N87" s="143" t="s">
        <v>324</v>
      </c>
      <c r="O87" s="144"/>
      <c r="P87" s="145"/>
      <c r="Q87" s="145">
        <v>16641.150000000001</v>
      </c>
      <c r="R87" s="145">
        <v>16641.150000000001</v>
      </c>
    </row>
    <row r="88" spans="1:18" ht="15" x14ac:dyDescent="0.25">
      <c r="L88" s="142" t="s">
        <v>403</v>
      </c>
      <c r="M88" s="143" t="s">
        <v>231</v>
      </c>
      <c r="N88" s="143" t="s">
        <v>324</v>
      </c>
      <c r="O88" s="144"/>
      <c r="P88" s="145"/>
      <c r="Q88" s="145">
        <v>2104.85</v>
      </c>
      <c r="R88" s="145">
        <v>2104.85</v>
      </c>
    </row>
    <row r="89" spans="1:18" ht="15" x14ac:dyDescent="0.25">
      <c r="L89" s="142" t="s">
        <v>404</v>
      </c>
      <c r="M89" s="143" t="s">
        <v>232</v>
      </c>
      <c r="N89" s="143" t="s">
        <v>324</v>
      </c>
      <c r="O89" s="144"/>
      <c r="P89" s="145">
        <v>326169.53000000003</v>
      </c>
      <c r="Q89" s="145">
        <v>462037.47</v>
      </c>
      <c r="R89" s="145">
        <v>788207</v>
      </c>
    </row>
    <row r="90" spans="1:18" ht="15" x14ac:dyDescent="0.25">
      <c r="L90" s="142" t="s">
        <v>582</v>
      </c>
      <c r="M90" s="143" t="s">
        <v>583</v>
      </c>
      <c r="N90" s="143" t="s">
        <v>324</v>
      </c>
      <c r="O90" s="144"/>
      <c r="P90" s="145">
        <v>275173.23</v>
      </c>
      <c r="Q90" s="145">
        <v>1196293.5900000001</v>
      </c>
      <c r="R90" s="145">
        <v>1471466.82</v>
      </c>
    </row>
    <row r="91" spans="1:18" ht="15" x14ac:dyDescent="0.25">
      <c r="L91" s="142" t="s">
        <v>405</v>
      </c>
      <c r="M91" s="143" t="s">
        <v>81</v>
      </c>
      <c r="N91" s="143" t="s">
        <v>324</v>
      </c>
      <c r="O91" s="144"/>
      <c r="P91" s="145">
        <v>18838.830000000002</v>
      </c>
      <c r="Q91" s="145">
        <v>468586.06</v>
      </c>
      <c r="R91" s="145">
        <v>487424.89</v>
      </c>
    </row>
    <row r="92" spans="1:18" ht="15" x14ac:dyDescent="0.25">
      <c r="L92" s="142" t="s">
        <v>406</v>
      </c>
      <c r="M92" s="143" t="s">
        <v>82</v>
      </c>
      <c r="N92" s="143" t="s">
        <v>324</v>
      </c>
      <c r="O92" s="144"/>
      <c r="P92" s="145">
        <v>688151</v>
      </c>
      <c r="Q92" s="145">
        <v>1931400.52</v>
      </c>
      <c r="R92" s="145">
        <v>2619551.52</v>
      </c>
    </row>
    <row r="93" spans="1:18" ht="15" x14ac:dyDescent="0.25">
      <c r="L93" s="142" t="s">
        <v>407</v>
      </c>
      <c r="M93" s="143" t="s">
        <v>233</v>
      </c>
      <c r="N93" s="143" t="s">
        <v>324</v>
      </c>
      <c r="O93" s="144"/>
      <c r="P93" s="145">
        <v>474047.75</v>
      </c>
      <c r="Q93" s="145">
        <v>711156.55</v>
      </c>
      <c r="R93" s="145">
        <v>1185204.3</v>
      </c>
    </row>
    <row r="94" spans="1:18" ht="15" x14ac:dyDescent="0.25">
      <c r="L94" s="142" t="s">
        <v>408</v>
      </c>
      <c r="M94" s="143" t="s">
        <v>132</v>
      </c>
      <c r="N94" s="143" t="s">
        <v>324</v>
      </c>
      <c r="O94" s="144"/>
      <c r="P94" s="145"/>
      <c r="Q94" s="145">
        <v>817.65</v>
      </c>
      <c r="R94" s="145">
        <v>817.65</v>
      </c>
    </row>
    <row r="95" spans="1:18" ht="15" x14ac:dyDescent="0.25">
      <c r="L95" s="142" t="s">
        <v>584</v>
      </c>
      <c r="M95" s="143" t="s">
        <v>585</v>
      </c>
      <c r="N95" s="143" t="s">
        <v>324</v>
      </c>
      <c r="O95" s="144"/>
      <c r="P95" s="145">
        <v>32824.44</v>
      </c>
      <c r="Q95" s="145"/>
      <c r="R95" s="145">
        <v>32824.44</v>
      </c>
    </row>
    <row r="96" spans="1:18" ht="15" x14ac:dyDescent="0.25">
      <c r="L96" s="142" t="s">
        <v>409</v>
      </c>
      <c r="M96" s="143" t="s">
        <v>133</v>
      </c>
      <c r="N96" s="143" t="s">
        <v>324</v>
      </c>
      <c r="O96" s="144"/>
      <c r="P96" s="145"/>
      <c r="Q96" s="145">
        <v>12905.62</v>
      </c>
      <c r="R96" s="145">
        <v>12905.62</v>
      </c>
    </row>
    <row r="97" spans="12:18" ht="15" x14ac:dyDescent="0.25">
      <c r="L97" s="142" t="s">
        <v>410</v>
      </c>
      <c r="M97" s="143" t="s">
        <v>134</v>
      </c>
      <c r="N97" s="143" t="s">
        <v>324</v>
      </c>
      <c r="O97" s="144"/>
      <c r="P97" s="145"/>
      <c r="Q97" s="145">
        <v>15193.12</v>
      </c>
      <c r="R97" s="145">
        <v>15193.12</v>
      </c>
    </row>
    <row r="98" spans="12:18" ht="15" x14ac:dyDescent="0.25">
      <c r="L98" s="142" t="s">
        <v>411</v>
      </c>
      <c r="M98" s="143" t="s">
        <v>135</v>
      </c>
      <c r="N98" s="143" t="s">
        <v>324</v>
      </c>
      <c r="O98" s="144"/>
      <c r="P98" s="145"/>
      <c r="Q98" s="145">
        <v>13687.66</v>
      </c>
      <c r="R98" s="145">
        <v>13687.66</v>
      </c>
    </row>
    <row r="99" spans="12:18" ht="15" x14ac:dyDescent="0.25">
      <c r="L99" s="142" t="s">
        <v>412</v>
      </c>
      <c r="M99" s="143" t="s">
        <v>83</v>
      </c>
      <c r="N99" s="143" t="s">
        <v>324</v>
      </c>
      <c r="O99" s="144"/>
      <c r="P99" s="145">
        <v>18235.46</v>
      </c>
      <c r="Q99" s="145">
        <v>224997.32</v>
      </c>
      <c r="R99" s="145">
        <v>243232.78</v>
      </c>
    </row>
    <row r="100" spans="12:18" ht="15" x14ac:dyDescent="0.25">
      <c r="L100" s="142" t="s">
        <v>413</v>
      </c>
      <c r="M100" s="143" t="s">
        <v>137</v>
      </c>
      <c r="N100" s="143" t="s">
        <v>324</v>
      </c>
      <c r="O100" s="144"/>
      <c r="P100" s="145"/>
      <c r="Q100" s="145">
        <v>34532.47</v>
      </c>
      <c r="R100" s="145">
        <v>34532.47</v>
      </c>
    </row>
    <row r="101" spans="12:18" ht="15" x14ac:dyDescent="0.25">
      <c r="L101" s="142" t="s">
        <v>414</v>
      </c>
      <c r="M101" s="143" t="s">
        <v>136</v>
      </c>
      <c r="N101" s="143" t="s">
        <v>324</v>
      </c>
      <c r="O101" s="144"/>
      <c r="P101" s="145"/>
      <c r="Q101" s="145">
        <v>26153.43</v>
      </c>
      <c r="R101" s="145">
        <v>26153.43</v>
      </c>
    </row>
    <row r="102" spans="12:18" ht="15" x14ac:dyDescent="0.25">
      <c r="L102" s="142" t="s">
        <v>415</v>
      </c>
      <c r="M102" s="143" t="s">
        <v>260</v>
      </c>
      <c r="N102" s="143" t="s">
        <v>324</v>
      </c>
      <c r="O102" s="144"/>
      <c r="P102" s="145">
        <v>7061.71</v>
      </c>
      <c r="Q102" s="145">
        <v>788491.62</v>
      </c>
      <c r="R102" s="145">
        <v>795553.33</v>
      </c>
    </row>
    <row r="103" spans="12:18" ht="15" x14ac:dyDescent="0.25">
      <c r="L103" s="142" t="s">
        <v>516</v>
      </c>
      <c r="M103" s="143" t="s">
        <v>517</v>
      </c>
      <c r="N103" s="143" t="s">
        <v>324</v>
      </c>
      <c r="O103" s="144"/>
      <c r="P103" s="145">
        <v>198846.84</v>
      </c>
      <c r="Q103" s="145">
        <v>246660.4</v>
      </c>
      <c r="R103" s="145">
        <v>445507.24</v>
      </c>
    </row>
    <row r="104" spans="12:18" ht="15" x14ac:dyDescent="0.25">
      <c r="L104" s="142" t="s">
        <v>518</v>
      </c>
      <c r="M104" s="143" t="s">
        <v>519</v>
      </c>
      <c r="N104" s="143" t="s">
        <v>324</v>
      </c>
      <c r="O104" s="144"/>
      <c r="P104" s="145">
        <v>382.07</v>
      </c>
      <c r="Q104" s="145">
        <v>159030.62</v>
      </c>
      <c r="R104" s="145">
        <v>159412.69</v>
      </c>
    </row>
    <row r="105" spans="12:18" ht="15" x14ac:dyDescent="0.25">
      <c r="L105" s="142" t="s">
        <v>416</v>
      </c>
      <c r="M105" s="143" t="s">
        <v>531</v>
      </c>
      <c r="N105" s="143" t="s">
        <v>326</v>
      </c>
      <c r="O105" s="144"/>
      <c r="P105" s="145">
        <v>137701.81</v>
      </c>
      <c r="Q105" s="145">
        <v>444702.7</v>
      </c>
      <c r="R105" s="145">
        <v>582404.51</v>
      </c>
    </row>
    <row r="106" spans="12:18" ht="15" x14ac:dyDescent="0.25">
      <c r="L106" s="142" t="s">
        <v>417</v>
      </c>
      <c r="M106" s="143" t="s">
        <v>138</v>
      </c>
      <c r="N106" s="143" t="s">
        <v>324</v>
      </c>
      <c r="O106" s="144"/>
      <c r="P106" s="145"/>
      <c r="Q106" s="145">
        <v>6363.45</v>
      </c>
      <c r="R106" s="145">
        <v>6363.45</v>
      </c>
    </row>
    <row r="107" spans="12:18" ht="15" x14ac:dyDescent="0.25">
      <c r="L107" s="142" t="s">
        <v>418</v>
      </c>
      <c r="M107" s="143" t="s">
        <v>140</v>
      </c>
      <c r="N107" s="143" t="s">
        <v>324</v>
      </c>
      <c r="O107" s="144"/>
      <c r="P107" s="145"/>
      <c r="Q107" s="145">
        <v>1955.49</v>
      </c>
      <c r="R107" s="145">
        <v>1955.49</v>
      </c>
    </row>
    <row r="108" spans="12:18" ht="15" x14ac:dyDescent="0.25">
      <c r="L108" s="142" t="s">
        <v>419</v>
      </c>
      <c r="M108" s="143" t="s">
        <v>139</v>
      </c>
      <c r="N108" s="143" t="s">
        <v>324</v>
      </c>
      <c r="O108" s="144"/>
      <c r="P108" s="145"/>
      <c r="Q108" s="145">
        <v>2118.36</v>
      </c>
      <c r="R108" s="145">
        <v>2118.36</v>
      </c>
    </row>
    <row r="109" spans="12:18" ht="15" x14ac:dyDescent="0.25">
      <c r="L109" s="142" t="s">
        <v>420</v>
      </c>
      <c r="M109" s="143" t="s">
        <v>142</v>
      </c>
      <c r="N109" s="143" t="s">
        <v>324</v>
      </c>
      <c r="O109" s="144"/>
      <c r="P109" s="145">
        <v>113538.56</v>
      </c>
      <c r="Q109" s="145">
        <v>753247.69</v>
      </c>
      <c r="R109" s="145">
        <v>866786.25</v>
      </c>
    </row>
    <row r="110" spans="12:18" ht="15" x14ac:dyDescent="0.25">
      <c r="L110" s="142" t="s">
        <v>421</v>
      </c>
      <c r="M110" s="143" t="s">
        <v>149</v>
      </c>
      <c r="N110" s="143" t="s">
        <v>324</v>
      </c>
      <c r="O110" s="144"/>
      <c r="P110" s="145">
        <v>271917.84000000003</v>
      </c>
      <c r="Q110" s="145">
        <v>1454148</v>
      </c>
      <c r="R110" s="145">
        <v>1726065.84</v>
      </c>
    </row>
    <row r="111" spans="12:18" ht="15" x14ac:dyDescent="0.25">
      <c r="L111" s="142" t="s">
        <v>422</v>
      </c>
      <c r="M111" s="143" t="s">
        <v>141</v>
      </c>
      <c r="N111" s="143" t="s">
        <v>324</v>
      </c>
      <c r="O111" s="144"/>
      <c r="P111" s="145">
        <v>167440.71</v>
      </c>
      <c r="Q111" s="145">
        <v>277660.48</v>
      </c>
      <c r="R111" s="145">
        <v>445101.18999999994</v>
      </c>
    </row>
    <row r="112" spans="12:18" ht="15" x14ac:dyDescent="0.25">
      <c r="L112" s="142" t="s">
        <v>423</v>
      </c>
      <c r="M112" s="143" t="s">
        <v>143</v>
      </c>
      <c r="N112" s="143" t="s">
        <v>324</v>
      </c>
      <c r="O112" s="144"/>
      <c r="P112" s="145">
        <v>3783.39</v>
      </c>
      <c r="Q112" s="145">
        <v>348548.09</v>
      </c>
      <c r="R112" s="145">
        <v>352331.48000000004</v>
      </c>
    </row>
    <row r="113" spans="12:18" ht="15" x14ac:dyDescent="0.25">
      <c r="L113" s="142" t="s">
        <v>424</v>
      </c>
      <c r="M113" s="143" t="s">
        <v>146</v>
      </c>
      <c r="N113" s="143" t="s">
        <v>327</v>
      </c>
      <c r="O113" s="144"/>
      <c r="P113" s="145"/>
      <c r="Q113" s="145">
        <v>10359.02</v>
      </c>
      <c r="R113" s="145">
        <v>10359.02</v>
      </c>
    </row>
    <row r="114" spans="12:18" ht="15" x14ac:dyDescent="0.25">
      <c r="L114" s="142" t="s">
        <v>425</v>
      </c>
      <c r="M114" s="143" t="s">
        <v>144</v>
      </c>
      <c r="N114" s="143" t="s">
        <v>324</v>
      </c>
      <c r="O114" s="144"/>
      <c r="P114" s="145">
        <v>27607.94</v>
      </c>
      <c r="Q114" s="145">
        <v>680292.43</v>
      </c>
      <c r="R114" s="145">
        <v>707900.37</v>
      </c>
    </row>
    <row r="115" spans="12:18" ht="15" x14ac:dyDescent="0.25">
      <c r="L115" s="142" t="s">
        <v>426</v>
      </c>
      <c r="M115" s="143" t="s">
        <v>145</v>
      </c>
      <c r="N115" s="143" t="s">
        <v>324</v>
      </c>
      <c r="O115" s="144"/>
      <c r="P115" s="145">
        <v>136387.63</v>
      </c>
      <c r="Q115" s="145">
        <v>384840.68</v>
      </c>
      <c r="R115" s="145">
        <v>521228.31</v>
      </c>
    </row>
    <row r="116" spans="12:18" ht="15" x14ac:dyDescent="0.25">
      <c r="L116" s="142" t="s">
        <v>427</v>
      </c>
      <c r="M116" s="143" t="s">
        <v>668</v>
      </c>
      <c r="N116" s="143" t="s">
        <v>324</v>
      </c>
      <c r="O116" s="144"/>
      <c r="P116" s="145">
        <v>0</v>
      </c>
      <c r="Q116" s="145">
        <v>0</v>
      </c>
      <c r="R116" s="145">
        <v>0</v>
      </c>
    </row>
    <row r="117" spans="12:18" ht="15" x14ac:dyDescent="0.25">
      <c r="L117" s="142" t="s">
        <v>428</v>
      </c>
      <c r="M117" s="143" t="s">
        <v>148</v>
      </c>
      <c r="N117" s="143" t="s">
        <v>324</v>
      </c>
      <c r="O117" s="144"/>
      <c r="P117" s="145">
        <v>26906.59</v>
      </c>
      <c r="Q117" s="145">
        <v>228598.96</v>
      </c>
      <c r="R117" s="145">
        <v>255505.55</v>
      </c>
    </row>
    <row r="118" spans="12:18" ht="15" x14ac:dyDescent="0.25">
      <c r="L118" s="142" t="s">
        <v>429</v>
      </c>
      <c r="M118" s="143" t="s">
        <v>147</v>
      </c>
      <c r="N118" s="143" t="s">
        <v>324</v>
      </c>
      <c r="O118" s="144"/>
      <c r="P118" s="145">
        <v>23896.080000000002</v>
      </c>
      <c r="Q118" s="145">
        <v>224623.47</v>
      </c>
      <c r="R118" s="145">
        <v>248519.55</v>
      </c>
    </row>
    <row r="119" spans="12:18" ht="15" x14ac:dyDescent="0.25">
      <c r="L119" s="142" t="s">
        <v>430</v>
      </c>
      <c r="M119" s="143" t="s">
        <v>150</v>
      </c>
      <c r="N119" s="143" t="s">
        <v>324</v>
      </c>
      <c r="O119" s="144"/>
      <c r="P119" s="145"/>
      <c r="Q119" s="145">
        <v>10015.24</v>
      </c>
      <c r="R119" s="145">
        <v>10015.24</v>
      </c>
    </row>
    <row r="120" spans="12:18" ht="16.8" customHeight="1" x14ac:dyDescent="0.25">
      <c r="L120" s="142" t="s">
        <v>586</v>
      </c>
      <c r="M120" s="143" t="s">
        <v>587</v>
      </c>
      <c r="N120" s="143" t="s">
        <v>324</v>
      </c>
      <c r="O120" s="144"/>
      <c r="P120" s="145">
        <v>7305.36</v>
      </c>
      <c r="Q120" s="145"/>
      <c r="R120" s="145">
        <v>7305.36</v>
      </c>
    </row>
    <row r="121" spans="12:18" ht="15" x14ac:dyDescent="0.25">
      <c r="L121" s="142" t="s">
        <v>431</v>
      </c>
      <c r="M121" s="143" t="s">
        <v>152</v>
      </c>
      <c r="N121" s="143" t="s">
        <v>324</v>
      </c>
      <c r="O121" s="144"/>
      <c r="P121" s="145">
        <v>85360.38</v>
      </c>
      <c r="Q121" s="145">
        <v>537991.86</v>
      </c>
      <c r="R121" s="145">
        <v>623352.24</v>
      </c>
    </row>
    <row r="122" spans="12:18" ht="15" x14ac:dyDescent="0.25">
      <c r="L122" s="142" t="s">
        <v>432</v>
      </c>
      <c r="M122" s="143" t="s">
        <v>153</v>
      </c>
      <c r="N122" s="143" t="s">
        <v>324</v>
      </c>
      <c r="O122" s="144"/>
      <c r="P122" s="145">
        <v>0</v>
      </c>
      <c r="Q122" s="145">
        <v>0</v>
      </c>
      <c r="R122" s="145">
        <v>0</v>
      </c>
    </row>
    <row r="123" spans="12:18" ht="15" x14ac:dyDescent="0.25">
      <c r="L123" s="142" t="s">
        <v>433</v>
      </c>
      <c r="M123" s="143" t="s">
        <v>151</v>
      </c>
      <c r="N123" s="143" t="s">
        <v>324</v>
      </c>
      <c r="O123" s="144"/>
      <c r="P123" s="145">
        <v>1737.94</v>
      </c>
      <c r="Q123" s="145">
        <v>131671.24</v>
      </c>
      <c r="R123" s="145">
        <v>133409.18</v>
      </c>
    </row>
    <row r="124" spans="12:18" ht="15" x14ac:dyDescent="0.25">
      <c r="L124" s="142" t="s">
        <v>434</v>
      </c>
      <c r="M124" s="143" t="s">
        <v>156</v>
      </c>
      <c r="N124" s="143" t="s">
        <v>324</v>
      </c>
      <c r="O124" s="144"/>
      <c r="P124" s="145">
        <v>879216.06</v>
      </c>
      <c r="Q124" s="145">
        <v>1642014.41</v>
      </c>
      <c r="R124" s="145">
        <v>2521230.4699999997</v>
      </c>
    </row>
    <row r="125" spans="12:18" ht="15" x14ac:dyDescent="0.25">
      <c r="L125" s="142" t="s">
        <v>435</v>
      </c>
      <c r="M125" s="143" t="s">
        <v>155</v>
      </c>
      <c r="N125" s="143" t="s">
        <v>324</v>
      </c>
      <c r="O125" s="144"/>
      <c r="P125" s="145">
        <v>143821.85999999999</v>
      </c>
      <c r="Q125" s="145">
        <v>1209325.8400000001</v>
      </c>
      <c r="R125" s="145">
        <v>1353147.7000000002</v>
      </c>
    </row>
    <row r="126" spans="12:18" ht="15" x14ac:dyDescent="0.25">
      <c r="L126" s="142" t="s">
        <v>436</v>
      </c>
      <c r="M126" s="143" t="s">
        <v>158</v>
      </c>
      <c r="N126" s="143" t="s">
        <v>324</v>
      </c>
      <c r="O126" s="144"/>
      <c r="P126" s="145"/>
      <c r="Q126" s="145">
        <v>416246.4</v>
      </c>
      <c r="R126" s="145">
        <v>416246.4</v>
      </c>
    </row>
    <row r="127" spans="12:18" ht="15" x14ac:dyDescent="0.25">
      <c r="L127" s="142" t="s">
        <v>437</v>
      </c>
      <c r="M127" s="143" t="s">
        <v>157</v>
      </c>
      <c r="N127" s="143" t="s">
        <v>324</v>
      </c>
      <c r="O127" s="144"/>
      <c r="P127" s="145"/>
      <c r="Q127" s="145">
        <v>0</v>
      </c>
      <c r="R127" s="145">
        <v>0</v>
      </c>
    </row>
    <row r="128" spans="12:18" ht="15" x14ac:dyDescent="0.25">
      <c r="L128" s="142" t="s">
        <v>438</v>
      </c>
      <c r="M128" s="143" t="s">
        <v>159</v>
      </c>
      <c r="N128" s="143" t="s">
        <v>324</v>
      </c>
      <c r="O128" s="144"/>
      <c r="P128" s="145"/>
      <c r="Q128" s="145">
        <v>4259.33</v>
      </c>
      <c r="R128" s="145">
        <v>4259.33</v>
      </c>
    </row>
    <row r="129" spans="12:18" ht="15" x14ac:dyDescent="0.25">
      <c r="L129" s="142" t="s">
        <v>439</v>
      </c>
      <c r="M129" s="143" t="s">
        <v>154</v>
      </c>
      <c r="N129" s="143" t="s">
        <v>324</v>
      </c>
      <c r="O129" s="144"/>
      <c r="P129" s="145">
        <v>290164.34999999998</v>
      </c>
      <c r="Q129" s="145">
        <v>1141131.49</v>
      </c>
      <c r="R129" s="145">
        <v>1431295.8399999999</v>
      </c>
    </row>
    <row r="130" spans="12:18" ht="15" x14ac:dyDescent="0.25">
      <c r="L130" s="142" t="s">
        <v>440</v>
      </c>
      <c r="M130" s="143" t="s">
        <v>161</v>
      </c>
      <c r="N130" s="143" t="s">
        <v>324</v>
      </c>
      <c r="O130" s="144"/>
      <c r="P130" s="145">
        <v>139428.28</v>
      </c>
      <c r="Q130" s="145">
        <v>1881943.98</v>
      </c>
      <c r="R130" s="145">
        <v>2021372.26</v>
      </c>
    </row>
    <row r="131" spans="12:18" ht="15" x14ac:dyDescent="0.25">
      <c r="L131" s="142" t="s">
        <v>441</v>
      </c>
      <c r="M131" s="143" t="s">
        <v>162</v>
      </c>
      <c r="N131" s="143" t="s">
        <v>324</v>
      </c>
      <c r="O131" s="144"/>
      <c r="P131" s="145">
        <v>42922.48</v>
      </c>
      <c r="Q131" s="145">
        <v>949804.94</v>
      </c>
      <c r="R131" s="145">
        <v>992727.41999999993</v>
      </c>
    </row>
    <row r="132" spans="12:18" ht="15" x14ac:dyDescent="0.25">
      <c r="L132" s="142" t="s">
        <v>442</v>
      </c>
      <c r="M132" s="143" t="s">
        <v>163</v>
      </c>
      <c r="N132" s="143" t="s">
        <v>324</v>
      </c>
      <c r="O132" s="144"/>
      <c r="P132" s="145">
        <v>33646.9</v>
      </c>
      <c r="Q132" s="145">
        <v>80610.89</v>
      </c>
      <c r="R132" s="145">
        <v>114257.79000000001</v>
      </c>
    </row>
    <row r="133" spans="12:18" ht="15" x14ac:dyDescent="0.25">
      <c r="L133" s="142" t="s">
        <v>443</v>
      </c>
      <c r="M133" s="143" t="s">
        <v>169</v>
      </c>
      <c r="N133" s="143" t="s">
        <v>324</v>
      </c>
      <c r="O133" s="144"/>
      <c r="P133" s="145"/>
      <c r="Q133" s="145">
        <v>4174.8599999999997</v>
      </c>
      <c r="R133" s="145">
        <v>4174.8599999999997</v>
      </c>
    </row>
    <row r="134" spans="12:18" ht="15" x14ac:dyDescent="0.25">
      <c r="L134" s="142" t="s">
        <v>444</v>
      </c>
      <c r="M134" s="143" t="s">
        <v>164</v>
      </c>
      <c r="N134" s="143" t="s">
        <v>324</v>
      </c>
      <c r="O134" s="144"/>
      <c r="P134" s="145"/>
      <c r="Q134" s="145">
        <v>2744.38</v>
      </c>
      <c r="R134" s="145">
        <v>2744.38</v>
      </c>
    </row>
    <row r="135" spans="12:18" ht="15" x14ac:dyDescent="0.25">
      <c r="L135" s="142" t="s">
        <v>445</v>
      </c>
      <c r="M135" s="143" t="s">
        <v>165</v>
      </c>
      <c r="N135" s="143" t="s">
        <v>324</v>
      </c>
      <c r="O135" s="144"/>
      <c r="P135" s="145"/>
      <c r="Q135" s="145">
        <v>1263.19</v>
      </c>
      <c r="R135" s="145">
        <v>1263.19</v>
      </c>
    </row>
    <row r="136" spans="12:18" ht="15" x14ac:dyDescent="0.25">
      <c r="L136" s="142" t="s">
        <v>446</v>
      </c>
      <c r="M136" s="143" t="s">
        <v>166</v>
      </c>
      <c r="N136" s="143" t="s">
        <v>324</v>
      </c>
      <c r="O136" s="144"/>
      <c r="P136" s="145"/>
      <c r="Q136" s="145">
        <v>2118.35</v>
      </c>
      <c r="R136" s="145">
        <v>2118.35</v>
      </c>
    </row>
    <row r="137" spans="12:18" ht="15" x14ac:dyDescent="0.25">
      <c r="L137" s="142" t="s">
        <v>447</v>
      </c>
      <c r="M137" s="143" t="s">
        <v>167</v>
      </c>
      <c r="N137" s="143" t="s">
        <v>324</v>
      </c>
      <c r="O137" s="144"/>
      <c r="P137" s="145"/>
      <c r="Q137" s="145">
        <v>1792.8</v>
      </c>
      <c r="R137" s="145">
        <v>1792.8</v>
      </c>
    </row>
    <row r="138" spans="12:18" ht="15" x14ac:dyDescent="0.25">
      <c r="L138" s="142" t="s">
        <v>448</v>
      </c>
      <c r="M138" s="143" t="s">
        <v>168</v>
      </c>
      <c r="N138" s="143" t="s">
        <v>324</v>
      </c>
      <c r="O138" s="144"/>
      <c r="P138" s="145">
        <v>130359.28</v>
      </c>
      <c r="Q138" s="145">
        <v>878553.86</v>
      </c>
      <c r="R138" s="145">
        <v>1008913.14</v>
      </c>
    </row>
    <row r="139" spans="12:18" ht="15" x14ac:dyDescent="0.25">
      <c r="L139" s="142" t="s">
        <v>449</v>
      </c>
      <c r="M139" s="143" t="s">
        <v>170</v>
      </c>
      <c r="N139" s="143" t="s">
        <v>324</v>
      </c>
      <c r="O139" s="144"/>
      <c r="P139" s="145">
        <v>38117.919999999998</v>
      </c>
      <c r="Q139" s="145">
        <v>488085.93</v>
      </c>
      <c r="R139" s="145">
        <v>526203.85</v>
      </c>
    </row>
    <row r="140" spans="12:18" ht="15" x14ac:dyDescent="0.25">
      <c r="L140" s="142" t="s">
        <v>450</v>
      </c>
      <c r="M140" s="143" t="s">
        <v>588</v>
      </c>
      <c r="N140" s="143" t="s">
        <v>324</v>
      </c>
      <c r="O140" s="144"/>
      <c r="P140" s="145"/>
      <c r="Q140" s="145">
        <v>0</v>
      </c>
      <c r="R140" s="145">
        <v>0</v>
      </c>
    </row>
    <row r="141" spans="12:18" ht="15" x14ac:dyDescent="0.25">
      <c r="L141" s="142" t="s">
        <v>451</v>
      </c>
      <c r="M141" s="143" t="s">
        <v>84</v>
      </c>
      <c r="N141" s="143" t="s">
        <v>324</v>
      </c>
      <c r="O141" s="144"/>
      <c r="P141" s="145">
        <v>28371.279999999999</v>
      </c>
      <c r="Q141" s="145">
        <v>943956.23</v>
      </c>
      <c r="R141" s="145">
        <v>972327.51</v>
      </c>
    </row>
    <row r="142" spans="12:18" ht="15" x14ac:dyDescent="0.25">
      <c r="L142" s="142" t="s">
        <v>452</v>
      </c>
      <c r="M142" s="143" t="s">
        <v>589</v>
      </c>
      <c r="N142" s="143" t="s">
        <v>324</v>
      </c>
      <c r="O142" s="144"/>
      <c r="P142" s="145"/>
      <c r="Q142" s="145">
        <v>0</v>
      </c>
      <c r="R142" s="145">
        <v>0</v>
      </c>
    </row>
    <row r="143" spans="12:18" ht="15" x14ac:dyDescent="0.25">
      <c r="L143" s="142" t="s">
        <v>453</v>
      </c>
      <c r="M143" s="143" t="s">
        <v>520</v>
      </c>
      <c r="N143" s="143" t="s">
        <v>324</v>
      </c>
      <c r="O143" s="144"/>
      <c r="P143" s="145">
        <v>8172.88</v>
      </c>
      <c r="Q143" s="145">
        <v>323575.14</v>
      </c>
      <c r="R143" s="145">
        <v>331748.02</v>
      </c>
    </row>
    <row r="144" spans="12:18" ht="15" x14ac:dyDescent="0.25">
      <c r="L144" s="142" t="s">
        <v>454</v>
      </c>
      <c r="M144" s="143" t="s">
        <v>173</v>
      </c>
      <c r="N144" s="143" t="s">
        <v>324</v>
      </c>
      <c r="O144" s="144"/>
      <c r="P144" s="145">
        <v>125650.63</v>
      </c>
      <c r="Q144" s="145">
        <v>607858.73</v>
      </c>
      <c r="R144" s="145">
        <v>733509.36</v>
      </c>
    </row>
    <row r="145" spans="12:18" ht="15.6" customHeight="1" x14ac:dyDescent="0.25">
      <c r="L145" s="142" t="s">
        <v>554</v>
      </c>
      <c r="M145" s="143" t="s">
        <v>555</v>
      </c>
      <c r="N145" s="143" t="s">
        <v>324</v>
      </c>
      <c r="O145" s="144"/>
      <c r="P145" s="145">
        <v>0</v>
      </c>
      <c r="Q145" s="145"/>
      <c r="R145" s="145">
        <v>0</v>
      </c>
    </row>
    <row r="146" spans="12:18" ht="15" x14ac:dyDescent="0.25">
      <c r="L146" s="142" t="s">
        <v>455</v>
      </c>
      <c r="M146" s="143" t="s">
        <v>172</v>
      </c>
      <c r="N146" s="143" t="s">
        <v>324</v>
      </c>
      <c r="O146" s="144"/>
      <c r="P146" s="145">
        <v>1702952.94</v>
      </c>
      <c r="Q146" s="145">
        <v>6737169.5099999998</v>
      </c>
      <c r="R146" s="145">
        <v>8440122.4499999993</v>
      </c>
    </row>
    <row r="147" spans="12:18" ht="15" x14ac:dyDescent="0.25">
      <c r="L147" s="142" t="s">
        <v>456</v>
      </c>
      <c r="M147" s="143" t="s">
        <v>171</v>
      </c>
      <c r="N147" s="143" t="s">
        <v>324</v>
      </c>
      <c r="O147" s="144"/>
      <c r="P147" s="145">
        <v>378.97</v>
      </c>
      <c r="Q147" s="145">
        <v>10561.12</v>
      </c>
      <c r="R147" s="145">
        <v>10940.09</v>
      </c>
    </row>
    <row r="148" spans="12:18" ht="15" x14ac:dyDescent="0.25">
      <c r="L148" s="142" t="s">
        <v>457</v>
      </c>
      <c r="M148" s="143" t="s">
        <v>174</v>
      </c>
      <c r="N148" s="143" t="s">
        <v>324</v>
      </c>
      <c r="O148" s="144"/>
      <c r="P148" s="145"/>
      <c r="Q148" s="145">
        <v>0</v>
      </c>
      <c r="R148" s="145">
        <v>0</v>
      </c>
    </row>
    <row r="149" spans="12:18" ht="15" x14ac:dyDescent="0.25">
      <c r="L149" s="142" t="s">
        <v>458</v>
      </c>
      <c r="M149" s="143" t="s">
        <v>175</v>
      </c>
      <c r="N149" s="143" t="s">
        <v>324</v>
      </c>
      <c r="O149" s="144"/>
      <c r="P149" s="145">
        <v>63838.9</v>
      </c>
      <c r="Q149" s="145">
        <v>210951.8</v>
      </c>
      <c r="R149" s="145">
        <v>274790.7</v>
      </c>
    </row>
    <row r="150" spans="12:18" ht="15" x14ac:dyDescent="0.25">
      <c r="L150" s="142" t="s">
        <v>459</v>
      </c>
      <c r="M150" s="143" t="s">
        <v>177</v>
      </c>
      <c r="N150" s="143" t="s">
        <v>324</v>
      </c>
      <c r="O150" s="144"/>
      <c r="P150" s="145">
        <v>163833.69</v>
      </c>
      <c r="Q150" s="145">
        <v>620393.04</v>
      </c>
      <c r="R150" s="145">
        <v>784226.73</v>
      </c>
    </row>
    <row r="151" spans="12:18" ht="15" x14ac:dyDescent="0.25">
      <c r="L151" s="142" t="s">
        <v>460</v>
      </c>
      <c r="M151" s="143" t="s">
        <v>178</v>
      </c>
      <c r="N151" s="143" t="s">
        <v>324</v>
      </c>
      <c r="O151" s="144"/>
      <c r="P151" s="145">
        <v>126761.58</v>
      </c>
      <c r="Q151" s="145">
        <v>261059.14</v>
      </c>
      <c r="R151" s="145">
        <v>387820.72000000003</v>
      </c>
    </row>
    <row r="152" spans="12:18" ht="15" x14ac:dyDescent="0.25">
      <c r="L152" s="142" t="s">
        <v>461</v>
      </c>
      <c r="M152" s="143" t="s">
        <v>85</v>
      </c>
      <c r="N152" s="143" t="s">
        <v>324</v>
      </c>
      <c r="O152" s="144"/>
      <c r="P152" s="145">
        <v>1509031.26</v>
      </c>
      <c r="Q152" s="145">
        <v>1104527.92</v>
      </c>
      <c r="R152" s="145">
        <v>2613559.1799999997</v>
      </c>
    </row>
    <row r="153" spans="12:18" ht="15" x14ac:dyDescent="0.25">
      <c r="L153" s="142" t="s">
        <v>462</v>
      </c>
      <c r="M153" s="143" t="s">
        <v>95</v>
      </c>
      <c r="N153" s="143" t="s">
        <v>324</v>
      </c>
      <c r="O153" s="144"/>
      <c r="P153" s="145"/>
      <c r="Q153" s="145">
        <v>0</v>
      </c>
      <c r="R153" s="145">
        <v>0</v>
      </c>
    </row>
    <row r="154" spans="12:18" ht="15" x14ac:dyDescent="0.25">
      <c r="L154" s="142" t="s">
        <v>463</v>
      </c>
      <c r="M154" s="143" t="s">
        <v>180</v>
      </c>
      <c r="N154" s="143" t="s">
        <v>324</v>
      </c>
      <c r="O154" s="144"/>
      <c r="P154" s="145">
        <v>10869.72</v>
      </c>
      <c r="Q154" s="145">
        <v>413230.83</v>
      </c>
      <c r="R154" s="145">
        <v>424100.55</v>
      </c>
    </row>
    <row r="155" spans="12:18" ht="15" x14ac:dyDescent="0.25">
      <c r="L155" s="142" t="s">
        <v>464</v>
      </c>
      <c r="M155" s="143" t="s">
        <v>179</v>
      </c>
      <c r="N155" s="143" t="s">
        <v>324</v>
      </c>
      <c r="O155" s="144"/>
      <c r="P155" s="145">
        <v>64514.83</v>
      </c>
      <c r="Q155" s="145">
        <v>519539.6</v>
      </c>
      <c r="R155" s="145">
        <v>584054.42999999993</v>
      </c>
    </row>
    <row r="156" spans="12:18" ht="15" x14ac:dyDescent="0.25">
      <c r="L156" s="142" t="s">
        <v>465</v>
      </c>
      <c r="M156" s="143" t="s">
        <v>176</v>
      </c>
      <c r="N156" s="143" t="s">
        <v>324</v>
      </c>
      <c r="O156" s="144"/>
      <c r="P156" s="145"/>
      <c r="Q156" s="145">
        <v>10658.24</v>
      </c>
      <c r="R156" s="145">
        <v>10658.24</v>
      </c>
    </row>
    <row r="157" spans="12:18" ht="15" x14ac:dyDescent="0.25">
      <c r="L157" s="142" t="s">
        <v>466</v>
      </c>
      <c r="M157" s="143" t="s">
        <v>182</v>
      </c>
      <c r="N157" s="143" t="s">
        <v>324</v>
      </c>
      <c r="O157" s="144"/>
      <c r="P157" s="145">
        <v>0</v>
      </c>
      <c r="Q157" s="145">
        <v>0</v>
      </c>
      <c r="R157" s="145">
        <v>0</v>
      </c>
    </row>
    <row r="158" spans="12:18" ht="15" x14ac:dyDescent="0.25">
      <c r="L158" s="142" t="s">
        <v>467</v>
      </c>
      <c r="M158" s="143" t="s">
        <v>185</v>
      </c>
      <c r="N158" s="143" t="s">
        <v>324</v>
      </c>
      <c r="O158" s="144"/>
      <c r="P158" s="145">
        <v>58501.51</v>
      </c>
      <c r="Q158" s="145">
        <v>890212.75</v>
      </c>
      <c r="R158" s="145">
        <v>948714.26</v>
      </c>
    </row>
    <row r="159" spans="12:18" ht="15" x14ac:dyDescent="0.25">
      <c r="L159" s="142" t="s">
        <v>468</v>
      </c>
      <c r="M159" s="143" t="s">
        <v>181</v>
      </c>
      <c r="N159" s="143" t="s">
        <v>324</v>
      </c>
      <c r="O159" s="144"/>
      <c r="P159" s="145"/>
      <c r="Q159" s="145">
        <v>6330.5</v>
      </c>
      <c r="R159" s="145">
        <v>6330.5</v>
      </c>
    </row>
    <row r="160" spans="12:18" ht="15" x14ac:dyDescent="0.25">
      <c r="L160" s="142" t="s">
        <v>469</v>
      </c>
      <c r="M160" s="143" t="s">
        <v>590</v>
      </c>
      <c r="N160" s="143" t="s">
        <v>324</v>
      </c>
      <c r="O160" s="144"/>
      <c r="P160" s="145"/>
      <c r="Q160" s="145">
        <v>0</v>
      </c>
      <c r="R160" s="145">
        <v>0</v>
      </c>
    </row>
    <row r="161" spans="12:18" ht="15" x14ac:dyDescent="0.25">
      <c r="L161" s="142" t="s">
        <v>470</v>
      </c>
      <c r="M161" s="143" t="s">
        <v>87</v>
      </c>
      <c r="N161" s="143" t="s">
        <v>324</v>
      </c>
      <c r="O161" s="144"/>
      <c r="P161" s="145">
        <v>63289.86</v>
      </c>
      <c r="Q161" s="145">
        <v>751837.39</v>
      </c>
      <c r="R161" s="145">
        <v>815127.25</v>
      </c>
    </row>
    <row r="162" spans="12:18" ht="15" x14ac:dyDescent="0.25">
      <c r="L162" s="142" t="s">
        <v>471</v>
      </c>
      <c r="M162" s="143" t="s">
        <v>183</v>
      </c>
      <c r="N162" s="143" t="s">
        <v>324</v>
      </c>
      <c r="O162" s="144"/>
      <c r="P162" s="145">
        <v>104063.56</v>
      </c>
      <c r="Q162" s="145">
        <v>378895.78</v>
      </c>
      <c r="R162" s="145">
        <v>482959.34</v>
      </c>
    </row>
    <row r="163" spans="12:18" ht="15" x14ac:dyDescent="0.25">
      <c r="L163" s="142" t="s">
        <v>472</v>
      </c>
      <c r="M163" s="143" t="s">
        <v>184</v>
      </c>
      <c r="N163" s="143" t="s">
        <v>324</v>
      </c>
      <c r="O163" s="144"/>
      <c r="P163" s="145">
        <v>34312.89</v>
      </c>
      <c r="Q163" s="145">
        <v>624703.5</v>
      </c>
      <c r="R163" s="145">
        <v>659016.39</v>
      </c>
    </row>
    <row r="164" spans="12:18" ht="15" x14ac:dyDescent="0.25">
      <c r="L164" s="142" t="s">
        <v>473</v>
      </c>
      <c r="M164" s="143" t="s">
        <v>186</v>
      </c>
      <c r="N164" s="143" t="s">
        <v>324</v>
      </c>
      <c r="O164" s="144"/>
      <c r="P164" s="145">
        <v>4645</v>
      </c>
      <c r="Q164" s="145">
        <v>220343.6</v>
      </c>
      <c r="R164" s="145">
        <v>224988.6</v>
      </c>
    </row>
    <row r="165" spans="12:18" ht="15" x14ac:dyDescent="0.25">
      <c r="L165" s="142" t="s">
        <v>474</v>
      </c>
      <c r="M165" s="143" t="s">
        <v>187</v>
      </c>
      <c r="N165" s="143" t="s">
        <v>324</v>
      </c>
      <c r="O165" s="144"/>
      <c r="P165" s="145">
        <v>112174.34</v>
      </c>
      <c r="Q165" s="145">
        <v>542739.62</v>
      </c>
      <c r="R165" s="145">
        <v>654913.96</v>
      </c>
    </row>
    <row r="166" spans="12:18" ht="15" x14ac:dyDescent="0.25">
      <c r="L166" s="142" t="s">
        <v>475</v>
      </c>
      <c r="M166" s="143" t="s">
        <v>190</v>
      </c>
      <c r="N166" s="143" t="s">
        <v>324</v>
      </c>
      <c r="O166" s="144"/>
      <c r="P166" s="145"/>
      <c r="Q166" s="145">
        <v>7450</v>
      </c>
      <c r="R166" s="145">
        <v>7450</v>
      </c>
    </row>
    <row r="167" spans="12:18" ht="17.399999999999999" customHeight="1" x14ac:dyDescent="0.25">
      <c r="L167" s="142" t="s">
        <v>476</v>
      </c>
      <c r="M167" s="143" t="s">
        <v>532</v>
      </c>
      <c r="N167" s="143" t="s">
        <v>325</v>
      </c>
      <c r="O167" s="144"/>
      <c r="P167" s="145"/>
      <c r="Q167" s="145">
        <v>0</v>
      </c>
      <c r="R167" s="145">
        <v>0</v>
      </c>
    </row>
    <row r="168" spans="12:18" ht="15" x14ac:dyDescent="0.25">
      <c r="L168" s="142" t="s">
        <v>477</v>
      </c>
      <c r="M168" s="143" t="s">
        <v>191</v>
      </c>
      <c r="N168" s="143" t="s">
        <v>324</v>
      </c>
      <c r="O168" s="144"/>
      <c r="P168" s="145">
        <v>142157.34</v>
      </c>
      <c r="Q168" s="145">
        <v>152334.6</v>
      </c>
      <c r="R168" s="145">
        <v>294491.94</v>
      </c>
    </row>
    <row r="169" spans="12:18" ht="15" x14ac:dyDescent="0.25">
      <c r="L169" s="142" t="s">
        <v>478</v>
      </c>
      <c r="M169" s="143" t="s">
        <v>86</v>
      </c>
      <c r="N169" s="143" t="s">
        <v>324</v>
      </c>
      <c r="O169" s="144"/>
      <c r="P169" s="145">
        <v>293035.81</v>
      </c>
      <c r="Q169" s="145">
        <v>1367428.73</v>
      </c>
      <c r="R169" s="145">
        <v>1660464.54</v>
      </c>
    </row>
    <row r="170" spans="12:18" ht="16.2" customHeight="1" x14ac:dyDescent="0.25">
      <c r="L170" s="142" t="s">
        <v>479</v>
      </c>
      <c r="M170" s="143" t="s">
        <v>533</v>
      </c>
      <c r="N170" s="143" t="s">
        <v>325</v>
      </c>
      <c r="O170" s="144"/>
      <c r="P170" s="145"/>
      <c r="Q170" s="145">
        <v>0</v>
      </c>
      <c r="R170" s="145">
        <v>0</v>
      </c>
    </row>
    <row r="171" spans="12:18" ht="15" x14ac:dyDescent="0.25">
      <c r="L171" s="142" t="s">
        <v>480</v>
      </c>
      <c r="M171" s="143" t="s">
        <v>192</v>
      </c>
      <c r="N171" s="143" t="s">
        <v>324</v>
      </c>
      <c r="O171" s="144"/>
      <c r="P171" s="145">
        <v>7866.01</v>
      </c>
      <c r="Q171" s="145">
        <v>151886.62</v>
      </c>
      <c r="R171" s="145">
        <v>159752.63</v>
      </c>
    </row>
    <row r="172" spans="12:18" ht="15" x14ac:dyDescent="0.25">
      <c r="L172" s="142" t="s">
        <v>521</v>
      </c>
      <c r="M172" s="143" t="s">
        <v>591</v>
      </c>
      <c r="N172" s="143" t="s">
        <v>324</v>
      </c>
      <c r="O172" s="144"/>
      <c r="P172" s="145"/>
      <c r="Q172" s="145">
        <v>0</v>
      </c>
      <c r="R172" s="145">
        <v>0</v>
      </c>
    </row>
    <row r="173" spans="12:18" ht="15" x14ac:dyDescent="0.25">
      <c r="L173" s="142" t="s">
        <v>481</v>
      </c>
      <c r="M173" s="143" t="s">
        <v>522</v>
      </c>
      <c r="N173" s="143" t="s">
        <v>523</v>
      </c>
      <c r="O173" s="144"/>
      <c r="P173" s="145">
        <v>7438.63</v>
      </c>
      <c r="Q173" s="145"/>
      <c r="R173" s="145">
        <v>7438.63</v>
      </c>
    </row>
    <row r="174" spans="12:18" ht="15" x14ac:dyDescent="0.25">
      <c r="L174" s="142" t="s">
        <v>592</v>
      </c>
      <c r="M174" s="143" t="s">
        <v>593</v>
      </c>
      <c r="N174" s="143" t="s">
        <v>324</v>
      </c>
      <c r="O174" s="144"/>
      <c r="P174" s="145"/>
      <c r="Q174" s="145">
        <v>0</v>
      </c>
      <c r="R174" s="145">
        <v>0</v>
      </c>
    </row>
    <row r="175" spans="12:18" ht="15" x14ac:dyDescent="0.25">
      <c r="L175" s="142" t="s">
        <v>483</v>
      </c>
      <c r="M175" s="143" t="s">
        <v>195</v>
      </c>
      <c r="N175" s="143" t="s">
        <v>324</v>
      </c>
      <c r="O175" s="144"/>
      <c r="P175" s="145"/>
      <c r="Q175" s="145">
        <v>3019.79</v>
      </c>
      <c r="R175" s="145">
        <v>3019.79</v>
      </c>
    </row>
    <row r="176" spans="12:18" ht="15" x14ac:dyDescent="0.25">
      <c r="L176" s="142" t="s">
        <v>484</v>
      </c>
      <c r="M176" s="143" t="s">
        <v>194</v>
      </c>
      <c r="N176" s="143" t="s">
        <v>324</v>
      </c>
      <c r="O176" s="144"/>
      <c r="P176" s="145">
        <v>61978.62</v>
      </c>
      <c r="Q176" s="145">
        <v>316370.71999999997</v>
      </c>
      <c r="R176" s="145">
        <v>378349.33999999997</v>
      </c>
    </row>
    <row r="177" spans="12:18" ht="15" x14ac:dyDescent="0.25">
      <c r="L177" s="142" t="s">
        <v>485</v>
      </c>
      <c r="M177" s="143" t="s">
        <v>189</v>
      </c>
      <c r="N177" s="143" t="s">
        <v>324</v>
      </c>
      <c r="O177" s="144"/>
      <c r="P177" s="145"/>
      <c r="Q177" s="145">
        <v>23125252.359999999</v>
      </c>
      <c r="R177" s="145">
        <v>23125252.359999999</v>
      </c>
    </row>
    <row r="178" spans="12:18" ht="15" x14ac:dyDescent="0.25">
      <c r="L178" s="142" t="s">
        <v>486</v>
      </c>
      <c r="M178" s="143" t="s">
        <v>487</v>
      </c>
      <c r="N178" s="143" t="s">
        <v>324</v>
      </c>
      <c r="O178" s="144"/>
      <c r="P178" s="145">
        <v>1995837.65</v>
      </c>
      <c r="Q178" s="145">
        <v>1324357.49</v>
      </c>
      <c r="R178" s="145">
        <v>3320195.1399999997</v>
      </c>
    </row>
    <row r="179" spans="12:18" ht="15" x14ac:dyDescent="0.25">
      <c r="L179" s="142" t="s">
        <v>488</v>
      </c>
      <c r="M179" s="143" t="s">
        <v>261</v>
      </c>
      <c r="N179" s="143" t="s">
        <v>324</v>
      </c>
      <c r="O179" s="144"/>
      <c r="P179" s="145">
        <v>451940.93</v>
      </c>
      <c r="Q179" s="145">
        <v>982296.14</v>
      </c>
      <c r="R179" s="145">
        <v>1434237.07</v>
      </c>
    </row>
    <row r="180" spans="12:18" ht="15" x14ac:dyDescent="0.25">
      <c r="L180" s="142" t="s">
        <v>489</v>
      </c>
      <c r="M180" s="143" t="s">
        <v>188</v>
      </c>
      <c r="N180" s="143" t="s">
        <v>324</v>
      </c>
      <c r="O180" s="144"/>
      <c r="P180" s="145"/>
      <c r="Q180" s="145">
        <v>49489.84</v>
      </c>
      <c r="R180" s="145">
        <v>49489.84</v>
      </c>
    </row>
    <row r="181" spans="12:18" ht="15" x14ac:dyDescent="0.25">
      <c r="L181" s="142" t="s">
        <v>490</v>
      </c>
      <c r="M181" s="143" t="s">
        <v>196</v>
      </c>
      <c r="N181" s="143" t="s">
        <v>324</v>
      </c>
      <c r="O181" s="144"/>
      <c r="P181" s="145"/>
      <c r="Q181" s="145">
        <v>10199.84</v>
      </c>
      <c r="R181" s="145">
        <v>10199.84</v>
      </c>
    </row>
    <row r="182" spans="12:18" ht="15" x14ac:dyDescent="0.25">
      <c r="L182" s="142" t="s">
        <v>491</v>
      </c>
      <c r="M182" s="143" t="s">
        <v>197</v>
      </c>
      <c r="N182" s="143" t="s">
        <v>324</v>
      </c>
      <c r="O182" s="144"/>
      <c r="P182" s="145">
        <v>1834.08</v>
      </c>
      <c r="Q182" s="145">
        <v>352545.3</v>
      </c>
      <c r="R182" s="145">
        <v>354379.38</v>
      </c>
    </row>
    <row r="183" spans="12:18" ht="15" x14ac:dyDescent="0.25">
      <c r="L183" s="142" t="s">
        <v>492</v>
      </c>
      <c r="M183" s="143" t="s">
        <v>198</v>
      </c>
      <c r="N183" s="143" t="s">
        <v>324</v>
      </c>
      <c r="O183" s="144"/>
      <c r="P183" s="145">
        <v>72330.899999999994</v>
      </c>
      <c r="Q183" s="145">
        <v>1089706.71</v>
      </c>
      <c r="R183" s="145">
        <v>1162037.6099999999</v>
      </c>
    </row>
    <row r="184" spans="12:18" ht="15" x14ac:dyDescent="0.25">
      <c r="L184" s="142" t="s">
        <v>493</v>
      </c>
      <c r="M184" s="143" t="s">
        <v>594</v>
      </c>
      <c r="N184" s="143" t="s">
        <v>324</v>
      </c>
      <c r="O184" s="144"/>
      <c r="P184" s="145"/>
      <c r="Q184" s="145">
        <v>0</v>
      </c>
      <c r="R184" s="145">
        <v>0</v>
      </c>
    </row>
    <row r="185" spans="12:18" ht="15" x14ac:dyDescent="0.25">
      <c r="L185" s="142" t="s">
        <v>494</v>
      </c>
      <c r="M185" s="143" t="s">
        <v>199</v>
      </c>
      <c r="N185" s="143" t="s">
        <v>324</v>
      </c>
      <c r="O185" s="144"/>
      <c r="P185" s="145">
        <v>44466.93</v>
      </c>
      <c r="Q185" s="145">
        <v>169638.07</v>
      </c>
      <c r="R185" s="145">
        <v>214105</v>
      </c>
    </row>
    <row r="186" spans="12:18" ht="15" x14ac:dyDescent="0.25">
      <c r="L186" s="142" t="s">
        <v>495</v>
      </c>
      <c r="M186" s="143" t="s">
        <v>595</v>
      </c>
      <c r="N186" s="143" t="s">
        <v>324</v>
      </c>
      <c r="O186" s="144"/>
      <c r="P186" s="145"/>
      <c r="Q186" s="145">
        <v>0</v>
      </c>
      <c r="R186" s="145">
        <v>0</v>
      </c>
    </row>
    <row r="187" spans="12:18" ht="15" x14ac:dyDescent="0.25">
      <c r="L187" s="142" t="s">
        <v>496</v>
      </c>
      <c r="M187" s="143" t="s">
        <v>202</v>
      </c>
      <c r="N187" s="143" t="s">
        <v>324</v>
      </c>
      <c r="O187" s="144"/>
      <c r="P187" s="145">
        <v>4106.87</v>
      </c>
      <c r="Q187" s="145">
        <v>440135.21</v>
      </c>
      <c r="R187" s="145">
        <v>444242.08</v>
      </c>
    </row>
    <row r="188" spans="12:18" ht="15" x14ac:dyDescent="0.25">
      <c r="L188" s="142" t="s">
        <v>497</v>
      </c>
      <c r="M188" s="143" t="s">
        <v>201</v>
      </c>
      <c r="N188" s="143" t="s">
        <v>324</v>
      </c>
      <c r="O188" s="144"/>
      <c r="P188" s="145"/>
      <c r="Q188" s="145">
        <v>22460.7</v>
      </c>
      <c r="R188" s="145">
        <v>22460.7</v>
      </c>
    </row>
    <row r="189" spans="12:18" ht="15" x14ac:dyDescent="0.25">
      <c r="L189" s="142" t="s">
        <v>498</v>
      </c>
      <c r="M189" s="143" t="s">
        <v>200</v>
      </c>
      <c r="N189" s="143" t="s">
        <v>324</v>
      </c>
      <c r="O189" s="144"/>
      <c r="P189" s="145"/>
      <c r="Q189" s="145">
        <v>7307.8</v>
      </c>
      <c r="R189" s="145">
        <v>7307.8</v>
      </c>
    </row>
    <row r="190" spans="12:18" ht="15" x14ac:dyDescent="0.25">
      <c r="L190" s="142" t="s">
        <v>499</v>
      </c>
      <c r="M190" s="143" t="s">
        <v>203</v>
      </c>
      <c r="N190" s="143" t="s">
        <v>324</v>
      </c>
      <c r="O190" s="144"/>
      <c r="P190" s="145"/>
      <c r="Q190" s="145">
        <v>506.71</v>
      </c>
      <c r="R190" s="145">
        <v>506.71</v>
      </c>
    </row>
    <row r="191" spans="12:18" ht="15" x14ac:dyDescent="0.25">
      <c r="L191" s="146" t="s">
        <v>500</v>
      </c>
      <c r="M191" s="231" t="s">
        <v>204</v>
      </c>
      <c r="N191" s="232" t="s">
        <v>324</v>
      </c>
      <c r="O191" s="144"/>
      <c r="P191" s="145"/>
      <c r="Q191" s="145">
        <v>5511.9</v>
      </c>
      <c r="R191" s="145">
        <v>5511.9</v>
      </c>
    </row>
    <row r="192" spans="12:18" ht="15" x14ac:dyDescent="0.25">
      <c r="L192" s="146" t="s">
        <v>501</v>
      </c>
      <c r="M192" s="231" t="s">
        <v>90</v>
      </c>
      <c r="N192" s="232" t="s">
        <v>324</v>
      </c>
      <c r="O192" s="144"/>
      <c r="P192" s="145">
        <v>153.82</v>
      </c>
      <c r="Q192" s="145">
        <v>166191.15</v>
      </c>
      <c r="R192" s="145">
        <v>166344.97</v>
      </c>
    </row>
    <row r="193" spans="12:19" ht="15" x14ac:dyDescent="0.25">
      <c r="L193" s="146" t="s">
        <v>502</v>
      </c>
      <c r="M193" s="231" t="s">
        <v>89</v>
      </c>
      <c r="N193" s="232" t="s">
        <v>324</v>
      </c>
      <c r="O193" s="144"/>
      <c r="P193" s="145">
        <v>97</v>
      </c>
      <c r="Q193" s="145">
        <v>497543.62</v>
      </c>
      <c r="R193" s="145">
        <v>497640.62</v>
      </c>
    </row>
    <row r="194" spans="12:19" ht="15" x14ac:dyDescent="0.25">
      <c r="L194" s="146" t="s">
        <v>503</v>
      </c>
      <c r="M194" s="231" t="s">
        <v>205</v>
      </c>
      <c r="N194" s="232" t="s">
        <v>324</v>
      </c>
      <c r="O194" s="144"/>
      <c r="P194" s="145"/>
      <c r="Q194" s="145">
        <v>1576.82</v>
      </c>
      <c r="R194" s="145">
        <v>1576.82</v>
      </c>
    </row>
    <row r="195" spans="12:19" ht="13.8" x14ac:dyDescent="0.25">
      <c r="L195" s="146" t="s">
        <v>0</v>
      </c>
      <c r="M195" s="147"/>
      <c r="N195" s="148"/>
      <c r="O195" s="144"/>
      <c r="P195" s="145">
        <v>27406930.079999991</v>
      </c>
      <c r="Q195" s="145">
        <v>90565340.249999955</v>
      </c>
      <c r="R195" s="145">
        <v>117972270.33000001</v>
      </c>
    </row>
    <row r="199" spans="12:19" x14ac:dyDescent="0.25">
      <c r="L199" s="18" t="s">
        <v>669</v>
      </c>
    </row>
    <row r="200" spans="12:19" x14ac:dyDescent="0.25">
      <c r="L200" s="18"/>
    </row>
    <row r="201" spans="12:19" ht="15" x14ac:dyDescent="0.25">
      <c r="L201" s="149" t="s">
        <v>596</v>
      </c>
      <c r="M201" s="149" t="s">
        <v>556</v>
      </c>
    </row>
    <row r="202" spans="12:19" x14ac:dyDescent="0.25">
      <c r="L202" s="18"/>
    </row>
    <row r="203" spans="12:19" ht="15" x14ac:dyDescent="0.25">
      <c r="L203" s="132"/>
      <c r="M203" s="133"/>
      <c r="N203" s="134"/>
      <c r="O203" s="135" t="s">
        <v>97</v>
      </c>
      <c r="P203" s="42" t="s">
        <v>306</v>
      </c>
      <c r="Q203" s="135" t="s">
        <v>99</v>
      </c>
      <c r="R203" s="136" t="s">
        <v>0</v>
      </c>
    </row>
    <row r="204" spans="12:19" ht="15.75" customHeight="1" x14ac:dyDescent="0.25">
      <c r="L204" s="137"/>
      <c r="M204" s="138"/>
      <c r="N204" s="139"/>
      <c r="O204" s="140"/>
      <c r="P204" s="123">
        <v>0.67766000000000004</v>
      </c>
      <c r="Q204" s="140" t="s">
        <v>208</v>
      </c>
      <c r="R204" s="141"/>
    </row>
    <row r="205" spans="12:19" ht="15.75" customHeight="1" x14ac:dyDescent="0.25">
      <c r="L205" s="142" t="s">
        <v>331</v>
      </c>
      <c r="M205" s="143" t="s">
        <v>100</v>
      </c>
      <c r="N205" s="143" t="s">
        <v>101</v>
      </c>
      <c r="O205" s="144"/>
      <c r="Q205" s="144"/>
      <c r="R205" s="144"/>
      <c r="S205" s="42"/>
    </row>
    <row r="206" spans="12:19" ht="16.5" customHeight="1" x14ac:dyDescent="0.25">
      <c r="L206" s="142" t="s">
        <v>670</v>
      </c>
      <c r="M206" s="143" t="s">
        <v>673</v>
      </c>
      <c r="N206" s="143" t="s">
        <v>324</v>
      </c>
      <c r="O206" s="144"/>
      <c r="Q206" s="145">
        <v>70929.37</v>
      </c>
      <c r="R206" s="145">
        <v>70929.37</v>
      </c>
      <c r="S206" s="42"/>
    </row>
    <row r="207" spans="12:19" ht="16.5" customHeight="1" x14ac:dyDescent="0.25">
      <c r="L207" s="142" t="s">
        <v>351</v>
      </c>
      <c r="M207" s="143" t="s">
        <v>674</v>
      </c>
      <c r="N207" s="143" t="s">
        <v>324</v>
      </c>
      <c r="O207" s="144"/>
      <c r="Q207" s="145">
        <v>10631.06</v>
      </c>
      <c r="R207" s="145">
        <v>10631.06</v>
      </c>
      <c r="S207" s="42"/>
    </row>
    <row r="208" spans="12:19" ht="16.5" customHeight="1" x14ac:dyDescent="0.25">
      <c r="L208" s="142" t="s">
        <v>390</v>
      </c>
      <c r="M208" s="143" t="s">
        <v>675</v>
      </c>
      <c r="N208" s="143" t="s">
        <v>324</v>
      </c>
      <c r="O208" s="144"/>
      <c r="Q208" s="145">
        <v>17777.189999999999</v>
      </c>
      <c r="R208" s="145">
        <v>17777.189999999999</v>
      </c>
      <c r="S208" s="42"/>
    </row>
    <row r="209" spans="12:19" ht="16.5" customHeight="1" x14ac:dyDescent="0.25">
      <c r="L209" s="142" t="s">
        <v>515</v>
      </c>
      <c r="M209" s="143" t="s">
        <v>597</v>
      </c>
      <c r="N209" s="143" t="s">
        <v>324</v>
      </c>
      <c r="O209" s="144"/>
      <c r="Q209" s="145">
        <v>34781.32</v>
      </c>
      <c r="R209" s="145">
        <v>34781.32</v>
      </c>
      <c r="S209" s="42"/>
    </row>
    <row r="210" spans="12:19" ht="16.5" customHeight="1" x14ac:dyDescent="0.25">
      <c r="L210" s="142" t="s">
        <v>671</v>
      </c>
      <c r="M210" s="143" t="s">
        <v>676</v>
      </c>
      <c r="N210" s="143" t="s">
        <v>325</v>
      </c>
      <c r="O210" s="144"/>
      <c r="Q210" s="145">
        <v>22026.400000000001</v>
      </c>
      <c r="R210" s="145">
        <v>22026.400000000001</v>
      </c>
      <c r="S210" s="42"/>
    </row>
    <row r="211" spans="12:19" ht="16.5" customHeight="1" x14ac:dyDescent="0.25">
      <c r="L211" s="142" t="s">
        <v>557</v>
      </c>
      <c r="M211" s="143" t="s">
        <v>558</v>
      </c>
      <c r="N211" s="143" t="s">
        <v>325</v>
      </c>
      <c r="O211" s="144"/>
      <c r="Q211" s="145">
        <v>109366.05</v>
      </c>
      <c r="R211" s="145">
        <v>109366.05</v>
      </c>
      <c r="S211" s="42"/>
    </row>
    <row r="212" spans="12:19" ht="16.5" customHeight="1" x14ac:dyDescent="0.25">
      <c r="L212" s="142" t="s">
        <v>437</v>
      </c>
      <c r="M212" s="143" t="s">
        <v>677</v>
      </c>
      <c r="N212" s="143" t="s">
        <v>523</v>
      </c>
      <c r="O212" s="144"/>
      <c r="Q212" s="145">
        <v>1972197.61</v>
      </c>
      <c r="R212" s="145">
        <v>1972197.61</v>
      </c>
      <c r="S212" s="42"/>
    </row>
    <row r="213" spans="12:19" ht="16.5" customHeight="1" x14ac:dyDescent="0.25">
      <c r="L213" s="142" t="s">
        <v>672</v>
      </c>
      <c r="M213" s="143" t="s">
        <v>678</v>
      </c>
      <c r="N213" s="143" t="s">
        <v>523</v>
      </c>
      <c r="O213" s="144"/>
      <c r="Q213" s="145">
        <v>836827.54</v>
      </c>
      <c r="R213" s="145">
        <v>836827.54</v>
      </c>
      <c r="S213" s="42"/>
    </row>
    <row r="214" spans="12:19" ht="16.5" customHeight="1" x14ac:dyDescent="0.25">
      <c r="L214" s="142" t="s">
        <v>559</v>
      </c>
      <c r="M214" s="143" t="s">
        <v>560</v>
      </c>
      <c r="N214" s="143" t="s">
        <v>523</v>
      </c>
      <c r="O214" s="144"/>
      <c r="Q214" s="145">
        <v>4256.16</v>
      </c>
      <c r="R214" s="145">
        <v>4256.16</v>
      </c>
      <c r="S214" s="42"/>
    </row>
    <row r="215" spans="12:19" ht="16.5" customHeight="1" x14ac:dyDescent="0.25">
      <c r="L215" s="146" t="s">
        <v>0</v>
      </c>
      <c r="M215" s="147"/>
      <c r="N215" s="148"/>
      <c r="O215" s="144"/>
      <c r="P215" s="124">
        <f>R215*P204</f>
        <v>2086374.6610820002</v>
      </c>
      <c r="Q215" s="145">
        <v>3078792.7</v>
      </c>
      <c r="R215" s="145">
        <v>3078792.7</v>
      </c>
    </row>
    <row r="216" spans="12:19" ht="16.5" customHeight="1" x14ac:dyDescent="0.25"/>
    <row r="217" spans="12:19" ht="16.5" customHeight="1" x14ac:dyDescent="0.25"/>
    <row r="241" spans="13:18" x14ac:dyDescent="0.25">
      <c r="M241"/>
      <c r="N241"/>
      <c r="O241"/>
      <c r="P241"/>
      <c r="Q241"/>
      <c r="R241" s="43"/>
    </row>
    <row r="242" spans="13:18" x14ac:dyDescent="0.25">
      <c r="M242"/>
      <c r="N242"/>
      <c r="O242"/>
      <c r="P242"/>
      <c r="Q242"/>
      <c r="R242" s="43"/>
    </row>
    <row r="243" spans="13:18" x14ac:dyDescent="0.25">
      <c r="M243"/>
      <c r="N243"/>
      <c r="O243"/>
      <c r="P243"/>
      <c r="Q243"/>
      <c r="R243" s="43"/>
    </row>
    <row r="244" spans="13:18" x14ac:dyDescent="0.25">
      <c r="M244"/>
      <c r="N244"/>
      <c r="O244"/>
      <c r="P244"/>
      <c r="Q244"/>
      <c r="R244" s="43"/>
    </row>
    <row r="245" spans="13:18" x14ac:dyDescent="0.25">
      <c r="M245"/>
      <c r="N245"/>
      <c r="O245"/>
      <c r="P245"/>
      <c r="Q245"/>
      <c r="R245" s="43"/>
    </row>
    <row r="246" spans="13:18" x14ac:dyDescent="0.25">
      <c r="M246"/>
      <c r="N246"/>
      <c r="O246"/>
      <c r="P246"/>
      <c r="Q246"/>
      <c r="R246" s="43"/>
    </row>
    <row r="247" spans="13:18" x14ac:dyDescent="0.25">
      <c r="M247"/>
      <c r="N247"/>
      <c r="O247"/>
      <c r="P247"/>
      <c r="Q247"/>
      <c r="R247" s="43"/>
    </row>
    <row r="248" spans="13:18" x14ac:dyDescent="0.25">
      <c r="M248"/>
      <c r="N248"/>
      <c r="O248"/>
      <c r="P248"/>
      <c r="Q248"/>
      <c r="R248" s="43"/>
    </row>
    <row r="249" spans="13:18" x14ac:dyDescent="0.25">
      <c r="M249"/>
      <c r="N249"/>
      <c r="O249"/>
      <c r="P249"/>
      <c r="Q249"/>
      <c r="R249" s="43"/>
    </row>
    <row r="250" spans="13:18" x14ac:dyDescent="0.25">
      <c r="M250"/>
      <c r="N250"/>
      <c r="O250"/>
      <c r="P250"/>
      <c r="Q250"/>
      <c r="R250" s="43"/>
    </row>
    <row r="251" spans="13:18" x14ac:dyDescent="0.25">
      <c r="M251"/>
      <c r="N251"/>
      <c r="O251"/>
      <c r="P251"/>
      <c r="Q251"/>
      <c r="R251" s="43"/>
    </row>
    <row r="252" spans="13:18" x14ac:dyDescent="0.25">
      <c r="M252"/>
      <c r="N252"/>
      <c r="O252"/>
      <c r="P252"/>
      <c r="Q252"/>
      <c r="R252" s="43"/>
    </row>
    <row r="253" spans="13:18" x14ac:dyDescent="0.25">
      <c r="M253"/>
      <c r="N253"/>
      <c r="O253"/>
      <c r="P253"/>
      <c r="Q253"/>
      <c r="R253" s="43"/>
    </row>
    <row r="254" spans="13:18" x14ac:dyDescent="0.25">
      <c r="M254"/>
      <c r="N254"/>
      <c r="O254"/>
      <c r="P254"/>
      <c r="Q254"/>
      <c r="R254" s="43"/>
    </row>
    <row r="255" spans="13:18" x14ac:dyDescent="0.25">
      <c r="M255"/>
      <c r="N255"/>
      <c r="O255"/>
      <c r="P255"/>
      <c r="Q255"/>
      <c r="R255" s="43"/>
    </row>
    <row r="256" spans="13:18" x14ac:dyDescent="0.25">
      <c r="M256"/>
      <c r="N256"/>
      <c r="O256"/>
      <c r="P256"/>
      <c r="Q256"/>
      <c r="R256" s="43"/>
    </row>
    <row r="257" spans="13:18" x14ac:dyDescent="0.25">
      <c r="M257"/>
      <c r="N257"/>
      <c r="O257"/>
      <c r="P257"/>
      <c r="Q257"/>
      <c r="R257" s="43"/>
    </row>
    <row r="258" spans="13:18" x14ac:dyDescent="0.25">
      <c r="M258"/>
      <c r="N258"/>
      <c r="O258"/>
      <c r="P258"/>
      <c r="Q258"/>
      <c r="R258" s="43"/>
    </row>
    <row r="259" spans="13:18" x14ac:dyDescent="0.25">
      <c r="M259"/>
      <c r="N259"/>
      <c r="O259"/>
      <c r="P259"/>
      <c r="Q259"/>
      <c r="R259" s="43"/>
    </row>
    <row r="260" spans="13:18" x14ac:dyDescent="0.25">
      <c r="M260"/>
      <c r="N260"/>
      <c r="O260"/>
      <c r="P260"/>
      <c r="Q260"/>
      <c r="R260" s="43"/>
    </row>
    <row r="261" spans="13:18" x14ac:dyDescent="0.25">
      <c r="M261"/>
      <c r="N261"/>
      <c r="O261"/>
      <c r="P261"/>
      <c r="Q261"/>
      <c r="R261" s="43"/>
    </row>
    <row r="262" spans="13:18" x14ac:dyDescent="0.25">
      <c r="M262"/>
      <c r="N262"/>
      <c r="O262"/>
      <c r="P262"/>
      <c r="Q262"/>
      <c r="R262" s="43"/>
    </row>
    <row r="263" spans="13:18" x14ac:dyDescent="0.25">
      <c r="M263"/>
      <c r="N263"/>
      <c r="O263"/>
      <c r="P263"/>
      <c r="Q263"/>
      <c r="R263" s="43"/>
    </row>
    <row r="264" spans="13:18" x14ac:dyDescent="0.25">
      <c r="M264"/>
      <c r="N264"/>
      <c r="O264"/>
      <c r="P264"/>
      <c r="Q264"/>
      <c r="R264" s="43"/>
    </row>
    <row r="265" spans="13:18" x14ac:dyDescent="0.25">
      <c r="M265"/>
      <c r="N265"/>
      <c r="O265"/>
      <c r="P265"/>
      <c r="Q265"/>
      <c r="R265" s="43"/>
    </row>
    <row r="266" spans="13:18" x14ac:dyDescent="0.25">
      <c r="M266"/>
      <c r="N266"/>
      <c r="O266"/>
      <c r="P266"/>
      <c r="Q266"/>
      <c r="R266" s="43"/>
    </row>
    <row r="267" spans="13:18" x14ac:dyDescent="0.25">
      <c r="M267"/>
      <c r="N267"/>
      <c r="O267"/>
      <c r="P267"/>
      <c r="Q267"/>
      <c r="R267" s="43"/>
    </row>
    <row r="268" spans="13:18" x14ac:dyDescent="0.25">
      <c r="M268"/>
      <c r="N268"/>
      <c r="O268"/>
      <c r="P268"/>
      <c r="Q268"/>
      <c r="R268" s="43"/>
    </row>
    <row r="269" spans="13:18" x14ac:dyDescent="0.25">
      <c r="M269"/>
      <c r="N269"/>
      <c r="O269"/>
      <c r="P269"/>
      <c r="Q269"/>
      <c r="R269" s="43"/>
    </row>
    <row r="270" spans="13:18" x14ac:dyDescent="0.25">
      <c r="M270"/>
      <c r="N270"/>
      <c r="O270"/>
      <c r="P270"/>
      <c r="Q270"/>
      <c r="R270" s="43"/>
    </row>
    <row r="271" spans="13:18" x14ac:dyDescent="0.25">
      <c r="M271"/>
      <c r="N271"/>
      <c r="O271"/>
      <c r="P271"/>
      <c r="Q271"/>
      <c r="R271" s="43"/>
    </row>
    <row r="272" spans="13:18" x14ac:dyDescent="0.25">
      <c r="M272"/>
      <c r="N272"/>
      <c r="O272"/>
      <c r="P272"/>
      <c r="Q272"/>
      <c r="R272" s="43"/>
    </row>
    <row r="273" spans="13:18" x14ac:dyDescent="0.25">
      <c r="M273"/>
      <c r="N273"/>
      <c r="O273"/>
      <c r="P273"/>
      <c r="Q273"/>
      <c r="R273" s="43"/>
    </row>
    <row r="274" spans="13:18" x14ac:dyDescent="0.25">
      <c r="M274"/>
      <c r="N274"/>
      <c r="O274"/>
      <c r="P274"/>
      <c r="Q274"/>
      <c r="R274" s="43"/>
    </row>
    <row r="275" spans="13:18" x14ac:dyDescent="0.25">
      <c r="M275"/>
      <c r="N275"/>
      <c r="O275"/>
      <c r="P275"/>
      <c r="Q275"/>
      <c r="R275" s="43"/>
    </row>
    <row r="276" spans="13:18" x14ac:dyDescent="0.25">
      <c r="M276"/>
      <c r="N276"/>
      <c r="O276"/>
      <c r="P276"/>
      <c r="Q276"/>
      <c r="R276" s="43"/>
    </row>
    <row r="277" spans="13:18" x14ac:dyDescent="0.25">
      <c r="M277"/>
      <c r="N277"/>
      <c r="O277"/>
      <c r="P277"/>
      <c r="Q277"/>
      <c r="R277" s="43"/>
    </row>
    <row r="278" spans="13:18" x14ac:dyDescent="0.25">
      <c r="M278"/>
      <c r="N278"/>
      <c r="O278"/>
      <c r="P278"/>
      <c r="Q278"/>
      <c r="R278" s="43"/>
    </row>
    <row r="279" spans="13:18" x14ac:dyDescent="0.25">
      <c r="M279"/>
      <c r="N279"/>
      <c r="O279"/>
      <c r="P279"/>
      <c r="Q279"/>
      <c r="R279" s="43"/>
    </row>
    <row r="280" spans="13:18" x14ac:dyDescent="0.25">
      <c r="M280"/>
      <c r="N280"/>
      <c r="O280"/>
      <c r="P280"/>
      <c r="Q280"/>
      <c r="R280" s="43"/>
    </row>
    <row r="281" spans="13:18" x14ac:dyDescent="0.25">
      <c r="M281"/>
      <c r="N281"/>
      <c r="O281"/>
      <c r="P281"/>
      <c r="Q281"/>
      <c r="R281" s="43"/>
    </row>
    <row r="282" spans="13:18" x14ac:dyDescent="0.25">
      <c r="M282"/>
      <c r="N282"/>
      <c r="O282"/>
      <c r="P282"/>
      <c r="Q282"/>
      <c r="R282" s="43"/>
    </row>
    <row r="283" spans="13:18" x14ac:dyDescent="0.25">
      <c r="M283"/>
      <c r="N283"/>
      <c r="O283"/>
      <c r="P283"/>
      <c r="Q283"/>
      <c r="R283" s="43"/>
    </row>
    <row r="284" spans="13:18" x14ac:dyDescent="0.25">
      <c r="M284"/>
      <c r="N284"/>
      <c r="O284"/>
      <c r="P284"/>
      <c r="Q284"/>
      <c r="R284" s="43"/>
    </row>
    <row r="285" spans="13:18" x14ac:dyDescent="0.25">
      <c r="M285"/>
      <c r="N285"/>
      <c r="O285"/>
      <c r="P285"/>
      <c r="Q285"/>
      <c r="R285" s="43"/>
    </row>
    <row r="286" spans="13:18" x14ac:dyDescent="0.25">
      <c r="M286"/>
      <c r="N286"/>
      <c r="O286"/>
      <c r="P286"/>
      <c r="Q286"/>
      <c r="R286" s="43"/>
    </row>
    <row r="287" spans="13:18" x14ac:dyDescent="0.25">
      <c r="M287"/>
      <c r="N287"/>
      <c r="O287"/>
      <c r="P287"/>
      <c r="Q287"/>
      <c r="R287" s="43"/>
    </row>
  </sheetData>
  <customSheetViews>
    <customSheetView guid="{DEF9EA2D-EECC-4092-9C86-17CCB814CCD7}" printArea="1" topLeftCell="K1">
      <selection activeCell="M1" sqref="M1:R185"/>
      <pageMargins left="0.71" right="0.6" top="0.82" bottom="0.7" header="0.6" footer="0.4"/>
      <printOptions horizontalCentered="1"/>
      <pageSetup scale="85" orientation="portrait" horizontalDpi="4294967292" r:id="rId1"/>
      <headerFooter alignWithMargins="0">
        <oddHeader>&amp;C&amp;A</oddHeader>
        <oddFooter>&amp;C&amp;F&amp;Rtlk &amp;D</oddFooter>
      </headerFooter>
    </customSheetView>
  </customSheetViews>
  <mergeCells count="1">
    <mergeCell ref="E53:E54"/>
  </mergeCells>
  <phoneticPr fontId="0" type="noConversion"/>
  <conditionalFormatting sqref="I49">
    <cfRule type="expression" dxfId="0" priority="1" stopIfTrue="1">
      <formula>ABS(I49)&gt;1</formula>
    </cfRule>
  </conditionalFormatting>
  <printOptions horizontalCentered="1"/>
  <pageMargins left="0.5" right="0.5" top="0.82" bottom="0.5" header="0.6" footer="0.3"/>
  <pageSetup scale="73" orientation="portrait" horizontalDpi="1200" verticalDpi="1200" r:id="rId2"/>
  <headerFooter scaleWithDoc="0">
    <oddHeader>&amp;C&amp;A</oddHeader>
    <oddFooter>&amp;L&amp;"Geneva,Regular"&amp;F / &amp;A</oddFooter>
  </headerFooter>
  <rowBreaks count="1" manualBreakCount="1">
    <brk id="52" max="9" man="1"/>
  </rowBreak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418CD8-E7F0-41D9-8679-63BE004E197E}"/>
</file>

<file path=customXml/itemProps2.xml><?xml version="1.0" encoding="utf-8"?>
<ds:datastoreItem xmlns:ds="http://schemas.openxmlformats.org/officeDocument/2006/customXml" ds:itemID="{E7969FBF-A3C9-49F8-9847-1ADC8BAB9AD5}"/>
</file>

<file path=customXml/itemProps3.xml><?xml version="1.0" encoding="utf-8"?>
<ds:datastoreItem xmlns:ds="http://schemas.openxmlformats.org/officeDocument/2006/customXml" ds:itemID="{6EA509B5-0396-4772-BAF9-A51142A86DF6}"/>
</file>

<file path=customXml/itemProps4.xml><?xml version="1.0" encoding="utf-8"?>
<ds:datastoreItem xmlns:ds="http://schemas.openxmlformats.org/officeDocument/2006/customXml" ds:itemID="{463A13A5-9022-42D1-8A32-852C3273A8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LF Calc</vt:lpstr>
      <vt:lpstr>928 Reg Fees</vt:lpstr>
      <vt:lpstr>902 and 903</vt:lpstr>
      <vt:lpstr>Primary-Secondary</vt:lpstr>
      <vt:lpstr>DA Sch 25</vt:lpstr>
      <vt:lpstr>area lights</vt:lpstr>
      <vt:lpstr>Substations </vt:lpstr>
      <vt:lpstr>Cost</vt:lpstr>
      <vt:lpstr>'902 and 903'!data_902_903</vt:lpstr>
      <vt:lpstr>Line_Mile_Tables</vt:lpstr>
      <vt:lpstr>Load_Ratio</vt:lpstr>
      <vt:lpstr>Page_1</vt:lpstr>
      <vt:lpstr>Page_2</vt:lpstr>
      <vt:lpstr>'902 and 903'!Print_Area</vt:lpstr>
      <vt:lpstr>'Primary-Secondary'!Print_Area</vt:lpstr>
      <vt:lpstr>'Substations '!Print_Area</vt:lpstr>
      <vt:lpstr>'Substations '!Print_Titles</vt:lpstr>
      <vt:lpstr>Substation_Ending_Balances</vt:lpstr>
      <vt:lpstr>summary_902_903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tlk</dc:creator>
  <cp:lastModifiedBy>tlk</cp:lastModifiedBy>
  <cp:lastPrinted>2019-04-23T21:59:43Z</cp:lastPrinted>
  <dcterms:created xsi:type="dcterms:W3CDTF">1998-08-20T23:17:59Z</dcterms:created>
  <dcterms:modified xsi:type="dcterms:W3CDTF">2019-04-23T21:59:50Z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