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Direct Testimony &amp; Exhibits-FILING 190___\I. UE_AVA Dir Evidence-(Apr19)\3. UE_AVA WP's (Apr19)\12. UG__Miller WP(AVA-Apr19)\Electronic\"/>
    </mc:Choice>
  </mc:AlternateContent>
  <bookViews>
    <workbookView xWindow="-15" yWindow="-15" windowWidth="12120" windowHeight="9465" tabRatio="960"/>
  </bookViews>
  <sheets>
    <sheet name="Table 1 - Elec Cust Count" sheetId="50" r:id="rId1"/>
    <sheet name="Table 2 -2019 Elec Rate %" sheetId="3" r:id="rId2"/>
    <sheet name="Tables 3-4 - 1-11 Rates of Ret." sheetId="55" r:id="rId3"/>
    <sheet name="Table 5 - Elec COS Results" sheetId="23" r:id="rId4"/>
    <sheet name="Table - GAS CUST COUNT" sheetId="24" r:id="rId5"/>
    <sheet name="Rev Adj" sheetId="57" r:id="rId6"/>
    <sheet name="Gas COS" sheetId="58" r:id="rId7"/>
    <sheet name="Table GAS%" sheetId="48" r:id="rId8"/>
    <sheet name="Table GAS COS" sheetId="49" r:id="rId9"/>
    <sheet name="WA 146 Bill Impact" sheetId="8" r:id="rId10"/>
    <sheet name="Schedule 11 Analysis" sheetId="20" r:id="rId11"/>
    <sheet name="Elec COS Results Prior GRCs" sheetId="56" r:id="rId12"/>
  </sheets>
  <externalReferences>
    <externalReference r:id="rId13"/>
  </externalReferences>
  <definedNames>
    <definedName name="DIS">'[1]Lev and Tilt'!$C$24</definedName>
    <definedName name="_xlnm.Print_Area" localSheetId="11">'Elec COS Results Prior GRCs'!$A$3:$P$16</definedName>
    <definedName name="_xlnm.Print_Area" localSheetId="4">'Table - GAS CUST COUNT'!$A$1:$B$8</definedName>
    <definedName name="_xlnm.Print_Area" localSheetId="0">'Table 1 - Elec Cust Count'!$B$1:$C$9</definedName>
    <definedName name="_xlnm.Print_Area" localSheetId="1">'Table 2 -2019 Elec Rate %'!$A$1:$F$28</definedName>
    <definedName name="_xlnm.Print_Area" localSheetId="3">'Table 5 - Elec COS Results'!$A$1:$L$19</definedName>
    <definedName name="_xlnm.Print_Area" localSheetId="8">'Table GAS COS'!$A$1:$L$14</definedName>
    <definedName name="_xlnm.Print_Area" localSheetId="7">'Table GAS%'!$A$1:$E$27</definedName>
    <definedName name="_xlnm.Print_Area" localSheetId="9">'WA 146 Bill Impact'!$A$1:$E$29</definedName>
  </definedNames>
  <calcPr calcId="152511"/>
</workbook>
</file>

<file path=xl/calcChain.xml><?xml version="1.0" encoding="utf-8"?>
<calcChain xmlns="http://schemas.openxmlformats.org/spreadsheetml/2006/main">
  <c r="E10" i="49" l="1"/>
  <c r="E11" i="49"/>
  <c r="E9" i="49"/>
  <c r="E8" i="49"/>
  <c r="D13" i="57"/>
  <c r="I12" i="57"/>
  <c r="D10" i="57"/>
  <c r="I9" i="57"/>
  <c r="I11" i="57" s="1"/>
  <c r="I14" i="57" s="1"/>
  <c r="D8" i="57"/>
  <c r="I7" i="57"/>
  <c r="I6" i="57"/>
  <c r="B4" i="24" l="1"/>
  <c r="E30" i="55" l="1"/>
  <c r="E14" i="55"/>
  <c r="C8" i="50"/>
  <c r="C6" i="50"/>
  <c r="C5" i="50"/>
  <c r="C4" i="50"/>
  <c r="C17" i="8" l="1"/>
  <c r="C27" i="8" s="1"/>
  <c r="C18" i="8"/>
  <c r="C28" i="8" s="1"/>
  <c r="C19" i="8"/>
  <c r="C20" i="8"/>
  <c r="C16" i="8"/>
  <c r="C26" i="8" s="1"/>
  <c r="B17" i="8"/>
  <c r="B27" i="8" s="1"/>
  <c r="B18" i="8"/>
  <c r="B28" i="8" s="1"/>
  <c r="B19" i="8"/>
  <c r="B20" i="8"/>
  <c r="B16" i="8"/>
  <c r="B26" i="8" s="1"/>
  <c r="C15" i="8" l="1"/>
  <c r="C25" i="8"/>
  <c r="C29" i="8" s="1"/>
  <c r="B25" i="8"/>
  <c r="B29" i="8" s="1"/>
  <c r="B15" i="8"/>
  <c r="D29" i="8" l="1"/>
  <c r="S7" i="20" l="1"/>
  <c r="S8" i="20" s="1"/>
  <c r="S4" i="20"/>
  <c r="S5" i="20" s="1"/>
  <c r="D4" i="20" l="1"/>
  <c r="E4" i="20" s="1"/>
  <c r="C5" i="20"/>
  <c r="D5" i="20" s="1"/>
  <c r="D7" i="20"/>
  <c r="C8" i="20"/>
  <c r="D8" i="20" s="1"/>
  <c r="G4" i="20"/>
  <c r="H4" i="20" s="1"/>
  <c r="E7" i="20" l="1"/>
  <c r="U6" i="20" s="1"/>
  <c r="T6" i="20"/>
  <c r="T3" i="20"/>
  <c r="E8" i="20"/>
  <c r="U7" i="20" s="1"/>
  <c r="T7" i="20"/>
  <c r="E5" i="20"/>
  <c r="U4" i="20" s="1"/>
  <c r="T4" i="20"/>
  <c r="F4" i="20"/>
  <c r="U3" i="20"/>
  <c r="G5" i="20"/>
  <c r="V4" i="20" s="1"/>
  <c r="G7" i="20"/>
  <c r="V6" i="20" s="1"/>
  <c r="V3" i="20"/>
  <c r="G8" i="20"/>
  <c r="V7" i="20" s="1"/>
  <c r="C9" i="20"/>
  <c r="D9" i="20" s="1"/>
  <c r="T8" i="20" s="1"/>
  <c r="C6" i="20"/>
  <c r="D6" i="20" s="1"/>
  <c r="T5" i="20" s="1"/>
  <c r="F8" i="20" l="1"/>
  <c r="F7" i="20"/>
  <c r="F5" i="20"/>
  <c r="W3" i="20"/>
  <c r="W4" i="20"/>
  <c r="H5" i="20"/>
  <c r="I5" i="20" s="1"/>
  <c r="H8" i="20"/>
  <c r="H7" i="20"/>
  <c r="E9" i="20"/>
  <c r="G9" i="20"/>
  <c r="E6" i="20"/>
  <c r="U5" i="20" s="1"/>
  <c r="G6" i="20"/>
  <c r="V5" i="20" s="1"/>
  <c r="F6" i="20" l="1"/>
  <c r="F9" i="20"/>
  <c r="U8" i="20"/>
  <c r="W6" i="20"/>
  <c r="I8" i="20"/>
  <c r="H6" i="20"/>
  <c r="I6" i="20" s="1"/>
  <c r="W7" i="20"/>
  <c r="V8" i="20"/>
  <c r="H9" i="20"/>
  <c r="I9" i="20" s="1"/>
  <c r="W8" i="20" l="1"/>
  <c r="W5" i="20"/>
</calcChain>
</file>

<file path=xl/sharedStrings.xml><?xml version="1.0" encoding="utf-8"?>
<sst xmlns="http://schemas.openxmlformats.org/spreadsheetml/2006/main" count="261" uniqueCount="127">
  <si>
    <t>Overall</t>
  </si>
  <si>
    <t>Extra Large General Service Schedule 25</t>
  </si>
  <si>
    <t>Rate Schedule</t>
  </si>
  <si>
    <t>Street &amp; Area Lights Schedules</t>
  </si>
  <si>
    <t>Present</t>
  </si>
  <si>
    <t>Proposed</t>
  </si>
  <si>
    <t>Relative</t>
  </si>
  <si>
    <t>ROR</t>
  </si>
  <si>
    <t xml:space="preserve">Transportation Service Schedule 146          </t>
  </si>
  <si>
    <t>Schedule 146 - Billing Impact</t>
  </si>
  <si>
    <t>Average Monthly Usage</t>
  </si>
  <si>
    <t>Current Rates</t>
  </si>
  <si>
    <t>Proposed Rates</t>
  </si>
  <si>
    <t>No. of Customers</t>
  </si>
  <si>
    <t>Schedule 11</t>
  </si>
  <si>
    <t>Demand</t>
  </si>
  <si>
    <t>Block 2</t>
  </si>
  <si>
    <t>Block 1</t>
  </si>
  <si>
    <t>Basic</t>
  </si>
  <si>
    <t>Effective kWh</t>
  </si>
  <si>
    <t>Bill under Proposed Rates</t>
  </si>
  <si>
    <t>Bill Under Present Rates</t>
  </si>
  <si>
    <t>Monthly kWhs</t>
  </si>
  <si>
    <t>Load Factor</t>
  </si>
  <si>
    <t>kW Demand</t>
  </si>
  <si>
    <t>(g)</t>
  </si>
  <si>
    <t>(f)</t>
  </si>
  <si>
    <t>(e)</t>
  </si>
  <si>
    <t>(d)</t>
  </si>
  <si>
    <t>(c)</t>
  </si>
  <si>
    <t>(b)</t>
  </si>
  <si>
    <t>(a)</t>
  </si>
  <si>
    <t>Line #</t>
  </si>
  <si>
    <t>Option 1 - OVERALL to Block 1, Reduction to Block 2</t>
  </si>
  <si>
    <t>% Increase</t>
  </si>
  <si>
    <t>Table 6 - Present and Proposed Schedule 11 Bills &amp; Effective kWh Rates</t>
  </si>
  <si>
    <t>Bill Under Proposed Rates</t>
  </si>
  <si>
    <t>Table 7 - Schedule 11 Bill Impact</t>
  </si>
  <si>
    <t>First 20k</t>
  </si>
  <si>
    <t>Next 30k</t>
  </si>
  <si>
    <t>Next 250k</t>
  </si>
  <si>
    <t>Next 200k</t>
  </si>
  <si>
    <t>All else</t>
  </si>
  <si>
    <t>Total Bill</t>
  </si>
  <si>
    <t>LDC Rates</t>
  </si>
  <si>
    <t>Increase</t>
  </si>
  <si>
    <t>TABLES</t>
  </si>
  <si>
    <t>Increase in Base Rates</t>
  </si>
  <si>
    <t>Increase in Billing Rates</t>
  </si>
  <si>
    <t>Total</t>
  </si>
  <si>
    <t>Street &amp; Area Lights</t>
  </si>
  <si>
    <t>General Service Schedules 11/12</t>
  </si>
  <si>
    <t>Large General Service Schedules 21/22</t>
  </si>
  <si>
    <t>Pumping Service Schedules 31/32</t>
  </si>
  <si>
    <t>Street &amp; Area Lights Schedules 41-48</t>
  </si>
  <si>
    <t>Large General Service Schedules 111/112</t>
  </si>
  <si>
    <t>Ex. Lg. General Service Schedules 121/122</t>
  </si>
  <si>
    <t>Interruptible Sales Service Schedules 131/132</t>
  </si>
  <si>
    <t>Interrupt. Sales Service Schedules 131/132</t>
  </si>
  <si>
    <t>Gas Cost</t>
  </si>
  <si>
    <t>Relative ROR</t>
  </si>
  <si>
    <t>Transportation Service Schedule 146/148</t>
  </si>
  <si>
    <t>Bill with LDC and $0.35 Commodity</t>
  </si>
  <si>
    <t>ADD $0.35 to Rates</t>
  </si>
  <si>
    <t>Increase in Margin Rates</t>
  </si>
  <si>
    <t>Table X - Proposed % Natural Gas Increase by Schedule</t>
  </si>
  <si>
    <t>Residential Schedules 1/2</t>
  </si>
  <si>
    <t>Table  5 - Present &amp; Proposed Relative Rates of Return (Electric)</t>
  </si>
  <si>
    <t>Avista</t>
  </si>
  <si>
    <t>Cost of Service Study Sponsor</t>
  </si>
  <si>
    <t>UE-160228</t>
  </si>
  <si>
    <t>Table No. 3</t>
  </si>
  <si>
    <t>Table No. 4</t>
  </si>
  <si>
    <t>Schedules 1/2 Relative Rate of Return</t>
  </si>
  <si>
    <t>Schedules 11/12 Relative Rate of Return</t>
  </si>
  <si>
    <t>UE-120436</t>
  </si>
  <si>
    <t>UE-140188</t>
  </si>
  <si>
    <t>UE-150204</t>
  </si>
  <si>
    <t>Staff</t>
  </si>
  <si>
    <t>ICNU</t>
  </si>
  <si>
    <t>Average</t>
  </si>
  <si>
    <t>Avista Docket</t>
  </si>
  <si>
    <t>41-48</t>
  </si>
  <si>
    <t>30/31/32</t>
  </si>
  <si>
    <t>Pumping Service</t>
  </si>
  <si>
    <t>Ultra Large General Svc.</t>
  </si>
  <si>
    <t>Extra Large General Svc.</t>
  </si>
  <si>
    <t>21/22</t>
  </si>
  <si>
    <t>Large General Service</t>
  </si>
  <si>
    <t>11/12</t>
  </si>
  <si>
    <t>General Service</t>
  </si>
  <si>
    <t>1/2</t>
  </si>
  <si>
    <t>Residential</t>
  </si>
  <si>
    <t>Number</t>
  </si>
  <si>
    <t>Service</t>
  </si>
  <si>
    <t>Sch.</t>
  </si>
  <si>
    <t>Type of</t>
  </si>
  <si>
    <t>Return Ratio at Present Rates</t>
  </si>
  <si>
    <t xml:space="preserve">Special Contracts Schedule 148          </t>
  </si>
  <si>
    <t>Transportation Service Schedule 146</t>
  </si>
  <si>
    <t>General Service Schedules 101/102</t>
  </si>
  <si>
    <t>Table x - Present &amp; Proposed Relative Rates of Return (Natural Gas)</t>
  </si>
  <si>
    <t>Large General Service Schedules 111/112/116</t>
  </si>
  <si>
    <t xml:space="preserve">Table  2 - Proposed % Electric Increase by Schedule </t>
  </si>
  <si>
    <t>UE-170485</t>
  </si>
  <si>
    <t>updated 4.17.19</t>
  </si>
  <si>
    <t>Weather Adjustment</t>
  </si>
  <si>
    <t>Revenue Adjustment</t>
  </si>
  <si>
    <t>General Business Revenue (Sales)</t>
  </si>
  <si>
    <t>General Business Revenue</t>
  </si>
  <si>
    <t>Other Revenue (Decoupling Deferred)</t>
  </si>
  <si>
    <t>Other Revenue (Eliminate Decoupling Deferred)</t>
  </si>
  <si>
    <t>Total Revenue (Net Adjustment)</t>
  </si>
  <si>
    <t>Other Revenue (Eliminate Provision for Refund)</t>
  </si>
  <si>
    <t>Less:  Purchased Gas Expense</t>
  </si>
  <si>
    <t>Distribution Margin Weather Adjustment</t>
  </si>
  <si>
    <t>Eliminate Purchased Gas Expense</t>
  </si>
  <si>
    <t>Less:  Revenue Related Expenses</t>
  </si>
  <si>
    <t>Distribution Margin Adjustment</t>
  </si>
  <si>
    <t>Less:  Federal Income Tax</t>
  </si>
  <si>
    <t>Revenue Related Expenses</t>
  </si>
  <si>
    <t>Net Operating Income</t>
  </si>
  <si>
    <t>Federal Income Tax</t>
  </si>
  <si>
    <t>Rate of Return</t>
  </si>
  <si>
    <t>Return Ratio</t>
  </si>
  <si>
    <t>Total Washington Natural Gas System</t>
  </si>
  <si>
    <t>Ex. Lg. General Service Schedules 121/122/126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</si>
</sst>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[Red]\(&quot;$&quot;#,##0.00000\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&quot;$&quot;#,##0.00"/>
    <numFmt numFmtId="169" formatCode="&quot;$&quot;#,##0.00000"/>
    <numFmt numFmtId="170" formatCode="_(&quot;$&quot;* #,##0.00000_);_(&quot;$&quot;* \(#,##0.00000\);_(&quot;$&quot;* &quot;-&quot;?????_);_(@_)"/>
    <numFmt numFmtId="171" formatCode="_(&quot;$&quot;* #,##0.000000_);_(&quot;$&quot;* \(#,##0.000000\);_(&quot;$&quot;* &quot;-&quot;??_);_(@_)"/>
    <numFmt numFmtId="172" formatCode="0.00000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 val="double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2"/>
    </font>
    <font>
      <u val="singleAccounting"/>
      <sz val="12"/>
      <color theme="1"/>
      <name val="Times New Roman"/>
      <family val="1"/>
    </font>
    <font>
      <u val="double"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129">
    <xf numFmtId="0" fontId="0" fillId="0" borderId="0" xfId="0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/>
    <xf numFmtId="0" fontId="8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 wrapText="1"/>
    </xf>
    <xf numFmtId="10" fontId="3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165" fontId="3" fillId="2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2" borderId="0" xfId="0" applyFont="1" applyFill="1" applyAlignment="1">
      <alignment horizontal="center"/>
    </xf>
    <xf numFmtId="0" fontId="6" fillId="0" borderId="0" xfId="0" applyFont="1" applyFill="1"/>
    <xf numFmtId="10" fontId="7" fillId="0" borderId="0" xfId="1" applyNumberFormat="1" applyFont="1" applyFill="1"/>
    <xf numFmtId="0" fontId="1" fillId="0" borderId="0" xfId="0" applyFont="1" applyFill="1"/>
    <xf numFmtId="0" fontId="0" fillId="0" borderId="0" xfId="0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164" fontId="0" fillId="0" borderId="0" xfId="0" applyNumberFormat="1" applyAlignment="1">
      <alignment horizontal="center"/>
    </xf>
    <xf numFmtId="0" fontId="1" fillId="2" borderId="0" xfId="0" applyFont="1" applyFill="1" applyBorder="1"/>
    <xf numFmtId="0" fontId="1" fillId="0" borderId="0" xfId="0" applyFont="1" applyFill="1" applyBorder="1"/>
    <xf numFmtId="0" fontId="8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indent="3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4" fontId="0" fillId="0" borderId="0" xfId="2" applyFont="1"/>
    <xf numFmtId="44" fontId="0" fillId="0" borderId="0" xfId="0" applyNumberFormat="1"/>
    <xf numFmtId="0" fontId="8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wrapText="1"/>
    </xf>
    <xf numFmtId="9" fontId="3" fillId="2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7" fontId="0" fillId="0" borderId="0" xfId="2" applyNumberFormat="1" applyFont="1"/>
    <xf numFmtId="167" fontId="0" fillId="0" borderId="0" xfId="2" applyNumberFormat="1" applyFont="1" applyFill="1"/>
    <xf numFmtId="166" fontId="0" fillId="0" borderId="0" xfId="3" applyNumberFormat="1" applyFont="1" applyFill="1"/>
    <xf numFmtId="0" fontId="0" fillId="0" borderId="0" xfId="0" applyAlignment="1">
      <alignment horizontal="center"/>
    </xf>
    <xf numFmtId="9" fontId="0" fillId="0" borderId="0" xfId="1" applyFont="1" applyFill="1"/>
    <xf numFmtId="165" fontId="4" fillId="2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37" fontId="3" fillId="2" borderId="0" xfId="0" applyNumberFormat="1" applyFont="1" applyFill="1" applyBorder="1" applyAlignment="1">
      <alignment horizontal="center"/>
    </xf>
    <xf numFmtId="8" fontId="5" fillId="2" borderId="0" xfId="0" applyNumberFormat="1" applyFont="1" applyFill="1" applyBorder="1" applyAlignment="1">
      <alignment horizontal="center"/>
    </xf>
    <xf numFmtId="8" fontId="0" fillId="2" borderId="0" xfId="0" applyNumberFormat="1" applyFill="1"/>
    <xf numFmtId="170" fontId="0" fillId="0" borderId="0" xfId="0" applyNumberFormat="1"/>
    <xf numFmtId="171" fontId="0" fillId="0" borderId="0" xfId="0" applyNumberFormat="1"/>
    <xf numFmtId="170" fontId="0" fillId="0" borderId="0" xfId="0" applyNumberFormat="1" applyFill="1"/>
    <xf numFmtId="0" fontId="9" fillId="2" borderId="0" xfId="0" applyFont="1" applyFill="1" applyBorder="1" applyAlignment="1"/>
    <xf numFmtId="0" fontId="0" fillId="3" borderId="0" xfId="0" applyFill="1"/>
    <xf numFmtId="168" fontId="0" fillId="0" borderId="0" xfId="2" applyNumberFormat="1" applyFont="1"/>
    <xf numFmtId="169" fontId="0" fillId="0" borderId="0" xfId="2" applyNumberFormat="1" applyFont="1"/>
    <xf numFmtId="166" fontId="1" fillId="0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8" fontId="4" fillId="2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65" fontId="12" fillId="2" borderId="0" xfId="0" applyNumberFormat="1" applyFont="1" applyFill="1" applyBorder="1" applyAlignment="1">
      <alignment horizontal="center" wrapText="1"/>
    </xf>
    <xf numFmtId="8" fontId="0" fillId="0" borderId="0" xfId="0" applyNumberFormat="1" applyFill="1"/>
    <xf numFmtId="165" fontId="0" fillId="0" borderId="0" xfId="1" applyNumberFormat="1" applyFont="1"/>
    <xf numFmtId="0" fontId="10" fillId="2" borderId="0" xfId="0" applyFont="1" applyFill="1"/>
    <xf numFmtId="165" fontId="3" fillId="2" borderId="0" xfId="0" applyNumberFormat="1" applyFont="1" applyFill="1" applyBorder="1" applyAlignment="1">
      <alignment horizontal="center" wrapText="1"/>
    </xf>
    <xf numFmtId="165" fontId="4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168" fontId="0" fillId="0" borderId="0" xfId="2" applyNumberFormat="1" applyFont="1" applyFill="1"/>
    <xf numFmtId="8" fontId="0" fillId="3" borderId="0" xfId="0" applyNumberFormat="1" applyFill="1"/>
    <xf numFmtId="14" fontId="0" fillId="0" borderId="0" xfId="0" applyNumberFormat="1"/>
    <xf numFmtId="0" fontId="10" fillId="0" borderId="0" xfId="0" applyFont="1" applyFill="1"/>
    <xf numFmtId="169" fontId="0" fillId="0" borderId="0" xfId="2" applyNumberFormat="1" applyFont="1" applyFill="1"/>
    <xf numFmtId="172" fontId="0" fillId="2" borderId="0" xfId="0" applyNumberFormat="1" applyFill="1"/>
    <xf numFmtId="0" fontId="0" fillId="2" borderId="0" xfId="0" applyFill="1" applyBorder="1"/>
    <xf numFmtId="0" fontId="8" fillId="2" borderId="0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14" fillId="0" borderId="0" xfId="7"/>
    <xf numFmtId="43" fontId="0" fillId="0" borderId="0" xfId="8" applyFont="1" applyAlignment="1">
      <alignment horizontal="center"/>
    </xf>
    <xf numFmtId="0" fontId="14" fillId="0" borderId="0" xfId="7" applyAlignment="1">
      <alignment horizontal="center"/>
    </xf>
    <xf numFmtId="43" fontId="0" fillId="0" borderId="0" xfId="8" applyFont="1" applyFill="1" applyAlignment="1">
      <alignment horizontal="center"/>
    </xf>
    <xf numFmtId="43" fontId="0" fillId="0" borderId="2" xfId="8" applyFont="1" applyBorder="1" applyAlignment="1">
      <alignment horizontal="center"/>
    </xf>
    <xf numFmtId="43" fontId="0" fillId="0" borderId="3" xfId="8" applyFont="1" applyBorder="1" applyAlignment="1">
      <alignment horizontal="center"/>
    </xf>
    <xf numFmtId="0" fontId="14" fillId="0" borderId="3" xfId="7" applyBorder="1" applyAlignment="1">
      <alignment horizontal="center"/>
    </xf>
    <xf numFmtId="43" fontId="0" fillId="0" borderId="3" xfId="8" applyFont="1" applyFill="1" applyBorder="1" applyAlignment="1">
      <alignment horizontal="center"/>
    </xf>
    <xf numFmtId="43" fontId="0" fillId="0" borderId="4" xfId="8" applyFont="1" applyFill="1" applyBorder="1" applyAlignment="1">
      <alignment horizontal="center"/>
    </xf>
    <xf numFmtId="43" fontId="0" fillId="0" borderId="5" xfId="8" applyFont="1" applyBorder="1" applyAlignment="1">
      <alignment horizontal="center"/>
    </xf>
    <xf numFmtId="43" fontId="0" fillId="0" borderId="6" xfId="8" applyFont="1" applyBorder="1" applyAlignment="1">
      <alignment horizontal="center"/>
    </xf>
    <xf numFmtId="0" fontId="14" fillId="0" borderId="6" xfId="7" applyBorder="1" applyAlignment="1">
      <alignment horizontal="center"/>
    </xf>
    <xf numFmtId="43" fontId="0" fillId="0" borderId="6" xfId="8" applyFont="1" applyFill="1" applyBorder="1" applyAlignment="1">
      <alignment horizontal="center"/>
    </xf>
    <xf numFmtId="43" fontId="0" fillId="0" borderId="7" xfId="8" applyFont="1" applyFill="1" applyBorder="1" applyAlignment="1">
      <alignment horizontal="center"/>
    </xf>
    <xf numFmtId="0" fontId="5" fillId="0" borderId="0" xfId="7" applyFont="1"/>
    <xf numFmtId="0" fontId="5" fillId="2" borderId="0" xfId="0" applyFont="1" applyFill="1" applyBorder="1" applyAlignment="1">
      <alignment horizontal="center"/>
    </xf>
    <xf numFmtId="172" fontId="0" fillId="3" borderId="0" xfId="0" applyNumberFormat="1" applyFill="1"/>
    <xf numFmtId="0" fontId="14" fillId="0" borderId="6" xfId="7" applyBorder="1"/>
    <xf numFmtId="0" fontId="14" fillId="0" borderId="3" xfId="7" applyBorder="1"/>
    <xf numFmtId="0" fontId="3" fillId="0" borderId="0" xfId="0" applyFont="1"/>
    <xf numFmtId="173" fontId="3" fillId="0" borderId="0" xfId="2" applyNumberFormat="1" applyFont="1"/>
    <xf numFmtId="173" fontId="15" fillId="0" borderId="0" xfId="2" applyNumberFormat="1" applyFont="1"/>
    <xf numFmtId="173" fontId="15" fillId="0" borderId="0" xfId="2" applyNumberFormat="1" applyFont="1" applyBorder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10" fontId="3" fillId="2" borderId="0" xfId="1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indent="3"/>
    </xf>
    <xf numFmtId="10" fontId="16" fillId="2" borderId="0" xfId="1" applyNumberFormat="1" applyFont="1" applyFill="1" applyBorder="1" applyAlignment="1">
      <alignment horizontal="center"/>
    </xf>
    <xf numFmtId="2" fontId="16" fillId="2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0" fillId="0" borderId="14" xfId="0" applyBorder="1"/>
    <xf numFmtId="9" fontId="1" fillId="2" borderId="0" xfId="1" applyFont="1" applyFill="1" applyBorder="1"/>
    <xf numFmtId="2" fontId="1" fillId="2" borderId="0" xfId="0" applyNumberFormat="1" applyFont="1" applyFill="1" applyBorder="1"/>
    <xf numFmtId="165" fontId="12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165" fontId="12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 wrapText="1"/>
    </xf>
    <xf numFmtId="0" fontId="5" fillId="0" borderId="0" xfId="7" applyFont="1" applyAlignment="1">
      <alignment horizontal="center"/>
    </xf>
  </cellXfs>
  <cellStyles count="9">
    <cellStyle name="Comma" xfId="3" builtinId="3"/>
    <cellStyle name="Comma 2" xfId="4"/>
    <cellStyle name="Comma 3" xfId="8"/>
    <cellStyle name="Currency" xfId="2" builtinId="4"/>
    <cellStyle name="Normal" xfId="0" builtinId="0"/>
    <cellStyle name="Normal 2" xfId="5"/>
    <cellStyle name="Normal 3" xfId="7"/>
    <cellStyle name="Percent" xfId="1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67235</xdr:colOff>
      <xdr:row>3</xdr:row>
      <xdr:rowOff>112059</xdr:rowOff>
    </xdr:from>
    <xdr:to>
      <xdr:col>16</xdr:col>
      <xdr:colOff>347383</xdr:colOff>
      <xdr:row>3</xdr:row>
      <xdr:rowOff>123265</xdr:rowOff>
    </xdr:to>
    <xdr:cxnSp macro="">
      <xdr:nvCxnSpPr>
        <xdr:cNvPr id="3" name="Straight Arrow Connector 2"/>
        <xdr:cNvCxnSpPr/>
      </xdr:nvCxnSpPr>
      <xdr:spPr>
        <a:xfrm>
          <a:off x="9614647" y="986118"/>
          <a:ext cx="2117912" cy="112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78442</xdr:colOff>
      <xdr:row>3</xdr:row>
      <xdr:rowOff>89647</xdr:rowOff>
    </xdr:from>
    <xdr:to>
      <xdr:col>11</xdr:col>
      <xdr:colOff>571500</xdr:colOff>
      <xdr:row>3</xdr:row>
      <xdr:rowOff>100853</xdr:rowOff>
    </xdr:to>
    <xdr:cxnSp macro="">
      <xdr:nvCxnSpPr>
        <xdr:cNvPr id="5" name="Straight Arrow Connector 4"/>
        <xdr:cNvCxnSpPr/>
      </xdr:nvCxnSpPr>
      <xdr:spPr>
        <a:xfrm rot="10800000">
          <a:off x="7182971" y="963706"/>
          <a:ext cx="1703294" cy="112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2013%20WA%20Avoided%20Cost%20Filing%20Sch%2062/Jan%202014%20Avoided%20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 and Tilt"/>
      <sheetName val="IRP Prices"/>
    </sheetNames>
    <sheetDataSet>
      <sheetData sheetId="0">
        <row r="24">
          <cell r="C24">
            <v>6.5799999999999997E-2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13"/>
  <sheetViews>
    <sheetView tabSelected="1" zoomScaleNormal="100" zoomScaleSheetLayoutView="115" workbookViewId="0">
      <selection activeCell="B20" sqref="B20"/>
    </sheetView>
  </sheetViews>
  <sheetFormatPr defaultRowHeight="15" x14ac:dyDescent="0.25"/>
  <cols>
    <col min="1" max="1" width="9.140625" style="23"/>
    <col min="2" max="2" width="46.140625" style="23" customWidth="1"/>
    <col min="3" max="3" width="27" style="23" customWidth="1"/>
    <col min="4" max="4" width="21.5703125" style="23" customWidth="1"/>
    <col min="5" max="5" width="9.140625" style="23"/>
    <col min="6" max="6" width="41.7109375" style="23" customWidth="1"/>
    <col min="7" max="7" width="21.5703125" style="23" customWidth="1"/>
    <col min="8" max="16384" width="9.140625" style="23"/>
  </cols>
  <sheetData>
    <row r="1" spans="2:6" ht="15" customHeight="1" x14ac:dyDescent="0.25">
      <c r="B1" s="22"/>
      <c r="C1" s="22"/>
    </row>
    <row r="2" spans="2:6" ht="15.75" x14ac:dyDescent="0.25">
      <c r="B2" s="124"/>
      <c r="C2" s="125"/>
    </row>
    <row r="3" spans="2:6" ht="15.75" x14ac:dyDescent="0.25">
      <c r="B3" s="10" t="s">
        <v>2</v>
      </c>
      <c r="C3" s="101" t="s">
        <v>13</v>
      </c>
    </row>
    <row r="4" spans="2:6" ht="15.75" customHeight="1" x14ac:dyDescent="0.25">
      <c r="B4" s="4" t="s">
        <v>66</v>
      </c>
      <c r="C4" s="25">
        <f>216760+366</f>
        <v>217126</v>
      </c>
      <c r="F4" s="63"/>
    </row>
    <row r="5" spans="2:6" ht="15.75" customHeight="1" x14ac:dyDescent="0.25">
      <c r="B5" s="4" t="s">
        <v>51</v>
      </c>
      <c r="C5" s="25">
        <f>22730+9600</f>
        <v>32330</v>
      </c>
      <c r="F5" s="63"/>
    </row>
    <row r="6" spans="2:6" ht="15.75" customHeight="1" x14ac:dyDescent="0.25">
      <c r="B6" s="4" t="s">
        <v>52</v>
      </c>
      <c r="C6" s="25">
        <f>1857+44</f>
        <v>1901</v>
      </c>
      <c r="F6" s="63"/>
    </row>
    <row r="7" spans="2:6" ht="15.75" customHeight="1" x14ac:dyDescent="0.25">
      <c r="B7" s="4" t="s">
        <v>1</v>
      </c>
      <c r="C7" s="26">
        <v>23</v>
      </c>
      <c r="F7" s="63"/>
    </row>
    <row r="8" spans="2:6" ht="15.75" x14ac:dyDescent="0.25">
      <c r="B8" s="4" t="s">
        <v>53</v>
      </c>
      <c r="C8" s="25">
        <f>46+1180+1194</f>
        <v>2420</v>
      </c>
      <c r="F8" s="63"/>
    </row>
    <row r="9" spans="2:6" ht="15.75" customHeight="1" x14ac:dyDescent="0.25">
      <c r="B9" s="22"/>
      <c r="C9" s="22"/>
      <c r="F9" s="63"/>
    </row>
    <row r="10" spans="2:6" ht="15.75" x14ac:dyDescent="0.25">
      <c r="B10" s="66"/>
      <c r="C10" s="28"/>
    </row>
    <row r="11" spans="2:6" x14ac:dyDescent="0.25">
      <c r="B11" s="32"/>
      <c r="C11" s="32"/>
    </row>
    <row r="12" spans="2:6" x14ac:dyDescent="0.25">
      <c r="B12" s="32"/>
      <c r="C12" s="32"/>
    </row>
    <row r="13" spans="2:6" x14ac:dyDescent="0.25">
      <c r="B13" s="32"/>
      <c r="C13" s="32"/>
    </row>
  </sheetData>
  <mergeCells count="1">
    <mergeCell ref="B2:C2"/>
  </mergeCells>
  <pageMargins left="0.7" right="0.38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1"/>
  <sheetViews>
    <sheetView workbookViewId="0">
      <selection activeCell="G15" sqref="G15"/>
    </sheetView>
  </sheetViews>
  <sheetFormatPr defaultRowHeight="15" x14ac:dyDescent="0.25"/>
  <cols>
    <col min="1" max="1" width="13.5703125" customWidth="1"/>
    <col min="2" max="3" width="16.5703125" customWidth="1"/>
    <col min="4" max="4" width="8.7109375" bestFit="1" customWidth="1"/>
    <col min="5" max="5" width="9.42578125" customWidth="1"/>
    <col min="6" max="6" width="19.5703125" customWidth="1"/>
    <col min="7" max="7" width="16.7109375" customWidth="1"/>
  </cols>
  <sheetData>
    <row r="1" spans="1:7" x14ac:dyDescent="0.25">
      <c r="A1" s="14" t="s">
        <v>9</v>
      </c>
      <c r="B1" s="12"/>
      <c r="C1" s="12"/>
      <c r="D1" s="12"/>
      <c r="E1" s="12"/>
      <c r="F1" s="12"/>
      <c r="G1" s="12"/>
    </row>
    <row r="2" spans="1:7" x14ac:dyDescent="0.25">
      <c r="A2" s="79"/>
      <c r="B2" s="12"/>
      <c r="C2" s="12"/>
      <c r="D2" s="12"/>
      <c r="E2" s="12"/>
      <c r="F2" s="12"/>
      <c r="G2" s="12"/>
    </row>
    <row r="3" spans="1:7" x14ac:dyDescent="0.25">
      <c r="A3" s="12" t="s">
        <v>10</v>
      </c>
      <c r="B3" s="12"/>
      <c r="C3" s="47">
        <v>74183</v>
      </c>
      <c r="D3" s="78"/>
      <c r="E3" s="12"/>
      <c r="F3" s="12" t="s">
        <v>59</v>
      </c>
      <c r="G3" s="69">
        <v>0.35</v>
      </c>
    </row>
    <row r="4" spans="1:7" x14ac:dyDescent="0.25">
      <c r="A4" s="12"/>
      <c r="B4" s="12"/>
      <c r="C4" s="12"/>
      <c r="D4" s="12"/>
      <c r="E4" s="12"/>
      <c r="F4" s="12"/>
      <c r="G4" s="12"/>
    </row>
    <row r="5" spans="1:7" x14ac:dyDescent="0.25">
      <c r="A5" s="20" t="s">
        <v>44</v>
      </c>
      <c r="B5" t="s">
        <v>11</v>
      </c>
      <c r="C5" t="s">
        <v>12</v>
      </c>
      <c r="D5" s="12"/>
      <c r="E5" s="12"/>
      <c r="F5" s="12"/>
      <c r="G5" s="12"/>
    </row>
    <row r="6" spans="1:7" ht="16.5" customHeight="1" x14ac:dyDescent="0.25">
      <c r="A6" t="s">
        <v>18</v>
      </c>
      <c r="B6" s="61">
        <v>550</v>
      </c>
      <c r="C6" s="76">
        <v>625</v>
      </c>
      <c r="D6" s="49"/>
      <c r="F6" s="12"/>
      <c r="G6" s="12"/>
    </row>
    <row r="7" spans="1:7" ht="16.5" customHeight="1" x14ac:dyDescent="0.25">
      <c r="A7" t="s">
        <v>38</v>
      </c>
      <c r="B7" s="62">
        <v>9.4659999999999994E-2</v>
      </c>
      <c r="C7" s="80">
        <v>0.10836</v>
      </c>
      <c r="D7" s="49"/>
      <c r="E7" s="58"/>
      <c r="F7" s="12"/>
      <c r="G7" s="12"/>
    </row>
    <row r="8" spans="1:7" ht="16.5" customHeight="1" x14ac:dyDescent="0.25">
      <c r="A8" t="s">
        <v>39</v>
      </c>
      <c r="B8" s="62">
        <v>8.3970000000000003E-2</v>
      </c>
      <c r="C8" s="80">
        <v>9.6159999999999995E-2</v>
      </c>
      <c r="D8" s="49"/>
      <c r="E8" s="58"/>
      <c r="F8" s="12"/>
      <c r="G8" s="12"/>
    </row>
    <row r="9" spans="1:7" ht="16.5" customHeight="1" x14ac:dyDescent="0.25">
      <c r="A9" t="s">
        <v>40</v>
      </c>
      <c r="B9" s="62">
        <v>7.5499999999999998E-2</v>
      </c>
      <c r="C9" s="80">
        <v>8.6489999999999997E-2</v>
      </c>
      <c r="D9" s="49"/>
      <c r="E9" s="58"/>
      <c r="F9" s="12"/>
      <c r="G9" s="12"/>
    </row>
    <row r="10" spans="1:7" ht="16.5" customHeight="1" x14ac:dyDescent="0.35">
      <c r="A10" t="s">
        <v>41</v>
      </c>
      <c r="B10" s="62">
        <v>6.9650000000000004E-2</v>
      </c>
      <c r="C10" s="80">
        <v>7.9810000000000006E-2</v>
      </c>
      <c r="D10" s="49"/>
      <c r="E10" s="58"/>
      <c r="F10" s="15"/>
      <c r="G10" s="12"/>
    </row>
    <row r="11" spans="1:7" ht="16.5" customHeight="1" x14ac:dyDescent="0.25">
      <c r="A11" t="s">
        <v>42</v>
      </c>
      <c r="B11" s="62">
        <v>5.1790000000000003E-2</v>
      </c>
      <c r="C11" s="80">
        <v>5.9429999999999997E-2</v>
      </c>
      <c r="D11" s="49"/>
      <c r="F11" s="58"/>
      <c r="G11" s="12"/>
    </row>
    <row r="12" spans="1:7" x14ac:dyDescent="0.25">
      <c r="C12" s="62"/>
      <c r="D12" s="12"/>
      <c r="E12" s="58"/>
      <c r="F12" s="12"/>
      <c r="G12" s="12"/>
    </row>
    <row r="13" spans="1:7" x14ac:dyDescent="0.25">
      <c r="A13" s="20" t="s">
        <v>63</v>
      </c>
      <c r="D13" s="16"/>
      <c r="E13" s="16"/>
      <c r="F13" s="16"/>
      <c r="G13" s="16"/>
    </row>
    <row r="14" spans="1:7" x14ac:dyDescent="0.25">
      <c r="B14" t="s">
        <v>11</v>
      </c>
      <c r="C14" t="s">
        <v>12</v>
      </c>
    </row>
    <row r="15" spans="1:7" x14ac:dyDescent="0.25">
      <c r="A15" t="s">
        <v>18</v>
      </c>
      <c r="B15" s="61">
        <f>$B$6</f>
        <v>550</v>
      </c>
      <c r="C15" s="36">
        <f>$C$6</f>
        <v>625</v>
      </c>
    </row>
    <row r="16" spans="1:7" x14ac:dyDescent="0.25">
      <c r="A16" t="s">
        <v>38</v>
      </c>
      <c r="B16" s="45">
        <f>$G$3+B7</f>
        <v>0.44465999999999994</v>
      </c>
      <c r="C16" s="46">
        <f>$G$3+C7</f>
        <v>0.45835999999999999</v>
      </c>
      <c r="D16" s="57"/>
    </row>
    <row r="17" spans="1:5" x14ac:dyDescent="0.25">
      <c r="A17" t="s">
        <v>39</v>
      </c>
      <c r="B17" s="45">
        <f t="shared" ref="B17:C20" si="0">$G$3+B8</f>
        <v>0.43396999999999997</v>
      </c>
      <c r="C17" s="46">
        <f t="shared" si="0"/>
        <v>0.44616</v>
      </c>
      <c r="D17" s="57"/>
      <c r="E17" s="56"/>
    </row>
    <row r="18" spans="1:5" x14ac:dyDescent="0.25">
      <c r="A18" t="s">
        <v>40</v>
      </c>
      <c r="B18" s="45">
        <f t="shared" si="0"/>
        <v>0.42549999999999999</v>
      </c>
      <c r="C18" s="46">
        <f t="shared" si="0"/>
        <v>0.43648999999999999</v>
      </c>
      <c r="D18" s="57"/>
    </row>
    <row r="19" spans="1:5" x14ac:dyDescent="0.25">
      <c r="A19" t="s">
        <v>41</v>
      </c>
      <c r="B19" s="45">
        <f t="shared" si="0"/>
        <v>0.41964999999999997</v>
      </c>
      <c r="C19" s="46">
        <f t="shared" si="0"/>
        <v>0.42980999999999997</v>
      </c>
      <c r="D19" s="57"/>
    </row>
    <row r="20" spans="1:5" x14ac:dyDescent="0.25">
      <c r="A20" t="s">
        <v>42</v>
      </c>
      <c r="B20" s="45">
        <f t="shared" si="0"/>
        <v>0.40178999999999998</v>
      </c>
      <c r="C20" s="46">
        <f t="shared" si="0"/>
        <v>0.40942999999999996</v>
      </c>
      <c r="D20" s="57"/>
    </row>
    <row r="23" spans="1:5" x14ac:dyDescent="0.25">
      <c r="A23" s="20" t="s">
        <v>62</v>
      </c>
    </row>
    <row r="24" spans="1:5" x14ac:dyDescent="0.25">
      <c r="B24" t="s">
        <v>11</v>
      </c>
      <c r="C24" t="s">
        <v>12</v>
      </c>
    </row>
    <row r="25" spans="1:5" x14ac:dyDescent="0.25">
      <c r="A25" t="s">
        <v>18</v>
      </c>
      <c r="B25" s="37">
        <f>$B$6</f>
        <v>550</v>
      </c>
      <c r="C25" s="37">
        <f>$C$6</f>
        <v>625</v>
      </c>
    </row>
    <row r="26" spans="1:5" x14ac:dyDescent="0.25">
      <c r="A26" t="s">
        <v>38</v>
      </c>
      <c r="B26" s="37">
        <f>20000*B16</f>
        <v>8893.1999999999989</v>
      </c>
      <c r="C26" s="37">
        <f>20000*C16</f>
        <v>9167.1999999999989</v>
      </c>
    </row>
    <row r="27" spans="1:5" x14ac:dyDescent="0.25">
      <c r="A27" t="s">
        <v>39</v>
      </c>
      <c r="B27" s="37">
        <f>30000*B17</f>
        <v>13019.099999999999</v>
      </c>
      <c r="C27" s="37">
        <f>30000*C17</f>
        <v>13384.8</v>
      </c>
    </row>
    <row r="28" spans="1:5" x14ac:dyDescent="0.25">
      <c r="A28" t="s">
        <v>40</v>
      </c>
      <c r="B28" s="37">
        <f>(C3-50000)*B18</f>
        <v>10289.8665</v>
      </c>
      <c r="C28" s="37">
        <f>(C3-50000)*C18</f>
        <v>10555.63767</v>
      </c>
    </row>
    <row r="29" spans="1:5" x14ac:dyDescent="0.25">
      <c r="A29" t="s">
        <v>43</v>
      </c>
      <c r="B29" s="37">
        <f>SUM(B25:B28)</f>
        <v>32752.166499999996</v>
      </c>
      <c r="C29" s="37">
        <f>SUM(C25:C28)</f>
        <v>33732.637669999996</v>
      </c>
      <c r="D29" s="70">
        <f>(C29-B29)/B29</f>
        <v>2.9936070641311648E-2</v>
      </c>
      <c r="E29" t="s">
        <v>45</v>
      </c>
    </row>
    <row r="31" spans="1:5" x14ac:dyDescent="0.25">
      <c r="C31" s="3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6"/>
  <sheetViews>
    <sheetView zoomScale="70" zoomScaleNormal="70" workbookViewId="0">
      <selection activeCell="V31" sqref="V31"/>
    </sheetView>
  </sheetViews>
  <sheetFormatPr defaultRowHeight="15" x14ac:dyDescent="0.25"/>
  <cols>
    <col min="2" max="2" width="10.42578125" customWidth="1"/>
    <col min="3" max="3" width="9.5703125" customWidth="1"/>
    <col min="4" max="4" width="9.7109375" customWidth="1"/>
    <col min="5" max="5" width="16.28515625" customWidth="1"/>
    <col min="6" max="6" width="12.5703125" customWidth="1"/>
    <col min="7" max="7" width="16" customWidth="1"/>
    <col min="8" max="8" width="12.28515625" customWidth="1"/>
    <col min="9" max="9" width="11.7109375" bestFit="1" customWidth="1"/>
    <col min="13" max="13" width="9.42578125" bestFit="1" customWidth="1"/>
    <col min="14" max="14" width="11.42578125" customWidth="1"/>
    <col min="18" max="18" width="13.140625" customWidth="1"/>
    <col min="20" max="20" width="13.5703125" customWidth="1"/>
    <col min="21" max="21" width="16.5703125" customWidth="1"/>
    <col min="22" max="22" width="17.28515625" customWidth="1"/>
    <col min="23" max="23" width="13.85546875" customWidth="1"/>
  </cols>
  <sheetData>
    <row r="1" spans="1:23" ht="21.75" customHeight="1" x14ac:dyDescent="0.25">
      <c r="A1" s="38" t="s">
        <v>35</v>
      </c>
      <c r="B1" s="5"/>
      <c r="C1" s="5"/>
      <c r="D1" s="5"/>
      <c r="E1" s="5"/>
      <c r="F1" s="5"/>
      <c r="G1" s="5"/>
      <c r="H1" s="5"/>
      <c r="R1" s="38" t="s">
        <v>37</v>
      </c>
      <c r="S1" s="39"/>
      <c r="T1" s="39"/>
      <c r="U1" s="3"/>
      <c r="V1" s="3"/>
      <c r="W1" s="3"/>
    </row>
    <row r="2" spans="1:23" ht="30.75" customHeight="1" x14ac:dyDescent="0.25">
      <c r="A2" s="40" t="s">
        <v>32</v>
      </c>
      <c r="B2" s="40" t="s">
        <v>24</v>
      </c>
      <c r="C2" s="40" t="s">
        <v>23</v>
      </c>
      <c r="D2" s="40" t="s">
        <v>22</v>
      </c>
      <c r="E2" s="40" t="s">
        <v>21</v>
      </c>
      <c r="F2" s="40" t="s">
        <v>19</v>
      </c>
      <c r="G2" s="40" t="s">
        <v>20</v>
      </c>
      <c r="H2" s="40" t="s">
        <v>19</v>
      </c>
      <c r="R2" s="40" t="s">
        <v>24</v>
      </c>
      <c r="S2" s="40" t="s">
        <v>23</v>
      </c>
      <c r="T2" s="40" t="s">
        <v>22</v>
      </c>
      <c r="U2" s="40" t="s">
        <v>21</v>
      </c>
      <c r="V2" s="40" t="s">
        <v>36</v>
      </c>
      <c r="W2" s="13" t="s">
        <v>34</v>
      </c>
    </row>
    <row r="3" spans="1:23" ht="15.75" x14ac:dyDescent="0.25">
      <c r="A3" s="1"/>
      <c r="B3" s="1" t="s">
        <v>31</v>
      </c>
      <c r="C3" s="1" t="s">
        <v>30</v>
      </c>
      <c r="D3" s="1" t="s">
        <v>29</v>
      </c>
      <c r="E3" s="1" t="s">
        <v>28</v>
      </c>
      <c r="F3" s="1" t="s">
        <v>27</v>
      </c>
      <c r="G3" s="1" t="s">
        <v>26</v>
      </c>
      <c r="H3" s="1" t="s">
        <v>25</v>
      </c>
      <c r="I3" s="17"/>
      <c r="R3" s="1">
        <v>20</v>
      </c>
      <c r="S3" s="41">
        <v>0.25</v>
      </c>
      <c r="T3" s="2">
        <f>D4</f>
        <v>3650</v>
      </c>
      <c r="U3" s="42">
        <f>E4</f>
        <v>434.23849999999999</v>
      </c>
      <c r="V3" s="42">
        <f t="shared" ref="V3:V8" si="0">G4</f>
        <v>468.00100000000003</v>
      </c>
      <c r="W3" s="43">
        <f>(V3-U3)/U3</f>
        <v>7.7751051553466691E-2</v>
      </c>
    </row>
    <row r="4" spans="1:23" ht="15.75" x14ac:dyDescent="0.25">
      <c r="A4" s="1">
        <v>1</v>
      </c>
      <c r="B4" s="1">
        <v>20</v>
      </c>
      <c r="C4" s="41">
        <v>0.25</v>
      </c>
      <c r="D4" s="2">
        <f t="shared" ref="D4:D9" si="1">730*C4*B4</f>
        <v>3650</v>
      </c>
      <c r="E4" s="42">
        <f t="shared" ref="E4:E9" si="2">$L$15+(3650*$M$15)+((D4-3650)*$N$15)+((B4-20)*$O$15)</f>
        <v>434.23849999999999</v>
      </c>
      <c r="F4" s="44">
        <f t="shared" ref="F4:F9" si="3">E4/D4</f>
        <v>0.11896945205479452</v>
      </c>
      <c r="G4" s="42">
        <f t="shared" ref="G4:G9" si="4">$L$18+(3650*$M$18)+((D4-3650)*$N$18)+((B4-20)*$O$18)</f>
        <v>468.00100000000003</v>
      </c>
      <c r="H4" s="44">
        <f t="shared" ref="H4:H9" si="5">G4/D4</f>
        <v>0.12821945205479454</v>
      </c>
      <c r="I4" s="17"/>
      <c r="M4" s="48" t="s">
        <v>46</v>
      </c>
      <c r="R4" s="1">
        <v>30</v>
      </c>
      <c r="S4" s="41">
        <f>S3</f>
        <v>0.25</v>
      </c>
      <c r="T4" s="2">
        <f t="shared" ref="T4:T8" si="6">D5</f>
        <v>5475</v>
      </c>
      <c r="U4" s="42">
        <f t="shared" ref="U4:U8" si="7">E5</f>
        <v>651.46174999999994</v>
      </c>
      <c r="V4" s="42">
        <f t="shared" si="0"/>
        <v>702.63425000000007</v>
      </c>
      <c r="W4" s="43">
        <f t="shared" ref="W4:W8" si="8">(V4-U4)/U4</f>
        <v>7.8550275591775159E-2</v>
      </c>
    </row>
    <row r="5" spans="1:23" ht="15.75" x14ac:dyDescent="0.25">
      <c r="A5" s="1">
        <v>2</v>
      </c>
      <c r="B5" s="1">
        <v>30</v>
      </c>
      <c r="C5" s="41">
        <f>C4</f>
        <v>0.25</v>
      </c>
      <c r="D5" s="2">
        <f t="shared" si="1"/>
        <v>5475</v>
      </c>
      <c r="E5" s="42">
        <f t="shared" si="2"/>
        <v>651.46174999999994</v>
      </c>
      <c r="F5" s="44">
        <f t="shared" si="3"/>
        <v>0.11898844748858446</v>
      </c>
      <c r="G5" s="42">
        <f t="shared" si="4"/>
        <v>702.63425000000007</v>
      </c>
      <c r="H5" s="44">
        <f t="shared" si="5"/>
        <v>0.12833502283105025</v>
      </c>
      <c r="I5" s="21">
        <f>H5-H4</f>
        <v>1.1557077625570789E-4</v>
      </c>
      <c r="R5" s="1">
        <v>40</v>
      </c>
      <c r="S5" s="41">
        <f>S4</f>
        <v>0.25</v>
      </c>
      <c r="T5" s="2">
        <f t="shared" si="6"/>
        <v>7300</v>
      </c>
      <c r="U5" s="42">
        <f>E6</f>
        <v>868.68499999999995</v>
      </c>
      <c r="V5" s="42">
        <f t="shared" si="0"/>
        <v>937.26750000000004</v>
      </c>
      <c r="W5" s="43">
        <f t="shared" si="8"/>
        <v>7.8949791926878093E-2</v>
      </c>
    </row>
    <row r="6" spans="1:23" ht="15.75" x14ac:dyDescent="0.25">
      <c r="A6" s="1">
        <v>3</v>
      </c>
      <c r="B6" s="1">
        <v>40</v>
      </c>
      <c r="C6" s="41">
        <f>C5</f>
        <v>0.25</v>
      </c>
      <c r="D6" s="2">
        <f t="shared" si="1"/>
        <v>7300</v>
      </c>
      <c r="E6" s="42">
        <f t="shared" si="2"/>
        <v>868.68499999999995</v>
      </c>
      <c r="F6" s="44">
        <f t="shared" si="3"/>
        <v>0.11899794520547945</v>
      </c>
      <c r="G6" s="42">
        <f t="shared" si="4"/>
        <v>937.26750000000004</v>
      </c>
      <c r="H6" s="44">
        <f t="shared" si="5"/>
        <v>0.12839280821917809</v>
      </c>
      <c r="I6" s="21">
        <f>H6-H5</f>
        <v>5.7785388127840065E-5</v>
      </c>
      <c r="R6" s="1">
        <v>20</v>
      </c>
      <c r="S6" s="41">
        <v>0.5</v>
      </c>
      <c r="T6" s="2">
        <f t="shared" si="6"/>
        <v>7300</v>
      </c>
      <c r="U6" s="42">
        <f t="shared" si="7"/>
        <v>738.68499999999995</v>
      </c>
      <c r="V6" s="42">
        <f t="shared" si="0"/>
        <v>797.26750000000004</v>
      </c>
      <c r="W6" s="43">
        <f t="shared" si="8"/>
        <v>7.9306470281649277E-2</v>
      </c>
    </row>
    <row r="7" spans="1:23" ht="15.75" x14ac:dyDescent="0.25">
      <c r="A7" s="1">
        <v>4</v>
      </c>
      <c r="B7" s="1">
        <v>20</v>
      </c>
      <c r="C7" s="41">
        <v>0.5</v>
      </c>
      <c r="D7" s="2">
        <f t="shared" si="1"/>
        <v>7300</v>
      </c>
      <c r="E7" s="42">
        <f t="shared" si="2"/>
        <v>738.68499999999995</v>
      </c>
      <c r="F7" s="44">
        <f t="shared" si="3"/>
        <v>0.10118972602739726</v>
      </c>
      <c r="G7" s="42">
        <f t="shared" si="4"/>
        <v>797.26750000000004</v>
      </c>
      <c r="H7" s="44">
        <f t="shared" si="5"/>
        <v>0.10921472602739726</v>
      </c>
      <c r="I7" s="21"/>
      <c r="R7" s="1">
        <v>30</v>
      </c>
      <c r="S7" s="41">
        <f>S6</f>
        <v>0.5</v>
      </c>
      <c r="T7" s="2">
        <f t="shared" si="6"/>
        <v>10950</v>
      </c>
      <c r="U7" s="42">
        <f t="shared" si="7"/>
        <v>1108.1315</v>
      </c>
      <c r="V7" s="42">
        <f t="shared" si="0"/>
        <v>1196.5340000000001</v>
      </c>
      <c r="W7" s="43">
        <f t="shared" si="8"/>
        <v>7.9776181797918524E-2</v>
      </c>
    </row>
    <row r="8" spans="1:23" ht="15.75" x14ac:dyDescent="0.25">
      <c r="A8" s="1">
        <v>5</v>
      </c>
      <c r="B8" s="1">
        <v>30</v>
      </c>
      <c r="C8" s="41">
        <f>C7</f>
        <v>0.5</v>
      </c>
      <c r="D8" s="2">
        <f t="shared" si="1"/>
        <v>10950</v>
      </c>
      <c r="E8" s="42">
        <f t="shared" si="2"/>
        <v>1108.1315</v>
      </c>
      <c r="F8" s="44">
        <f t="shared" si="3"/>
        <v>0.10119922374429223</v>
      </c>
      <c r="G8" s="42">
        <f t="shared" si="4"/>
        <v>1196.5340000000001</v>
      </c>
      <c r="H8" s="44">
        <f t="shared" si="5"/>
        <v>0.10927251141552512</v>
      </c>
      <c r="I8" s="21">
        <f>H8-H7</f>
        <v>5.7785388127853943E-5</v>
      </c>
      <c r="R8" s="1">
        <v>40</v>
      </c>
      <c r="S8" s="41">
        <f>S7</f>
        <v>0.5</v>
      </c>
      <c r="T8" s="2">
        <f t="shared" si="6"/>
        <v>14600</v>
      </c>
      <c r="U8" s="42">
        <f t="shared" si="7"/>
        <v>1477.578</v>
      </c>
      <c r="V8" s="42">
        <f t="shared" si="0"/>
        <v>1595.8005000000001</v>
      </c>
      <c r="W8" s="43">
        <f t="shared" si="8"/>
        <v>8.0011004495194216E-2</v>
      </c>
    </row>
    <row r="9" spans="1:23" ht="15.75" x14ac:dyDescent="0.25">
      <c r="A9" s="1">
        <v>6</v>
      </c>
      <c r="B9" s="1">
        <v>40</v>
      </c>
      <c r="C9" s="41">
        <f>C8</f>
        <v>0.5</v>
      </c>
      <c r="D9" s="2">
        <f t="shared" si="1"/>
        <v>14600</v>
      </c>
      <c r="E9" s="42">
        <f t="shared" si="2"/>
        <v>1477.578</v>
      </c>
      <c r="F9" s="44">
        <f t="shared" si="3"/>
        <v>0.10120397260273972</v>
      </c>
      <c r="G9" s="42">
        <f t="shared" si="4"/>
        <v>1595.8005000000001</v>
      </c>
      <c r="H9" s="44">
        <f t="shared" si="5"/>
        <v>0.10930140410958905</v>
      </c>
      <c r="I9" s="21">
        <f>H9-H8</f>
        <v>2.889269406393391E-5</v>
      </c>
    </row>
    <row r="10" spans="1:23" x14ac:dyDescent="0.25">
      <c r="I10" s="19"/>
      <c r="L10" s="12"/>
      <c r="M10" s="12"/>
      <c r="N10" s="49"/>
      <c r="O10" s="12"/>
    </row>
    <row r="13" spans="1:23" x14ac:dyDescent="0.25">
      <c r="J13" s="39"/>
      <c r="K13" s="71" t="s">
        <v>33</v>
      </c>
      <c r="L13" s="39"/>
      <c r="M13" s="39"/>
      <c r="N13" s="39"/>
      <c r="O13" s="39"/>
      <c r="P13" s="39"/>
      <c r="Q13" s="39"/>
    </row>
    <row r="14" spans="1:23" x14ac:dyDescent="0.25">
      <c r="J14" s="39"/>
      <c r="K14" s="39"/>
      <c r="L14" s="39" t="s">
        <v>18</v>
      </c>
      <c r="M14" s="39" t="s">
        <v>17</v>
      </c>
      <c r="N14" s="39" t="s">
        <v>16</v>
      </c>
      <c r="O14" s="39" t="s">
        <v>15</v>
      </c>
      <c r="P14" s="39"/>
      <c r="Q14" s="39"/>
    </row>
    <row r="15" spans="1:23" x14ac:dyDescent="0.25">
      <c r="I15" t="s">
        <v>4</v>
      </c>
      <c r="J15" s="39"/>
      <c r="K15" s="39" t="s">
        <v>14</v>
      </c>
      <c r="L15" s="55">
        <v>20</v>
      </c>
      <c r="M15" s="81">
        <v>0.11348999999999999</v>
      </c>
      <c r="N15" s="81">
        <v>8.3409999999999998E-2</v>
      </c>
      <c r="O15" s="55">
        <v>6.5</v>
      </c>
      <c r="P15" s="39"/>
      <c r="Q15" s="39" t="s">
        <v>105</v>
      </c>
    </row>
    <row r="16" spans="1:23" x14ac:dyDescent="0.25">
      <c r="J16" s="39"/>
      <c r="K16" s="39"/>
      <c r="L16" s="39"/>
      <c r="M16" s="39"/>
      <c r="N16" s="39"/>
      <c r="O16" s="39"/>
      <c r="P16" s="39"/>
      <c r="Q16" s="39"/>
    </row>
    <row r="17" spans="9:17" x14ac:dyDescent="0.25">
      <c r="J17" s="39"/>
      <c r="K17" s="39"/>
      <c r="L17" s="39" t="s">
        <v>18</v>
      </c>
      <c r="M17" s="39" t="s">
        <v>17</v>
      </c>
      <c r="N17" s="39" t="s">
        <v>16</v>
      </c>
      <c r="O17" s="39" t="s">
        <v>15</v>
      </c>
      <c r="P17" s="39"/>
      <c r="Q17" s="39"/>
    </row>
    <row r="18" spans="9:17" x14ac:dyDescent="0.25">
      <c r="I18" t="s">
        <v>5</v>
      </c>
      <c r="J18" s="39"/>
      <c r="K18" s="39" t="s">
        <v>14</v>
      </c>
      <c r="L18" s="77">
        <v>20</v>
      </c>
      <c r="M18" s="102">
        <v>0.12274</v>
      </c>
      <c r="N18" s="60">
        <v>9.0209999999999999E-2</v>
      </c>
      <c r="O18" s="77">
        <v>7</v>
      </c>
      <c r="P18" s="39"/>
      <c r="Q18" s="39"/>
    </row>
    <row r="19" spans="9:17" x14ac:dyDescent="0.25">
      <c r="J19" s="39"/>
      <c r="K19" s="39"/>
      <c r="L19" s="39"/>
      <c r="M19" s="39"/>
      <c r="N19" s="39"/>
      <c r="O19" s="39"/>
      <c r="P19" s="39"/>
      <c r="Q19" s="39"/>
    </row>
    <row r="20" spans="9:17" x14ac:dyDescent="0.25">
      <c r="J20" s="39"/>
      <c r="K20" s="39"/>
      <c r="L20" s="39"/>
      <c r="M20" s="39"/>
      <c r="N20" s="39"/>
      <c r="O20" s="39"/>
      <c r="P20" s="39"/>
      <c r="Q20" s="39"/>
    </row>
    <row r="21" spans="9:17" x14ac:dyDescent="0.25">
      <c r="J21" s="39"/>
      <c r="K21" s="39"/>
      <c r="L21" s="39"/>
      <c r="M21" s="39"/>
      <c r="N21" s="39"/>
      <c r="O21" s="39"/>
      <c r="P21" s="39"/>
      <c r="Q21" s="39"/>
    </row>
    <row r="22" spans="9:17" x14ac:dyDescent="0.25">
      <c r="J22" s="39"/>
      <c r="K22" s="39"/>
      <c r="L22" s="39"/>
      <c r="M22" s="39"/>
      <c r="N22" s="39"/>
      <c r="O22" s="39"/>
      <c r="P22" s="39"/>
      <c r="Q22" s="39"/>
    </row>
    <row r="23" spans="9:17" x14ac:dyDescent="0.25">
      <c r="J23" s="39"/>
      <c r="K23" s="39"/>
      <c r="L23" s="39"/>
      <c r="M23" s="39"/>
      <c r="N23" s="39"/>
      <c r="O23" s="39"/>
      <c r="P23" s="39"/>
      <c r="Q23" s="39"/>
    </row>
    <row r="24" spans="9:17" x14ac:dyDescent="0.25">
      <c r="J24" s="39"/>
      <c r="K24" s="39"/>
      <c r="L24" s="39"/>
      <c r="M24" s="39"/>
      <c r="N24" s="39"/>
      <c r="O24" s="39"/>
      <c r="P24" s="39"/>
      <c r="Q24" s="39"/>
    </row>
    <row r="25" spans="9:17" x14ac:dyDescent="0.25">
      <c r="J25" s="39"/>
      <c r="K25" s="39"/>
      <c r="L25" s="39"/>
      <c r="M25" s="39"/>
      <c r="N25" s="39"/>
      <c r="O25" s="39"/>
      <c r="P25" s="39"/>
      <c r="Q25" s="39"/>
    </row>
    <row r="26" spans="9:17" x14ac:dyDescent="0.25">
      <c r="J26" s="39"/>
      <c r="K26" s="39"/>
      <c r="L26" s="39"/>
      <c r="M26" s="39"/>
      <c r="N26" s="39"/>
      <c r="O26" s="39"/>
      <c r="P26" s="39"/>
      <c r="Q26" s="39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R16"/>
  <sheetViews>
    <sheetView workbookViewId="0">
      <selection activeCell="X17" sqref="X17"/>
    </sheetView>
  </sheetViews>
  <sheetFormatPr defaultRowHeight="15.75" x14ac:dyDescent="0.25"/>
  <cols>
    <col min="1" max="1" width="9.140625" style="86"/>
    <col min="2" max="2" width="23.28515625" style="86" customWidth="1"/>
    <col min="3" max="3" width="9.140625" style="86"/>
    <col min="4" max="4" width="5" style="86" customWidth="1"/>
    <col min="5" max="6" width="6.42578125" style="86" bestFit="1" customWidth="1"/>
    <col min="7" max="7" width="6.5703125" style="86" bestFit="1" customWidth="1"/>
    <col min="8" max="8" width="4.140625" style="86" customWidth="1"/>
    <col min="9" max="10" width="6.42578125" style="86" bestFit="1" customWidth="1"/>
    <col min="11" max="11" width="6.5703125" style="86" bestFit="1" customWidth="1"/>
    <col min="12" max="12" width="2.42578125" style="86" customWidth="1"/>
    <col min="13" max="13" width="11.5703125" style="86" bestFit="1" customWidth="1"/>
    <col min="14" max="14" width="3.7109375" style="86" customWidth="1"/>
    <col min="15" max="15" width="6.42578125" style="86" bestFit="1" customWidth="1"/>
    <col min="16" max="16" width="6.5703125" style="86" bestFit="1" customWidth="1"/>
    <col min="17" max="17" width="3" style="86" customWidth="1"/>
    <col min="18" max="18" width="11.5703125" style="86" bestFit="1" customWidth="1"/>
    <col min="19" max="16384" width="9.140625" style="86"/>
  </cols>
  <sheetData>
    <row r="3" spans="1:18" x14ac:dyDescent="0.25">
      <c r="A3" s="86" t="s">
        <v>97</v>
      </c>
    </row>
    <row r="5" spans="1:18" x14ac:dyDescent="0.25">
      <c r="E5" s="128" t="s">
        <v>75</v>
      </c>
      <c r="F5" s="128"/>
      <c r="G5" s="128"/>
      <c r="H5" s="100"/>
      <c r="I5" s="128" t="s">
        <v>76</v>
      </c>
      <c r="J5" s="128"/>
      <c r="K5" s="128"/>
      <c r="L5" s="100"/>
      <c r="M5" s="100" t="s">
        <v>77</v>
      </c>
      <c r="N5" s="100"/>
      <c r="O5" s="128" t="s">
        <v>70</v>
      </c>
      <c r="P5" s="128"/>
      <c r="R5" s="100" t="s">
        <v>104</v>
      </c>
    </row>
    <row r="6" spans="1:18" x14ac:dyDescent="0.25">
      <c r="B6" s="86" t="s">
        <v>96</v>
      </c>
      <c r="C6" s="86" t="s">
        <v>95</v>
      </c>
    </row>
    <row r="7" spans="1:18" x14ac:dyDescent="0.25">
      <c r="B7" s="86" t="s">
        <v>94</v>
      </c>
      <c r="C7" s="86" t="s">
        <v>93</v>
      </c>
      <c r="E7" s="88" t="s">
        <v>68</v>
      </c>
      <c r="F7" s="88" t="s">
        <v>78</v>
      </c>
      <c r="G7" s="88" t="s">
        <v>79</v>
      </c>
      <c r="I7" s="88" t="s">
        <v>68</v>
      </c>
      <c r="J7" s="88" t="s">
        <v>78</v>
      </c>
      <c r="K7" s="88" t="s">
        <v>79</v>
      </c>
      <c r="L7" s="88"/>
      <c r="M7" s="88" t="s">
        <v>68</v>
      </c>
      <c r="N7" s="88"/>
      <c r="O7" s="88" t="s">
        <v>68</v>
      </c>
      <c r="P7" s="88" t="s">
        <v>79</v>
      </c>
      <c r="R7" s="88" t="s">
        <v>68</v>
      </c>
    </row>
    <row r="8" spans="1:18" ht="16.5" thickBot="1" x14ac:dyDescent="0.3">
      <c r="B8" s="86" t="s">
        <v>31</v>
      </c>
      <c r="C8" s="86" t="s">
        <v>30</v>
      </c>
    </row>
    <row r="9" spans="1:18" x14ac:dyDescent="0.25">
      <c r="B9" s="86" t="s">
        <v>92</v>
      </c>
      <c r="C9" s="88" t="s">
        <v>91</v>
      </c>
      <c r="E9" s="99">
        <v>0.57999999999999996</v>
      </c>
      <c r="F9" s="98">
        <v>0.57999999999999996</v>
      </c>
      <c r="G9" s="98">
        <v>0.46</v>
      </c>
      <c r="H9" s="97"/>
      <c r="I9" s="96">
        <v>0.65</v>
      </c>
      <c r="J9" s="98">
        <v>0.54</v>
      </c>
      <c r="K9" s="96">
        <v>0.56999999999999995</v>
      </c>
      <c r="L9" s="97"/>
      <c r="M9" s="96">
        <v>0.57999999999999996</v>
      </c>
      <c r="N9" s="97"/>
      <c r="O9" s="96">
        <v>0.5477721836926035</v>
      </c>
      <c r="P9" s="96">
        <v>0.46</v>
      </c>
      <c r="Q9" s="103"/>
      <c r="R9" s="95">
        <v>0.56000000000000005</v>
      </c>
    </row>
    <row r="10" spans="1:18" ht="16.5" thickBot="1" x14ac:dyDescent="0.3">
      <c r="B10" s="86" t="s">
        <v>90</v>
      </c>
      <c r="C10" s="88" t="s">
        <v>89</v>
      </c>
      <c r="E10" s="94">
        <v>2.09</v>
      </c>
      <c r="F10" s="93">
        <v>2.09</v>
      </c>
      <c r="G10" s="93">
        <v>2.21</v>
      </c>
      <c r="H10" s="92"/>
      <c r="I10" s="91">
        <v>1.92</v>
      </c>
      <c r="J10" s="93">
        <v>1.66</v>
      </c>
      <c r="K10" s="91">
        <v>2</v>
      </c>
      <c r="L10" s="92"/>
      <c r="M10" s="91">
        <v>1.95</v>
      </c>
      <c r="N10" s="92"/>
      <c r="O10" s="91">
        <v>1.9799663416107074</v>
      </c>
      <c r="P10" s="91">
        <v>2.02</v>
      </c>
      <c r="Q10" s="104"/>
      <c r="R10" s="90">
        <v>2.0299999999999998</v>
      </c>
    </row>
    <row r="11" spans="1:18" x14ac:dyDescent="0.25">
      <c r="B11" s="86" t="s">
        <v>88</v>
      </c>
      <c r="C11" s="88" t="s">
        <v>87</v>
      </c>
      <c r="E11" s="89">
        <v>1.56</v>
      </c>
      <c r="F11" s="89">
        <v>1.56</v>
      </c>
      <c r="G11" s="89">
        <v>1.8</v>
      </c>
      <c r="H11" s="88"/>
      <c r="I11" s="87">
        <v>1.37</v>
      </c>
      <c r="J11" s="89">
        <v>1.5</v>
      </c>
      <c r="K11" s="87">
        <v>1.47</v>
      </c>
      <c r="L11" s="88"/>
      <c r="M11" s="87">
        <v>1.47</v>
      </c>
      <c r="N11" s="88"/>
      <c r="O11" s="87">
        <v>1.4890651499062664</v>
      </c>
      <c r="P11" s="87">
        <v>1.62</v>
      </c>
      <c r="R11" s="87">
        <v>1.46</v>
      </c>
    </row>
    <row r="12" spans="1:18" x14ac:dyDescent="0.25">
      <c r="B12" s="86" t="s">
        <v>86</v>
      </c>
      <c r="C12" s="88">
        <v>25</v>
      </c>
      <c r="E12" s="89">
        <v>0.7</v>
      </c>
      <c r="F12" s="89">
        <v>0.7</v>
      </c>
      <c r="G12" s="89">
        <v>0.88</v>
      </c>
      <c r="H12" s="88"/>
      <c r="I12" s="87">
        <v>0.85</v>
      </c>
      <c r="J12" s="89">
        <v>1.33</v>
      </c>
      <c r="K12" s="87">
        <v>1.1000000000000001</v>
      </c>
      <c r="L12" s="88"/>
      <c r="M12" s="87">
        <v>0.93</v>
      </c>
      <c r="N12" s="88"/>
      <c r="O12" s="87">
        <v>1.0342266539510554</v>
      </c>
      <c r="P12" s="87">
        <v>1.24</v>
      </c>
      <c r="R12" s="87">
        <v>0.98</v>
      </c>
    </row>
    <row r="13" spans="1:18" x14ac:dyDescent="0.25">
      <c r="B13" s="86" t="s">
        <v>85</v>
      </c>
      <c r="C13" s="88">
        <v>26</v>
      </c>
      <c r="E13" s="89"/>
      <c r="F13" s="89"/>
      <c r="G13" s="89"/>
      <c r="H13" s="88"/>
      <c r="I13" s="87"/>
      <c r="J13" s="89">
        <v>1.61</v>
      </c>
      <c r="K13" s="87"/>
      <c r="L13" s="88"/>
      <c r="M13" s="87"/>
      <c r="N13" s="88"/>
      <c r="O13" s="87"/>
      <c r="P13" s="87"/>
      <c r="R13" s="87"/>
    </row>
    <row r="14" spans="1:18" x14ac:dyDescent="0.25">
      <c r="B14" s="86" t="s">
        <v>84</v>
      </c>
      <c r="C14" s="88" t="s">
        <v>83</v>
      </c>
      <c r="E14" s="89">
        <v>0.88</v>
      </c>
      <c r="F14" s="89">
        <v>0.88</v>
      </c>
      <c r="G14" s="89">
        <v>0.68</v>
      </c>
      <c r="H14" s="88"/>
      <c r="I14" s="87">
        <v>0.91</v>
      </c>
      <c r="J14" s="89">
        <v>0.8</v>
      </c>
      <c r="K14" s="87">
        <v>1.1000000000000001</v>
      </c>
      <c r="L14" s="88"/>
      <c r="M14" s="87">
        <v>0.98</v>
      </c>
      <c r="N14" s="88"/>
      <c r="O14" s="87">
        <v>0.83201750053842927</v>
      </c>
      <c r="P14" s="87">
        <v>0.92</v>
      </c>
      <c r="R14" s="87">
        <v>0.85</v>
      </c>
    </row>
    <row r="15" spans="1:18" x14ac:dyDescent="0.25">
      <c r="B15" s="86" t="s">
        <v>50</v>
      </c>
      <c r="C15" s="88" t="s">
        <v>82</v>
      </c>
      <c r="E15" s="89">
        <v>1.1000000000000001</v>
      </c>
      <c r="F15" s="89">
        <v>1.1000000000000001</v>
      </c>
      <c r="G15" s="89">
        <v>0.94</v>
      </c>
      <c r="H15" s="88"/>
      <c r="I15" s="87">
        <v>0.92</v>
      </c>
      <c r="J15" s="89">
        <v>0.89</v>
      </c>
      <c r="K15" s="87">
        <v>0.95</v>
      </c>
      <c r="L15" s="88"/>
      <c r="M15" s="87">
        <v>0.83</v>
      </c>
      <c r="N15" s="88"/>
      <c r="O15" s="87">
        <v>0.88353438952658603</v>
      </c>
      <c r="P15" s="87">
        <v>0.9</v>
      </c>
      <c r="R15" s="87">
        <v>0.71</v>
      </c>
    </row>
    <row r="16" spans="1:18" x14ac:dyDescent="0.25">
      <c r="B16" s="86" t="s">
        <v>49</v>
      </c>
      <c r="E16" s="89">
        <v>1</v>
      </c>
      <c r="F16" s="89">
        <v>1</v>
      </c>
      <c r="G16" s="89">
        <v>1</v>
      </c>
      <c r="H16" s="88"/>
      <c r="I16" s="87">
        <v>1</v>
      </c>
      <c r="J16" s="87">
        <v>1</v>
      </c>
      <c r="K16" s="87">
        <v>1</v>
      </c>
      <c r="L16" s="88"/>
      <c r="M16" s="87">
        <v>1</v>
      </c>
      <c r="N16" s="88"/>
      <c r="O16" s="87">
        <v>1</v>
      </c>
      <c r="P16" s="87">
        <v>1</v>
      </c>
      <c r="R16" s="87">
        <v>1</v>
      </c>
    </row>
  </sheetData>
  <mergeCells count="3">
    <mergeCell ref="O5:P5"/>
    <mergeCell ref="I5:K5"/>
    <mergeCell ref="E5:G5"/>
  </mergeCell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view="pageBreakPreview" topLeftCell="B1" zoomScaleNormal="80" zoomScaleSheetLayoutView="100" workbookViewId="0">
      <selection activeCell="F18" sqref="F18"/>
    </sheetView>
  </sheetViews>
  <sheetFormatPr defaultRowHeight="15" x14ac:dyDescent="0.25"/>
  <cols>
    <col min="1" max="1" width="9.140625" style="23"/>
    <col min="2" max="2" width="40.42578125" style="23" customWidth="1"/>
    <col min="3" max="4" width="15.85546875" style="23" customWidth="1"/>
    <col min="5" max="5" width="10" style="23" bestFit="1" customWidth="1"/>
    <col min="6" max="6" width="25.85546875" style="23" customWidth="1"/>
    <col min="7" max="7" width="21.5703125" style="23" customWidth="1"/>
    <col min="8" max="8" width="9.140625" style="23"/>
    <col min="9" max="9" width="41.7109375" style="23" customWidth="1"/>
    <col min="10" max="10" width="21.5703125" style="23" customWidth="1"/>
    <col min="11" max="16384" width="9.140625" style="23"/>
  </cols>
  <sheetData>
    <row r="1" spans="1:6" x14ac:dyDescent="0.25">
      <c r="A1" s="22"/>
      <c r="B1" s="22"/>
      <c r="C1" s="22"/>
      <c r="D1" s="22"/>
      <c r="E1" s="22"/>
      <c r="F1" s="22"/>
    </row>
    <row r="2" spans="1:6" ht="15.75" x14ac:dyDescent="0.25">
      <c r="A2" s="22"/>
      <c r="B2" s="67" t="s">
        <v>103</v>
      </c>
      <c r="C2" s="7"/>
      <c r="D2" s="7"/>
      <c r="E2" s="7"/>
      <c r="F2" s="22"/>
    </row>
    <row r="3" spans="1:6" ht="15.75" x14ac:dyDescent="0.25">
      <c r="A3" s="22"/>
      <c r="B3" s="67"/>
      <c r="C3" s="7"/>
      <c r="D3" s="7"/>
      <c r="E3" s="7"/>
      <c r="F3" s="22"/>
    </row>
    <row r="4" spans="1:6" ht="39.75" customHeight="1" x14ac:dyDescent="0.25">
      <c r="A4" s="22"/>
      <c r="B4" s="52" t="s">
        <v>2</v>
      </c>
      <c r="C4" s="51" t="s">
        <v>47</v>
      </c>
      <c r="D4" s="51" t="s">
        <v>48</v>
      </c>
      <c r="E4" s="8"/>
      <c r="F4" s="22"/>
    </row>
    <row r="5" spans="1:6" ht="15" customHeight="1" x14ac:dyDescent="0.25">
      <c r="A5" s="22"/>
      <c r="B5" s="4" t="s">
        <v>66</v>
      </c>
      <c r="C5" s="11">
        <v>0.1</v>
      </c>
      <c r="D5" s="11">
        <v>9.8000000000000004E-2</v>
      </c>
      <c r="E5" s="9"/>
      <c r="F5" s="22"/>
    </row>
    <row r="6" spans="1:6" ht="15" customHeight="1" x14ac:dyDescent="0.25">
      <c r="A6" s="22"/>
      <c r="B6" s="4" t="s">
        <v>51</v>
      </c>
      <c r="C6" s="11">
        <v>7.2999999999999995E-2</v>
      </c>
      <c r="D6" s="11">
        <v>7.0000000000000007E-2</v>
      </c>
      <c r="E6" s="9"/>
      <c r="F6" s="22"/>
    </row>
    <row r="7" spans="1:6" ht="15" customHeight="1" x14ac:dyDescent="0.25">
      <c r="A7" s="22"/>
      <c r="B7" s="4" t="s">
        <v>52</v>
      </c>
      <c r="C7" s="11">
        <v>9.0999999999999998E-2</v>
      </c>
      <c r="D7" s="11">
        <v>8.6999999999999994E-2</v>
      </c>
      <c r="E7" s="9"/>
      <c r="F7" s="22"/>
    </row>
    <row r="8" spans="1:6" ht="15" customHeight="1" x14ac:dyDescent="0.25">
      <c r="A8" s="22"/>
      <c r="B8" s="4" t="s">
        <v>1</v>
      </c>
      <c r="C8" s="11">
        <v>9.0999999999999998E-2</v>
      </c>
      <c r="D8" s="11">
        <v>8.7999999999999995E-2</v>
      </c>
      <c r="E8" s="9"/>
      <c r="F8" s="22"/>
    </row>
    <row r="9" spans="1:6" ht="15" customHeight="1" x14ac:dyDescent="0.25">
      <c r="A9" s="22"/>
      <c r="B9" s="4" t="s">
        <v>53</v>
      </c>
      <c r="C9" s="11">
        <v>9.0999999999999998E-2</v>
      </c>
      <c r="D9" s="11">
        <v>8.6999999999999994E-2</v>
      </c>
      <c r="E9" s="9"/>
      <c r="F9" s="22"/>
    </row>
    <row r="10" spans="1:6" ht="15" customHeight="1" x14ac:dyDescent="0.25">
      <c r="A10" s="22"/>
      <c r="B10" s="4" t="s">
        <v>54</v>
      </c>
      <c r="C10" s="50">
        <v>0</v>
      </c>
      <c r="D10" s="50">
        <v>0</v>
      </c>
      <c r="E10" s="9"/>
      <c r="F10" s="22"/>
    </row>
    <row r="11" spans="1:6" ht="15" customHeight="1" x14ac:dyDescent="0.25">
      <c r="A11" s="22"/>
      <c r="B11" s="10" t="s">
        <v>0</v>
      </c>
      <c r="C11" s="68">
        <v>9.0999999999999998E-2</v>
      </c>
      <c r="D11" s="68">
        <v>8.7999999999999995E-2</v>
      </c>
      <c r="E11" s="9"/>
      <c r="F11" s="22"/>
    </row>
    <row r="12" spans="1:6" ht="15.75" x14ac:dyDescent="0.25">
      <c r="A12" s="22"/>
      <c r="B12" s="7"/>
      <c r="C12" s="7"/>
      <c r="D12" s="7"/>
      <c r="E12" s="7"/>
      <c r="F12" s="22"/>
    </row>
    <row r="13" spans="1:6" ht="15.75" x14ac:dyDescent="0.25">
      <c r="A13" s="22"/>
      <c r="B13" s="7"/>
      <c r="C13" s="7"/>
      <c r="D13" s="7"/>
      <c r="E13" s="7"/>
      <c r="F13" s="22"/>
    </row>
    <row r="14" spans="1:6" ht="15.75" x14ac:dyDescent="0.25">
      <c r="A14" s="22"/>
      <c r="B14" s="7"/>
      <c r="C14" s="7"/>
      <c r="D14" s="7"/>
      <c r="E14" s="7"/>
      <c r="F14" s="22"/>
    </row>
    <row r="15" spans="1:6" ht="31.5" x14ac:dyDescent="0.25">
      <c r="A15" s="22"/>
      <c r="B15" s="52" t="s">
        <v>2</v>
      </c>
      <c r="C15" s="51" t="s">
        <v>47</v>
      </c>
      <c r="D15" s="51" t="s">
        <v>48</v>
      </c>
      <c r="E15" s="7"/>
      <c r="F15" s="22"/>
    </row>
    <row r="16" spans="1:6" ht="15.75" x14ac:dyDescent="0.25">
      <c r="A16" s="22"/>
      <c r="B16" s="4" t="s">
        <v>66</v>
      </c>
      <c r="C16" s="72">
        <v>3.7999999999999999E-2</v>
      </c>
      <c r="D16" s="72">
        <v>3.6999999999999998E-2</v>
      </c>
      <c r="E16" s="7"/>
      <c r="F16" s="22"/>
    </row>
    <row r="17" spans="1:6" ht="15.75" x14ac:dyDescent="0.25">
      <c r="A17" s="22"/>
      <c r="B17" s="4" t="s">
        <v>51</v>
      </c>
      <c r="C17" s="72">
        <v>2.8000000000000001E-2</v>
      </c>
      <c r="D17" s="72">
        <v>2.7E-2</v>
      </c>
      <c r="E17" s="7"/>
      <c r="F17" s="22"/>
    </row>
    <row r="18" spans="1:6" ht="15.75" x14ac:dyDescent="0.25">
      <c r="A18" s="22"/>
      <c r="B18" s="4" t="s">
        <v>52</v>
      </c>
      <c r="C18" s="72">
        <v>3.5000000000000003E-2</v>
      </c>
      <c r="D18" s="72">
        <v>3.3000000000000002E-2</v>
      </c>
      <c r="E18" s="7"/>
      <c r="F18" s="22"/>
    </row>
    <row r="19" spans="1:6" ht="15.75" x14ac:dyDescent="0.25">
      <c r="A19" s="22"/>
      <c r="B19" s="4" t="s">
        <v>1</v>
      </c>
      <c r="C19" s="72">
        <v>3.5000000000000003E-2</v>
      </c>
      <c r="D19" s="72">
        <v>3.3000000000000002E-2</v>
      </c>
      <c r="E19" s="7"/>
      <c r="F19" s="22"/>
    </row>
    <row r="20" spans="1:6" ht="15.75" x14ac:dyDescent="0.25">
      <c r="A20" s="22"/>
      <c r="B20" s="4" t="s">
        <v>53</v>
      </c>
      <c r="C20" s="72">
        <v>3.5000000000000003E-2</v>
      </c>
      <c r="D20" s="72">
        <v>3.3000000000000002E-2</v>
      </c>
      <c r="E20" s="7"/>
      <c r="F20" s="22"/>
    </row>
    <row r="21" spans="1:6" ht="15.75" x14ac:dyDescent="0.25">
      <c r="A21" s="22"/>
      <c r="B21" s="4" t="s">
        <v>54</v>
      </c>
      <c r="C21" s="73">
        <v>0</v>
      </c>
      <c r="D21" s="73">
        <v>0</v>
      </c>
      <c r="E21" s="7"/>
      <c r="F21" s="22"/>
    </row>
    <row r="22" spans="1:6" ht="15.75" x14ac:dyDescent="0.25">
      <c r="A22" s="22"/>
      <c r="B22" s="10" t="s">
        <v>0</v>
      </c>
      <c r="C22" s="123">
        <v>3.5000000000000003E-2</v>
      </c>
      <c r="D22" s="123">
        <v>3.3000000000000002E-2</v>
      </c>
      <c r="E22" s="7"/>
      <c r="F22" s="22"/>
    </row>
    <row r="23" spans="1:6" ht="15.75" x14ac:dyDescent="0.25">
      <c r="A23" s="22"/>
      <c r="B23" s="7"/>
      <c r="C23" s="7"/>
      <c r="D23" s="7"/>
      <c r="E23" s="7"/>
      <c r="F23" s="22"/>
    </row>
    <row r="24" spans="1:6" ht="15.75" x14ac:dyDescent="0.25">
      <c r="A24" s="22"/>
      <c r="B24" s="22"/>
      <c r="C24" s="22"/>
      <c r="D24" s="22"/>
      <c r="E24" s="7"/>
      <c r="F24" s="22"/>
    </row>
    <row r="25" spans="1:6" ht="15.75" x14ac:dyDescent="0.25">
      <c r="A25" s="22"/>
      <c r="B25" s="22"/>
      <c r="C25" s="22"/>
      <c r="D25" s="22"/>
      <c r="E25" s="7"/>
      <c r="F25" s="22"/>
    </row>
    <row r="26" spans="1:6" ht="15.75" x14ac:dyDescent="0.25">
      <c r="A26" s="22"/>
      <c r="B26" s="10"/>
      <c r="C26" s="126"/>
      <c r="D26" s="126"/>
      <c r="E26" s="22"/>
      <c r="F26" s="22"/>
    </row>
    <row r="27" spans="1:6" ht="15.75" x14ac:dyDescent="0.25">
      <c r="A27" s="22"/>
      <c r="B27" s="10"/>
      <c r="C27" s="22"/>
      <c r="D27" s="22"/>
      <c r="E27" s="22"/>
      <c r="F27" s="22"/>
    </row>
    <row r="28" spans="1:6" ht="15.75" x14ac:dyDescent="0.25">
      <c r="A28" s="22"/>
      <c r="B28" s="10"/>
      <c r="C28" s="27"/>
      <c r="D28" s="27"/>
      <c r="E28" s="22"/>
      <c r="F28" s="22"/>
    </row>
    <row r="29" spans="1:6" x14ac:dyDescent="0.25">
      <c r="F29" s="31"/>
    </row>
    <row r="30" spans="1:6" ht="15.75" x14ac:dyDescent="0.25">
      <c r="D30" s="54"/>
      <c r="F30" s="32"/>
    </row>
    <row r="31" spans="1:6" ht="15.75" x14ac:dyDescent="0.25">
      <c r="F31" s="33"/>
    </row>
    <row r="32" spans="1:6" ht="15.75" x14ac:dyDescent="0.25">
      <c r="F32" s="34"/>
    </row>
    <row r="33" spans="6:6" ht="15.75" x14ac:dyDescent="0.25">
      <c r="F33" s="35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</sheetData>
  <mergeCells count="1">
    <mergeCell ref="C26:D26"/>
  </mergeCells>
  <pageMargins left="0.7" right="0.38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I30"/>
  <sheetViews>
    <sheetView workbookViewId="0">
      <selection activeCell="H19" sqref="H19"/>
    </sheetView>
  </sheetViews>
  <sheetFormatPr defaultColWidth="9" defaultRowHeight="15" x14ac:dyDescent="0.25"/>
  <cols>
    <col min="1" max="2" width="9" style="39"/>
    <col min="3" max="3" width="15.85546875" style="39" customWidth="1"/>
    <col min="4" max="4" width="19" style="39" customWidth="1"/>
    <col min="5" max="5" width="25.5703125" style="39" customWidth="1"/>
    <col min="6" max="16384" width="9" style="39"/>
  </cols>
  <sheetData>
    <row r="2" spans="3:9" x14ac:dyDescent="0.25">
      <c r="C2" s="82" t="s">
        <v>71</v>
      </c>
      <c r="D2" s="82"/>
      <c r="E2" s="82"/>
      <c r="F2" s="82"/>
      <c r="G2" s="82"/>
      <c r="H2" s="82"/>
      <c r="I2" s="82"/>
    </row>
    <row r="3" spans="3:9" ht="31.5" x14ac:dyDescent="0.25">
      <c r="C3" s="83" t="s">
        <v>81</v>
      </c>
      <c r="D3" s="83" t="s">
        <v>69</v>
      </c>
      <c r="E3" s="83" t="s">
        <v>73</v>
      </c>
      <c r="F3" s="82"/>
      <c r="G3" s="82"/>
      <c r="H3" s="82"/>
      <c r="I3" s="82"/>
    </row>
    <row r="4" spans="3:9" ht="22.5" customHeight="1" x14ac:dyDescent="0.25">
      <c r="C4" s="85" t="s">
        <v>75</v>
      </c>
      <c r="D4" s="72" t="s">
        <v>68</v>
      </c>
      <c r="E4" s="26">
        <v>0.57999999999999996</v>
      </c>
      <c r="F4" s="82"/>
      <c r="G4" s="82"/>
      <c r="H4" s="82"/>
      <c r="I4" s="82"/>
    </row>
    <row r="5" spans="3:9" ht="15" customHeight="1" x14ac:dyDescent="0.25">
      <c r="C5" s="85" t="s">
        <v>75</v>
      </c>
      <c r="D5" s="72" t="s">
        <v>78</v>
      </c>
      <c r="E5" s="26">
        <v>0.57999999999999996</v>
      </c>
      <c r="F5" s="82"/>
      <c r="G5" s="82"/>
      <c r="H5" s="82"/>
      <c r="I5" s="82"/>
    </row>
    <row r="6" spans="3:9" ht="15" customHeight="1" x14ac:dyDescent="0.25">
      <c r="C6" s="85" t="s">
        <v>75</v>
      </c>
      <c r="D6" s="72" t="s">
        <v>79</v>
      </c>
      <c r="E6" s="26">
        <v>0.46</v>
      </c>
      <c r="F6" s="82"/>
      <c r="G6" s="82"/>
      <c r="H6" s="82"/>
      <c r="I6" s="82"/>
    </row>
    <row r="7" spans="3:9" ht="15" customHeight="1" x14ac:dyDescent="0.25">
      <c r="C7" s="85" t="s">
        <v>76</v>
      </c>
      <c r="D7" s="72" t="s">
        <v>68</v>
      </c>
      <c r="E7" s="26">
        <v>0.65</v>
      </c>
      <c r="F7" s="82"/>
      <c r="G7" s="82"/>
      <c r="H7" s="82"/>
      <c r="I7" s="82"/>
    </row>
    <row r="8" spans="3:9" ht="15" customHeight="1" x14ac:dyDescent="0.25">
      <c r="C8" s="85" t="s">
        <v>76</v>
      </c>
      <c r="D8" s="72" t="s">
        <v>78</v>
      </c>
      <c r="E8" s="26">
        <v>0.54</v>
      </c>
      <c r="F8" s="82"/>
      <c r="G8" s="82"/>
      <c r="H8" s="82"/>
      <c r="I8" s="82"/>
    </row>
    <row r="9" spans="3:9" ht="15" customHeight="1" x14ac:dyDescent="0.25">
      <c r="C9" s="85" t="s">
        <v>76</v>
      </c>
      <c r="D9" s="72" t="s">
        <v>79</v>
      </c>
      <c r="E9" s="26">
        <v>0.56999999999999995</v>
      </c>
      <c r="F9" s="82"/>
      <c r="G9" s="82"/>
      <c r="H9" s="82"/>
      <c r="I9" s="82"/>
    </row>
    <row r="10" spans="3:9" ht="15" customHeight="1" x14ac:dyDescent="0.25">
      <c r="C10" s="85" t="s">
        <v>77</v>
      </c>
      <c r="D10" s="72" t="s">
        <v>68</v>
      </c>
      <c r="E10" s="26">
        <v>0.57999999999999996</v>
      </c>
      <c r="F10" s="82"/>
      <c r="G10" s="82"/>
      <c r="H10" s="82"/>
      <c r="I10" s="82"/>
    </row>
    <row r="11" spans="3:9" ht="15" customHeight="1" x14ac:dyDescent="0.25">
      <c r="C11" s="85" t="s">
        <v>70</v>
      </c>
      <c r="D11" s="72" t="s">
        <v>68</v>
      </c>
      <c r="E11" s="26">
        <v>0.55000000000000004</v>
      </c>
      <c r="F11" s="82"/>
      <c r="G11" s="82"/>
      <c r="H11" s="82"/>
      <c r="I11" s="82"/>
    </row>
    <row r="12" spans="3:9" ht="15.75" x14ac:dyDescent="0.25">
      <c r="C12" s="85" t="s">
        <v>70</v>
      </c>
      <c r="D12" s="72" t="s">
        <v>79</v>
      </c>
      <c r="E12" s="26">
        <v>0.46</v>
      </c>
      <c r="F12" s="82"/>
      <c r="G12" s="82"/>
      <c r="H12" s="82"/>
      <c r="I12" s="82"/>
    </row>
    <row r="13" spans="3:9" ht="15.75" x14ac:dyDescent="0.25">
      <c r="C13" s="85" t="s">
        <v>104</v>
      </c>
      <c r="D13" s="72" t="s">
        <v>68</v>
      </c>
      <c r="E13" s="26">
        <v>0.56000000000000005</v>
      </c>
      <c r="F13" s="82"/>
      <c r="G13" s="82"/>
      <c r="H13" s="82"/>
      <c r="I13" s="82"/>
    </row>
    <row r="14" spans="3:9" ht="15.75" x14ac:dyDescent="0.25">
      <c r="D14" s="27" t="s">
        <v>80</v>
      </c>
      <c r="E14" s="18">
        <f>AVERAGE(E4:E13)</f>
        <v>0.55299999999999994</v>
      </c>
      <c r="F14" s="82"/>
      <c r="G14" s="82"/>
      <c r="H14" s="82"/>
      <c r="I14" s="82"/>
    </row>
    <row r="15" spans="3:9" ht="15.75" x14ac:dyDescent="0.25">
      <c r="C15" s="84"/>
    </row>
    <row r="18" spans="3:5" x14ac:dyDescent="0.25">
      <c r="C18" s="82" t="s">
        <v>72</v>
      </c>
      <c r="D18" s="82"/>
      <c r="E18" s="82"/>
    </row>
    <row r="19" spans="3:5" ht="31.5" x14ac:dyDescent="0.25">
      <c r="C19" s="83" t="s">
        <v>81</v>
      </c>
      <c r="D19" s="83" t="s">
        <v>69</v>
      </c>
      <c r="E19" s="83" t="s">
        <v>74</v>
      </c>
    </row>
    <row r="20" spans="3:5" ht="15.75" x14ac:dyDescent="0.25">
      <c r="C20" s="85" t="s">
        <v>75</v>
      </c>
      <c r="D20" s="72" t="s">
        <v>68</v>
      </c>
      <c r="E20" s="26">
        <v>2.09</v>
      </c>
    </row>
    <row r="21" spans="3:5" ht="15.75" x14ac:dyDescent="0.25">
      <c r="C21" s="85" t="s">
        <v>75</v>
      </c>
      <c r="D21" s="72" t="s">
        <v>78</v>
      </c>
      <c r="E21" s="26">
        <v>2.09</v>
      </c>
    </row>
    <row r="22" spans="3:5" ht="15.75" x14ac:dyDescent="0.25">
      <c r="C22" s="85" t="s">
        <v>75</v>
      </c>
      <c r="D22" s="72" t="s">
        <v>79</v>
      </c>
      <c r="E22" s="26">
        <v>2.21</v>
      </c>
    </row>
    <row r="23" spans="3:5" ht="15.75" x14ac:dyDescent="0.25">
      <c r="C23" s="85" t="s">
        <v>76</v>
      </c>
      <c r="D23" s="72" t="s">
        <v>68</v>
      </c>
      <c r="E23" s="26">
        <v>1.92</v>
      </c>
    </row>
    <row r="24" spans="3:5" ht="15.75" x14ac:dyDescent="0.25">
      <c r="C24" s="85" t="s">
        <v>76</v>
      </c>
      <c r="D24" s="72" t="s">
        <v>78</v>
      </c>
      <c r="E24" s="26">
        <v>1.66</v>
      </c>
    </row>
    <row r="25" spans="3:5" ht="15.75" x14ac:dyDescent="0.25">
      <c r="C25" s="85" t="s">
        <v>76</v>
      </c>
      <c r="D25" s="72" t="s">
        <v>79</v>
      </c>
      <c r="E25" s="29">
        <v>2</v>
      </c>
    </row>
    <row r="26" spans="3:5" ht="15.75" x14ac:dyDescent="0.25">
      <c r="C26" s="85" t="s">
        <v>77</v>
      </c>
      <c r="D26" s="72" t="s">
        <v>68</v>
      </c>
      <c r="E26" s="26">
        <v>1.95</v>
      </c>
    </row>
    <row r="27" spans="3:5" ht="15.75" x14ac:dyDescent="0.25">
      <c r="C27" s="85" t="s">
        <v>70</v>
      </c>
      <c r="D27" s="72" t="s">
        <v>68</v>
      </c>
      <c r="E27" s="26">
        <v>1.98</v>
      </c>
    </row>
    <row r="28" spans="3:5" ht="15.75" x14ac:dyDescent="0.25">
      <c r="C28" s="85" t="s">
        <v>70</v>
      </c>
      <c r="D28" s="72" t="s">
        <v>79</v>
      </c>
      <c r="E28" s="26">
        <v>2.02</v>
      </c>
    </row>
    <row r="29" spans="3:5" ht="15.75" x14ac:dyDescent="0.25">
      <c r="C29" s="85" t="s">
        <v>104</v>
      </c>
      <c r="D29" s="72" t="s">
        <v>68</v>
      </c>
      <c r="E29" s="26">
        <v>2.0299999999999998</v>
      </c>
    </row>
    <row r="30" spans="3:5" ht="15.75" x14ac:dyDescent="0.25">
      <c r="D30" s="27" t="s">
        <v>80</v>
      </c>
      <c r="E30" s="18">
        <f>AVERAGE(E20:E29)</f>
        <v>1.9949999999999999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"/>
  <sheetViews>
    <sheetView view="pageBreakPreview" zoomScale="115" zoomScaleNormal="80" zoomScaleSheetLayoutView="115" workbookViewId="0">
      <selection activeCell="E14" sqref="E14"/>
    </sheetView>
  </sheetViews>
  <sheetFormatPr defaultRowHeight="15" x14ac:dyDescent="0.25"/>
  <cols>
    <col min="1" max="1" width="9.140625" style="23"/>
    <col min="2" max="2" width="41.85546875" style="23" customWidth="1"/>
    <col min="3" max="4" width="16.28515625" style="23" customWidth="1"/>
    <col min="5" max="5" width="14.140625" style="23" customWidth="1"/>
    <col min="6" max="6" width="51" style="23" customWidth="1"/>
    <col min="7" max="12" width="14.140625" style="23" customWidth="1"/>
    <col min="13" max="13" width="21.5703125" style="23" customWidth="1"/>
    <col min="14" max="16384" width="9.140625" style="23"/>
  </cols>
  <sheetData>
    <row r="1" spans="1:12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customHeight="1" x14ac:dyDescent="0.25">
      <c r="A4" s="22"/>
      <c r="B4" s="124" t="s">
        <v>67</v>
      </c>
      <c r="C4" s="125"/>
      <c r="D4" s="125"/>
      <c r="E4" s="59"/>
      <c r="F4" s="124"/>
      <c r="G4" s="125"/>
      <c r="H4" s="125"/>
      <c r="I4" s="125"/>
      <c r="J4" s="59"/>
      <c r="K4" s="59"/>
      <c r="L4" s="59"/>
    </row>
    <row r="5" spans="1:12" ht="15.75" customHeight="1" x14ac:dyDescent="0.25">
      <c r="A5" s="22"/>
      <c r="B5" s="74"/>
      <c r="C5" s="75"/>
      <c r="D5" s="75"/>
      <c r="E5" s="75"/>
      <c r="F5" s="74"/>
      <c r="G5" s="75"/>
      <c r="H5" s="75"/>
      <c r="I5" s="75"/>
      <c r="J5" s="75"/>
      <c r="K5" s="75"/>
      <c r="L5" s="75"/>
    </row>
    <row r="6" spans="1:12" ht="15.75" customHeight="1" x14ac:dyDescent="0.25">
      <c r="A6" s="22"/>
      <c r="B6" s="74"/>
      <c r="C6" s="75"/>
      <c r="D6" s="75"/>
      <c r="E6" s="75"/>
      <c r="F6" s="74"/>
      <c r="G6" s="75"/>
      <c r="H6" s="75"/>
      <c r="I6" s="75"/>
      <c r="J6" s="75"/>
      <c r="K6" s="75"/>
      <c r="L6" s="75"/>
    </row>
    <row r="7" spans="1:12" ht="15.75" customHeight="1" x14ac:dyDescent="0.25">
      <c r="A7" s="22"/>
      <c r="B7" s="7"/>
      <c r="C7" s="26" t="s">
        <v>4</v>
      </c>
      <c r="D7" s="26" t="s">
        <v>5</v>
      </c>
      <c r="E7" s="26"/>
      <c r="F7" s="26"/>
      <c r="G7" s="26"/>
      <c r="H7" s="26"/>
      <c r="I7" s="26"/>
      <c r="J7" s="26"/>
      <c r="K7" s="26"/>
      <c r="L7" s="26"/>
    </row>
    <row r="8" spans="1:12" ht="15.75" customHeight="1" x14ac:dyDescent="0.25">
      <c r="A8" s="22"/>
      <c r="B8" s="10" t="s">
        <v>2</v>
      </c>
      <c r="C8" s="28" t="s">
        <v>60</v>
      </c>
      <c r="D8" s="28" t="s">
        <v>60</v>
      </c>
      <c r="E8" s="28"/>
      <c r="F8" s="52"/>
      <c r="G8" s="28"/>
      <c r="H8" s="28"/>
      <c r="I8" s="28"/>
      <c r="J8" s="28"/>
      <c r="K8" s="28"/>
      <c r="L8" s="28"/>
    </row>
    <row r="9" spans="1:12" ht="15.75" customHeight="1" x14ac:dyDescent="0.25">
      <c r="A9" s="22"/>
      <c r="B9" s="4" t="s">
        <v>66</v>
      </c>
      <c r="C9" s="29">
        <v>0.43</v>
      </c>
      <c r="D9" s="29">
        <v>0.59</v>
      </c>
      <c r="E9" s="29"/>
      <c r="F9" s="4"/>
      <c r="G9" s="29"/>
      <c r="H9" s="29"/>
      <c r="I9" s="29"/>
      <c r="J9" s="29"/>
      <c r="K9" s="29"/>
      <c r="L9" s="29"/>
    </row>
    <row r="10" spans="1:12" ht="15.75" customHeight="1" x14ac:dyDescent="0.25">
      <c r="A10" s="22"/>
      <c r="B10" s="4" t="s">
        <v>51</v>
      </c>
      <c r="C10" s="29">
        <v>2.2400000000000002</v>
      </c>
      <c r="D10" s="29">
        <v>1.88</v>
      </c>
      <c r="E10" s="29"/>
      <c r="F10" s="4"/>
      <c r="G10" s="29"/>
      <c r="H10" s="29"/>
      <c r="I10" s="29"/>
      <c r="J10" s="29"/>
      <c r="K10" s="29"/>
      <c r="L10" s="29"/>
    </row>
    <row r="11" spans="1:12" ht="15.75" customHeight="1" x14ac:dyDescent="0.25">
      <c r="A11" s="22"/>
      <c r="B11" s="4" t="s">
        <v>52</v>
      </c>
      <c r="C11" s="29">
        <v>1.55</v>
      </c>
      <c r="D11" s="29">
        <v>1.41</v>
      </c>
      <c r="E11" s="29"/>
      <c r="F11" s="4"/>
      <c r="G11" s="29"/>
      <c r="H11" s="29"/>
      <c r="I11" s="29"/>
      <c r="J11" s="29"/>
      <c r="K11" s="29"/>
      <c r="L11" s="29"/>
    </row>
    <row r="12" spans="1:12" ht="15.75" customHeight="1" x14ac:dyDescent="0.25">
      <c r="A12" s="22"/>
      <c r="B12" s="4" t="s">
        <v>1</v>
      </c>
      <c r="C12" s="29">
        <v>1.08</v>
      </c>
      <c r="D12" s="29">
        <v>1.1100000000000001</v>
      </c>
      <c r="E12" s="29"/>
      <c r="F12" s="4"/>
      <c r="G12" s="29"/>
      <c r="H12" s="29"/>
      <c r="I12" s="29"/>
      <c r="J12" s="29"/>
      <c r="K12" s="29"/>
      <c r="L12" s="29"/>
    </row>
    <row r="13" spans="1:12" ht="15.75" customHeight="1" x14ac:dyDescent="0.25">
      <c r="A13" s="22"/>
      <c r="B13" s="4" t="s">
        <v>53</v>
      </c>
      <c r="C13" s="29">
        <v>0.85</v>
      </c>
      <c r="D13" s="29">
        <v>0.87</v>
      </c>
      <c r="E13" s="29"/>
      <c r="F13" s="4"/>
      <c r="G13" s="29"/>
      <c r="H13" s="29"/>
      <c r="I13" s="29"/>
      <c r="J13" s="29"/>
      <c r="K13" s="29"/>
      <c r="L13" s="29"/>
    </row>
    <row r="14" spans="1:12" ht="15.75" customHeight="1" x14ac:dyDescent="0.25">
      <c r="A14" s="22"/>
      <c r="B14" s="4" t="s">
        <v>3</v>
      </c>
      <c r="C14" s="29">
        <v>1.1399999999999999</v>
      </c>
      <c r="D14" s="29">
        <v>0.81</v>
      </c>
      <c r="E14" s="29"/>
      <c r="F14" s="10"/>
      <c r="G14" s="18"/>
      <c r="H14" s="18"/>
      <c r="I14" s="18"/>
      <c r="J14" s="29"/>
      <c r="K14" s="29"/>
      <c r="L14" s="29"/>
    </row>
    <row r="15" spans="1:12" ht="15.75" customHeight="1" x14ac:dyDescent="0.25">
      <c r="A15" s="22"/>
      <c r="B15" s="30" t="s">
        <v>0</v>
      </c>
      <c r="C15" s="18">
        <v>1</v>
      </c>
      <c r="D15" s="18">
        <v>1</v>
      </c>
      <c r="E15" s="18"/>
      <c r="F15" s="29"/>
      <c r="G15" s="29"/>
      <c r="H15" s="29"/>
      <c r="I15" s="29"/>
      <c r="J15" s="18"/>
      <c r="K15" s="18"/>
      <c r="L15" s="18"/>
    </row>
    <row r="16" spans="1:12" ht="15.7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</sheetData>
  <mergeCells count="2">
    <mergeCell ref="B4:D4"/>
    <mergeCell ref="F4:I4"/>
  </mergeCells>
  <pageMargins left="0.7" right="0.38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5"/>
  <sheetViews>
    <sheetView zoomScaleNormal="100" zoomScaleSheetLayoutView="115" workbookViewId="0">
      <selection activeCell="B20" sqref="B20:C20"/>
    </sheetView>
  </sheetViews>
  <sheetFormatPr defaultRowHeight="15" x14ac:dyDescent="0.25"/>
  <cols>
    <col min="1" max="1" width="46.140625" style="23" customWidth="1"/>
    <col min="2" max="2" width="27" style="23" customWidth="1"/>
    <col min="3" max="3" width="21.5703125" style="23" customWidth="1"/>
    <col min="4" max="4" width="9.140625" style="23"/>
    <col min="5" max="5" width="41.7109375" style="23" customWidth="1"/>
    <col min="6" max="6" width="21.5703125" style="23" customWidth="1"/>
    <col min="7" max="16384" width="9.140625" style="23"/>
  </cols>
  <sheetData>
    <row r="1" spans="1:2" ht="15" customHeight="1" x14ac:dyDescent="0.25">
      <c r="A1" s="22"/>
      <c r="B1" s="22"/>
    </row>
    <row r="2" spans="1:2" ht="15.75" x14ac:dyDescent="0.25">
      <c r="A2" s="124"/>
      <c r="B2" s="125"/>
    </row>
    <row r="3" spans="1:2" ht="15.75" customHeight="1" x14ac:dyDescent="0.25">
      <c r="A3" s="10" t="s">
        <v>2</v>
      </c>
      <c r="B3" s="24" t="s">
        <v>13</v>
      </c>
    </row>
    <row r="4" spans="1:2" ht="15.75" customHeight="1" x14ac:dyDescent="0.25">
      <c r="A4" s="4" t="s">
        <v>100</v>
      </c>
      <c r="B4" s="53">
        <f>163683+167</f>
        <v>163850</v>
      </c>
    </row>
    <row r="5" spans="1:2" ht="15.75" customHeight="1" x14ac:dyDescent="0.25">
      <c r="A5" s="4" t="s">
        <v>102</v>
      </c>
      <c r="B5" s="53">
        <v>3115</v>
      </c>
    </row>
    <row r="6" spans="1:2" ht="15.75" customHeight="1" x14ac:dyDescent="0.25">
      <c r="A6" s="4" t="s">
        <v>126</v>
      </c>
      <c r="B6" s="53">
        <v>3</v>
      </c>
    </row>
    <row r="7" spans="1:2" ht="15.75" customHeight="1" x14ac:dyDescent="0.25">
      <c r="A7" s="4" t="s">
        <v>57</v>
      </c>
      <c r="B7" s="53">
        <v>2</v>
      </c>
    </row>
    <row r="8" spans="1:2" ht="15.75" x14ac:dyDescent="0.25">
      <c r="A8" s="4" t="s">
        <v>61</v>
      </c>
      <c r="B8" s="53">
        <v>47</v>
      </c>
    </row>
    <row r="9" spans="1:2" x14ac:dyDescent="0.25">
      <c r="A9" s="64"/>
      <c r="B9" s="64"/>
    </row>
    <row r="10" spans="1:2" x14ac:dyDescent="0.25">
      <c r="A10" s="65"/>
      <c r="B10" s="65"/>
    </row>
    <row r="11" spans="1:2" ht="15.75" x14ac:dyDescent="0.25">
      <c r="A11" s="26"/>
      <c r="B11" s="26"/>
    </row>
    <row r="12" spans="1:2" ht="15.75" x14ac:dyDescent="0.25">
      <c r="A12" s="66"/>
      <c r="B12" s="28"/>
    </row>
    <row r="13" spans="1:2" x14ac:dyDescent="0.25">
      <c r="A13" s="32"/>
      <c r="B13" s="32"/>
    </row>
    <row r="14" spans="1:2" x14ac:dyDescent="0.25">
      <c r="A14" s="32"/>
      <c r="B14" s="32"/>
    </row>
    <row r="15" spans="1:2" x14ac:dyDescent="0.25">
      <c r="A15" s="32"/>
      <c r="B15" s="32"/>
    </row>
  </sheetData>
  <mergeCells count="1">
    <mergeCell ref="A2:B2"/>
  </mergeCells>
  <pageMargins left="0.7" right="0.38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14"/>
  <sheetViews>
    <sheetView showGridLines="0" workbookViewId="0">
      <selection activeCell="C15" sqref="C15"/>
    </sheetView>
  </sheetViews>
  <sheetFormatPr defaultRowHeight="15.75" x14ac:dyDescent="0.25"/>
  <cols>
    <col min="1" max="1" width="9.140625" style="105"/>
    <col min="2" max="2" width="47" style="105" bestFit="1" customWidth="1"/>
    <col min="3" max="3" width="2.85546875" style="105" customWidth="1"/>
    <col min="4" max="4" width="11.5703125" style="105" bestFit="1" customWidth="1"/>
    <col min="5" max="6" width="9.140625" style="105"/>
    <col min="7" max="7" width="41.140625" style="105" bestFit="1" customWidth="1"/>
    <col min="8" max="8" width="9.140625" style="105"/>
    <col min="9" max="9" width="10.5703125" style="105" bestFit="1" customWidth="1"/>
    <col min="10" max="16384" width="9.140625" style="105"/>
  </cols>
  <sheetData>
    <row r="2" spans="2:9" x14ac:dyDescent="0.25">
      <c r="B2" s="105" t="s">
        <v>106</v>
      </c>
      <c r="G2" s="105" t="s">
        <v>107</v>
      </c>
    </row>
    <row r="6" spans="2:9" x14ac:dyDescent="0.25">
      <c r="B6" s="105" t="s">
        <v>108</v>
      </c>
      <c r="D6" s="106">
        <v>6259</v>
      </c>
      <c r="G6" s="105" t="s">
        <v>109</v>
      </c>
      <c r="I6" s="106">
        <f>-58118-5</f>
        <v>-58123</v>
      </c>
    </row>
    <row r="7" spans="2:9" ht="18" x14ac:dyDescent="0.4">
      <c r="B7" s="105" t="s">
        <v>110</v>
      </c>
      <c r="D7" s="107">
        <v>-3321</v>
      </c>
      <c r="G7" s="105" t="s">
        <v>111</v>
      </c>
      <c r="I7" s="106">
        <f>693+1675</f>
        <v>2368</v>
      </c>
    </row>
    <row r="8" spans="2:9" ht="18" x14ac:dyDescent="0.4">
      <c r="B8" s="105" t="s">
        <v>112</v>
      </c>
      <c r="D8" s="106">
        <f>SUM(D6:D7)</f>
        <v>2938</v>
      </c>
      <c r="G8" s="105" t="s">
        <v>113</v>
      </c>
      <c r="I8" s="107">
        <v>2181</v>
      </c>
    </row>
    <row r="9" spans="2:9" ht="18" x14ac:dyDescent="0.4">
      <c r="B9" s="105" t="s">
        <v>114</v>
      </c>
      <c r="D9" s="108">
        <v>-2655</v>
      </c>
      <c r="G9" s="105" t="s">
        <v>112</v>
      </c>
      <c r="I9" s="106">
        <f>SUM(I6:I8)</f>
        <v>-53574</v>
      </c>
    </row>
    <row r="10" spans="2:9" ht="18" x14ac:dyDescent="0.4">
      <c r="B10" s="105" t="s">
        <v>115</v>
      </c>
      <c r="D10" s="106">
        <f>SUM(D8:D9)</f>
        <v>283</v>
      </c>
      <c r="G10" s="105" t="s">
        <v>116</v>
      </c>
      <c r="I10" s="107">
        <v>51519</v>
      </c>
    </row>
    <row r="11" spans="2:9" x14ac:dyDescent="0.25">
      <c r="B11" s="105" t="s">
        <v>117</v>
      </c>
      <c r="D11" s="106">
        <v>-277</v>
      </c>
      <c r="G11" s="105" t="s">
        <v>118</v>
      </c>
      <c r="I11" s="106">
        <f>SUM(I9:I10)</f>
        <v>-2055</v>
      </c>
    </row>
    <row r="12" spans="2:9" ht="18" x14ac:dyDescent="0.4">
      <c r="B12" s="105" t="s">
        <v>119</v>
      </c>
      <c r="D12" s="107">
        <v>-1</v>
      </c>
      <c r="G12" s="105" t="s">
        <v>120</v>
      </c>
      <c r="I12" s="106">
        <f>2230+220+116</f>
        <v>2566</v>
      </c>
    </row>
    <row r="13" spans="2:9" ht="18" x14ac:dyDescent="0.4">
      <c r="B13" s="105" t="s">
        <v>121</v>
      </c>
      <c r="D13" s="106">
        <f>SUM(D10:D12)</f>
        <v>5</v>
      </c>
      <c r="G13" s="105" t="s">
        <v>122</v>
      </c>
      <c r="I13" s="107">
        <v>-107</v>
      </c>
    </row>
    <row r="14" spans="2:9" x14ac:dyDescent="0.25">
      <c r="G14" s="105" t="s">
        <v>121</v>
      </c>
      <c r="I14" s="106">
        <f>SUM(I11:I13)</f>
        <v>404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5:D17"/>
  <sheetViews>
    <sheetView workbookViewId="0">
      <selection activeCell="G16" sqref="G16"/>
    </sheetView>
  </sheetViews>
  <sheetFormatPr defaultRowHeight="15" x14ac:dyDescent="0.25"/>
  <cols>
    <col min="2" max="2" width="53" customWidth="1"/>
    <col min="3" max="3" width="14.7109375" customWidth="1"/>
    <col min="4" max="4" width="11.85546875" bestFit="1" customWidth="1"/>
  </cols>
  <sheetData>
    <row r="5" spans="2:4" ht="15.75" x14ac:dyDescent="0.25">
      <c r="B5" s="124"/>
      <c r="C5" s="125"/>
      <c r="D5" s="125"/>
    </row>
    <row r="6" spans="2:4" ht="15.75" x14ac:dyDescent="0.25">
      <c r="B6" s="7"/>
      <c r="C6" s="26"/>
      <c r="D6" s="26"/>
    </row>
    <row r="7" spans="2:4" ht="15.75" x14ac:dyDescent="0.25">
      <c r="B7" s="7"/>
      <c r="C7" s="26"/>
      <c r="D7" s="26"/>
    </row>
    <row r="8" spans="2:4" ht="15.75" x14ac:dyDescent="0.25">
      <c r="B8" s="109" t="s">
        <v>2</v>
      </c>
      <c r="C8" s="110" t="s">
        <v>123</v>
      </c>
      <c r="D8" s="111" t="s">
        <v>124</v>
      </c>
    </row>
    <row r="9" spans="2:4" ht="15.75" x14ac:dyDescent="0.25">
      <c r="B9" s="112" t="s">
        <v>100</v>
      </c>
      <c r="C9" s="113">
        <v>3.45</v>
      </c>
      <c r="D9" s="114">
        <v>0.68</v>
      </c>
    </row>
    <row r="10" spans="2:4" ht="15.75" x14ac:dyDescent="0.25">
      <c r="B10" s="112" t="s">
        <v>102</v>
      </c>
      <c r="C10" s="113">
        <v>0.13589999999999999</v>
      </c>
      <c r="D10" s="114">
        <v>2.68</v>
      </c>
    </row>
    <row r="11" spans="2:4" ht="15.75" x14ac:dyDescent="0.25">
      <c r="B11" s="112" t="s">
        <v>57</v>
      </c>
      <c r="C11" s="113">
        <v>0.111</v>
      </c>
      <c r="D11" s="114">
        <v>2.19</v>
      </c>
    </row>
    <row r="12" spans="2:4" ht="15.75" x14ac:dyDescent="0.25">
      <c r="B12" s="112" t="s">
        <v>8</v>
      </c>
      <c r="C12" s="113">
        <v>5.8000000000000003E-2</v>
      </c>
      <c r="D12" s="114">
        <v>1.1399999999999999</v>
      </c>
    </row>
    <row r="13" spans="2:4" ht="15.75" x14ac:dyDescent="0.25">
      <c r="B13" s="115" t="s">
        <v>125</v>
      </c>
      <c r="C13" s="116">
        <v>5.0700000000000002E-2</v>
      </c>
      <c r="D13" s="117">
        <v>1</v>
      </c>
    </row>
    <row r="14" spans="2:4" x14ac:dyDescent="0.25">
      <c r="B14" s="118"/>
      <c r="C14" s="119"/>
      <c r="D14" s="120"/>
    </row>
    <row r="17" spans="2:2" x14ac:dyDescent="0.25">
      <c r="B17" s="12"/>
    </row>
  </sheetData>
  <mergeCells count="1">
    <mergeCell ref="B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5"/>
  <sheetViews>
    <sheetView view="pageBreakPreview" topLeftCell="B1" zoomScaleNormal="80" zoomScaleSheetLayoutView="100" workbookViewId="0">
      <selection activeCell="E18" sqref="E18"/>
    </sheetView>
  </sheetViews>
  <sheetFormatPr defaultRowHeight="15" x14ac:dyDescent="0.25"/>
  <cols>
    <col min="1" max="1" width="9.140625" style="23"/>
    <col min="2" max="2" width="44" style="23" customWidth="1"/>
    <col min="3" max="4" width="15.85546875" style="23" customWidth="1"/>
    <col min="5" max="5" width="25.85546875" style="23" customWidth="1"/>
    <col min="6" max="6" width="21.5703125" style="23" customWidth="1"/>
    <col min="7" max="7" width="9.140625" style="23"/>
    <col min="8" max="8" width="41.7109375" style="23" customWidth="1"/>
    <col min="9" max="9" width="21.5703125" style="23" customWidth="1"/>
    <col min="10" max="16384" width="9.140625" style="23"/>
  </cols>
  <sheetData>
    <row r="1" spans="1:5" x14ac:dyDescent="0.25">
      <c r="A1" s="22"/>
      <c r="B1" s="22"/>
      <c r="C1" s="22"/>
      <c r="D1" s="22"/>
      <c r="E1" s="22"/>
    </row>
    <row r="2" spans="1:5" ht="15.75" x14ac:dyDescent="0.25">
      <c r="A2" s="22"/>
      <c r="B2" s="7"/>
      <c r="C2" s="7"/>
      <c r="D2" s="7"/>
      <c r="E2" s="22"/>
    </row>
    <row r="3" spans="1:5" ht="15.75" x14ac:dyDescent="0.25">
      <c r="A3" s="22"/>
      <c r="B3" s="7"/>
      <c r="C3" s="7"/>
      <c r="D3" s="7"/>
      <c r="E3" s="22"/>
    </row>
    <row r="4" spans="1:5" ht="15.75" x14ac:dyDescent="0.25">
      <c r="A4" s="22"/>
      <c r="B4" s="6" t="s">
        <v>65</v>
      </c>
      <c r="C4" s="7"/>
      <c r="D4" s="7"/>
      <c r="E4" s="22"/>
    </row>
    <row r="5" spans="1:5" ht="15.75" x14ac:dyDescent="0.25">
      <c r="A5" s="22"/>
      <c r="B5" s="6"/>
      <c r="C5" s="7"/>
      <c r="D5" s="7"/>
      <c r="E5" s="22"/>
    </row>
    <row r="6" spans="1:5" ht="15.75" x14ac:dyDescent="0.25">
      <c r="A6" s="22"/>
      <c r="B6" s="6"/>
      <c r="C6" s="7"/>
      <c r="D6" s="7"/>
      <c r="E6" s="22"/>
    </row>
    <row r="7" spans="1:5" ht="31.5" x14ac:dyDescent="0.25">
      <c r="A7" s="22"/>
      <c r="B7" s="52" t="s">
        <v>2</v>
      </c>
      <c r="C7" s="51" t="s">
        <v>64</v>
      </c>
      <c r="D7" s="51" t="s">
        <v>48</v>
      </c>
      <c r="E7" s="22"/>
    </row>
    <row r="8" spans="1:5" ht="15.75" x14ac:dyDescent="0.25">
      <c r="A8" s="22"/>
      <c r="B8" s="4" t="s">
        <v>100</v>
      </c>
      <c r="C8" s="72">
        <v>0.14099999999999999</v>
      </c>
      <c r="D8" s="72">
        <v>0.104</v>
      </c>
      <c r="E8" s="22"/>
    </row>
    <row r="9" spans="1:5" ht="15.75" x14ac:dyDescent="0.25">
      <c r="A9" s="22"/>
      <c r="B9" s="4" t="s">
        <v>102</v>
      </c>
      <c r="C9" s="72">
        <v>0.14099999999999999</v>
      </c>
      <c r="D9" s="72">
        <v>9.1999999999999998E-2</v>
      </c>
      <c r="E9" s="22"/>
    </row>
    <row r="10" spans="1:5" ht="15.75" hidden="1" x14ac:dyDescent="0.25">
      <c r="A10" s="22"/>
      <c r="B10" s="4" t="s">
        <v>56</v>
      </c>
      <c r="C10" s="72">
        <v>0</v>
      </c>
      <c r="D10" s="72">
        <v>0</v>
      </c>
      <c r="E10" s="22"/>
    </row>
    <row r="11" spans="1:5" ht="15.75" x14ac:dyDescent="0.25">
      <c r="A11" s="22"/>
      <c r="B11" s="4" t="s">
        <v>58</v>
      </c>
      <c r="C11" s="72">
        <v>0.14099999999999999</v>
      </c>
      <c r="D11" s="72">
        <v>6.2E-2</v>
      </c>
      <c r="E11" s="22"/>
    </row>
    <row r="12" spans="1:5" ht="15.75" x14ac:dyDescent="0.25">
      <c r="A12" s="22"/>
      <c r="B12" s="4" t="s">
        <v>99</v>
      </c>
      <c r="C12" s="72">
        <v>0.14099999999999999</v>
      </c>
      <c r="D12" s="72">
        <v>0.14399999999999999</v>
      </c>
      <c r="E12" s="22"/>
    </row>
    <row r="13" spans="1:5" ht="15.75" x14ac:dyDescent="0.25">
      <c r="A13" s="22"/>
      <c r="B13" s="4" t="s">
        <v>98</v>
      </c>
      <c r="C13" s="73">
        <v>0</v>
      </c>
      <c r="D13" s="73">
        <v>0</v>
      </c>
      <c r="E13" s="22"/>
    </row>
    <row r="14" spans="1:5" ht="15" customHeight="1" x14ac:dyDescent="0.25">
      <c r="A14" s="22"/>
      <c r="B14" s="10" t="s">
        <v>0</v>
      </c>
      <c r="C14" s="27">
        <v>0.13800000000000001</v>
      </c>
      <c r="D14" s="27">
        <v>0.10100000000000001</v>
      </c>
      <c r="E14" s="22"/>
    </row>
    <row r="15" spans="1:5" ht="15" customHeight="1" x14ac:dyDescent="0.25">
      <c r="A15" s="22"/>
      <c r="B15" s="127"/>
      <c r="C15" s="127"/>
      <c r="D15" s="127"/>
      <c r="E15" s="22"/>
    </row>
    <row r="16" spans="1:5" ht="15" customHeight="1" x14ac:dyDescent="0.25">
      <c r="A16" s="22"/>
      <c r="B16" s="22"/>
      <c r="C16" s="22"/>
      <c r="D16" s="22"/>
      <c r="E16" s="22"/>
    </row>
    <row r="17" spans="1:5" ht="15" customHeight="1" x14ac:dyDescent="0.25">
      <c r="A17" s="22"/>
      <c r="B17" s="22"/>
      <c r="C17" s="22"/>
      <c r="D17" s="22"/>
      <c r="E17" s="22"/>
    </row>
    <row r="18" spans="1:5" ht="36.75" customHeight="1" x14ac:dyDescent="0.25">
      <c r="A18" s="22"/>
      <c r="B18" s="52" t="s">
        <v>2</v>
      </c>
      <c r="C18" s="51" t="s">
        <v>64</v>
      </c>
      <c r="D18" s="51" t="s">
        <v>48</v>
      </c>
      <c r="E18" s="22"/>
    </row>
    <row r="19" spans="1:5" ht="15.75" x14ac:dyDescent="0.25">
      <c r="A19" s="22"/>
      <c r="B19" s="4" t="s">
        <v>100</v>
      </c>
      <c r="C19" s="72">
        <v>6.2E-2</v>
      </c>
      <c r="D19" s="72">
        <v>4.7E-2</v>
      </c>
      <c r="E19" s="22"/>
    </row>
    <row r="20" spans="1:5" ht="15" customHeight="1" x14ac:dyDescent="0.25">
      <c r="A20" s="22"/>
      <c r="B20" s="4" t="s">
        <v>102</v>
      </c>
      <c r="C20" s="72">
        <v>6.2E-2</v>
      </c>
      <c r="D20" s="72">
        <v>4.2000000000000003E-2</v>
      </c>
      <c r="E20" s="22"/>
    </row>
    <row r="21" spans="1:5" ht="15" customHeight="1" x14ac:dyDescent="0.25">
      <c r="A21" s="22"/>
      <c r="B21" s="4" t="s">
        <v>58</v>
      </c>
      <c r="C21" s="72">
        <v>6.2E-2</v>
      </c>
      <c r="D21" s="72">
        <v>2.9000000000000001E-2</v>
      </c>
      <c r="E21" s="22"/>
    </row>
    <row r="22" spans="1:5" ht="15" customHeight="1" x14ac:dyDescent="0.25">
      <c r="A22" s="22"/>
      <c r="B22" s="4" t="s">
        <v>99</v>
      </c>
      <c r="C22" s="72">
        <v>6.2E-2</v>
      </c>
      <c r="D22" s="72">
        <v>6.3E-2</v>
      </c>
      <c r="E22" s="22"/>
    </row>
    <row r="23" spans="1:5" ht="15" customHeight="1" x14ac:dyDescent="0.25">
      <c r="A23" s="22"/>
      <c r="B23" s="4" t="s">
        <v>98</v>
      </c>
      <c r="C23" s="73">
        <v>0</v>
      </c>
      <c r="D23" s="73">
        <v>0</v>
      </c>
      <c r="E23" s="22"/>
    </row>
    <row r="24" spans="1:5" ht="15" customHeight="1" x14ac:dyDescent="0.25">
      <c r="A24" s="22"/>
      <c r="B24" s="10" t="s">
        <v>0</v>
      </c>
      <c r="C24" s="27">
        <v>6.0999999999999999E-2</v>
      </c>
      <c r="D24" s="27">
        <v>4.5999999999999999E-2</v>
      </c>
      <c r="E24" s="22"/>
    </row>
    <row r="25" spans="1:5" ht="15" customHeight="1" x14ac:dyDescent="0.25">
      <c r="A25" s="22"/>
      <c r="B25" s="127"/>
      <c r="C25" s="127"/>
      <c r="D25" s="127"/>
      <c r="E25" s="22"/>
    </row>
    <row r="26" spans="1:5" ht="15" customHeight="1" x14ac:dyDescent="0.25">
      <c r="A26" s="22"/>
      <c r="B26" s="22"/>
      <c r="C26" s="22"/>
      <c r="D26" s="22"/>
      <c r="E26" s="22"/>
    </row>
    <row r="27" spans="1:5" ht="15" customHeight="1" x14ac:dyDescent="0.25">
      <c r="A27" s="22"/>
      <c r="B27" s="22"/>
      <c r="C27" s="22"/>
      <c r="D27" s="22"/>
      <c r="E27" s="22"/>
    </row>
    <row r="28" spans="1:5" x14ac:dyDescent="0.25">
      <c r="E28" s="31"/>
    </row>
    <row r="29" spans="1:5" ht="15.75" x14ac:dyDescent="0.25">
      <c r="D29" s="54"/>
      <c r="E29" s="32"/>
    </row>
    <row r="30" spans="1:5" ht="15.75" x14ac:dyDescent="0.25">
      <c r="E30" s="33"/>
    </row>
    <row r="31" spans="1:5" ht="15.75" x14ac:dyDescent="0.25">
      <c r="E31" s="34"/>
    </row>
    <row r="32" spans="1:5" ht="15.75" x14ac:dyDescent="0.25">
      <c r="E32" s="35"/>
    </row>
    <row r="33" spans="5:5" x14ac:dyDescent="0.25">
      <c r="E33" s="32"/>
    </row>
    <row r="34" spans="5:5" x14ac:dyDescent="0.25">
      <c r="E34" s="32"/>
    </row>
    <row r="35" spans="5:5" x14ac:dyDescent="0.25">
      <c r="E35" s="32"/>
    </row>
  </sheetData>
  <mergeCells count="2">
    <mergeCell ref="B15:D15"/>
    <mergeCell ref="B25:D25"/>
  </mergeCells>
  <pageMargins left="0.7" right="0.38" top="0.75" bottom="0.75" header="0.3" footer="0.3"/>
  <pageSetup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"/>
  <sheetViews>
    <sheetView view="pageBreakPreview" zoomScale="115" zoomScaleNormal="80" zoomScaleSheetLayoutView="115" workbookViewId="0">
      <selection activeCell="E20" sqref="E20"/>
    </sheetView>
  </sheetViews>
  <sheetFormatPr defaultRowHeight="15" x14ac:dyDescent="0.25"/>
  <cols>
    <col min="1" max="1" width="9.140625" style="23"/>
    <col min="2" max="2" width="41.85546875" style="23" customWidth="1"/>
    <col min="3" max="4" width="16.28515625" style="23" customWidth="1"/>
    <col min="5" max="5" width="14.140625" style="23" customWidth="1"/>
    <col min="6" max="6" width="51" style="23" customWidth="1"/>
    <col min="7" max="12" width="14.140625" style="23" customWidth="1"/>
    <col min="13" max="13" width="21.5703125" style="23" customWidth="1"/>
    <col min="14" max="16384" width="9.140625" style="23"/>
  </cols>
  <sheetData>
    <row r="1" spans="1:12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x14ac:dyDescent="0.25">
      <c r="A4" s="22"/>
      <c r="B4" s="124" t="s">
        <v>101</v>
      </c>
      <c r="C4" s="125"/>
      <c r="D4" s="125"/>
      <c r="E4" s="22"/>
      <c r="F4" s="22"/>
      <c r="G4" s="22"/>
      <c r="H4" s="22"/>
      <c r="I4" s="22"/>
      <c r="J4" s="22"/>
      <c r="K4" s="22"/>
      <c r="L4" s="22"/>
    </row>
    <row r="5" spans="1:12" ht="15.75" x14ac:dyDescent="0.25">
      <c r="A5" s="22"/>
      <c r="B5" s="7"/>
      <c r="C5" s="26" t="s">
        <v>4</v>
      </c>
      <c r="D5" s="26" t="s">
        <v>5</v>
      </c>
      <c r="E5" s="22"/>
      <c r="F5" s="22"/>
      <c r="G5" s="22"/>
      <c r="H5" s="22"/>
      <c r="I5" s="22"/>
      <c r="J5" s="22"/>
      <c r="K5" s="22"/>
      <c r="L5" s="22"/>
    </row>
    <row r="6" spans="1:12" ht="15.75" x14ac:dyDescent="0.25">
      <c r="A6" s="22"/>
      <c r="B6" s="7"/>
      <c r="C6" s="26" t="s">
        <v>6</v>
      </c>
      <c r="D6" s="26" t="s">
        <v>6</v>
      </c>
      <c r="E6" s="22"/>
      <c r="F6" s="22"/>
      <c r="G6" s="22"/>
      <c r="H6" s="22"/>
      <c r="I6" s="22"/>
      <c r="J6" s="22"/>
      <c r="K6" s="22"/>
      <c r="L6" s="22"/>
    </row>
    <row r="7" spans="1:12" ht="15.75" x14ac:dyDescent="0.25">
      <c r="A7" s="22"/>
      <c r="B7" s="10" t="s">
        <v>2</v>
      </c>
      <c r="C7" s="28" t="s">
        <v>7</v>
      </c>
      <c r="D7" s="28" t="s">
        <v>7</v>
      </c>
      <c r="E7" s="22"/>
      <c r="F7" s="22"/>
      <c r="G7" s="22"/>
      <c r="H7" s="22"/>
      <c r="I7" s="22"/>
      <c r="J7" s="22"/>
      <c r="K7" s="22"/>
      <c r="L7" s="22"/>
    </row>
    <row r="8" spans="1:12" ht="15.75" x14ac:dyDescent="0.25">
      <c r="A8" s="22"/>
      <c r="B8" s="4" t="s">
        <v>100</v>
      </c>
      <c r="C8" s="29">
        <v>0.67</v>
      </c>
      <c r="D8" s="29">
        <v>0.77</v>
      </c>
      <c r="E8" s="121">
        <f>(D8-C8)/(1-C8)</f>
        <v>0.30303030303030298</v>
      </c>
      <c r="F8" s="22"/>
      <c r="G8" s="22"/>
      <c r="H8" s="22"/>
      <c r="I8" s="22"/>
      <c r="J8" s="22"/>
      <c r="K8" s="22"/>
      <c r="L8" s="22"/>
    </row>
    <row r="9" spans="1:12" ht="15.75" x14ac:dyDescent="0.25">
      <c r="A9" s="22"/>
      <c r="B9" s="4" t="s">
        <v>55</v>
      </c>
      <c r="C9" s="29">
        <v>2.73</v>
      </c>
      <c r="D9" s="29">
        <v>2.2200000000000002</v>
      </c>
      <c r="E9" s="121">
        <f>(C9-D9)/(C9-1)</f>
        <v>0.29479768786127153</v>
      </c>
      <c r="F9" s="22"/>
      <c r="G9" s="22"/>
      <c r="H9" s="122"/>
      <c r="I9" s="122"/>
      <c r="J9" s="22"/>
      <c r="K9" s="22"/>
      <c r="L9" s="22"/>
    </row>
    <row r="10" spans="1:12" ht="15.75" x14ac:dyDescent="0.25">
      <c r="A10" s="22"/>
      <c r="B10" s="4" t="s">
        <v>57</v>
      </c>
      <c r="C10" s="29">
        <v>2.19</v>
      </c>
      <c r="D10" s="29">
        <v>1.82</v>
      </c>
      <c r="E10" s="121">
        <f t="shared" ref="E10:E11" si="0">(C10-D10)/(C10-1)</f>
        <v>0.31092436974789905</v>
      </c>
      <c r="F10" s="22"/>
      <c r="G10" s="22"/>
      <c r="H10" s="22"/>
      <c r="I10" s="22"/>
      <c r="J10" s="22"/>
      <c r="K10" s="22"/>
      <c r="L10" s="22"/>
    </row>
    <row r="11" spans="1:12" ht="15.75" x14ac:dyDescent="0.25">
      <c r="A11" s="22"/>
      <c r="B11" s="4" t="s">
        <v>8</v>
      </c>
      <c r="C11" s="29">
        <v>1.1599999999999999</v>
      </c>
      <c r="D11" s="29">
        <v>1.03</v>
      </c>
      <c r="E11" s="121">
        <f t="shared" si="0"/>
        <v>0.81249999999999978</v>
      </c>
      <c r="F11" s="22"/>
      <c r="G11" s="22"/>
      <c r="H11" s="22"/>
      <c r="I11" s="22"/>
      <c r="J11" s="22"/>
      <c r="K11" s="22"/>
      <c r="L11" s="22"/>
    </row>
    <row r="12" spans="1:12" ht="15.75" x14ac:dyDescent="0.25">
      <c r="A12" s="22"/>
      <c r="B12" s="30" t="s">
        <v>0</v>
      </c>
      <c r="C12" s="18">
        <v>1</v>
      </c>
      <c r="D12" s="18">
        <v>1</v>
      </c>
      <c r="E12" s="22"/>
      <c r="F12" s="22"/>
      <c r="G12" s="22"/>
      <c r="H12" s="22"/>
      <c r="I12" s="22"/>
      <c r="J12" s="22"/>
      <c r="K12" s="22"/>
      <c r="L12" s="22"/>
    </row>
    <row r="13" spans="1:12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1">
    <mergeCell ref="B4:D4"/>
  </mergeCells>
  <pageMargins left="0.7" right="0.38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9C9F57-8CDD-4381-A14A-D52F3E0CB95D}"/>
</file>

<file path=customXml/itemProps2.xml><?xml version="1.0" encoding="utf-8"?>
<ds:datastoreItem xmlns:ds="http://schemas.openxmlformats.org/officeDocument/2006/customXml" ds:itemID="{689D35AD-232E-44A2-A048-2DB5B76DB330}"/>
</file>

<file path=customXml/itemProps3.xml><?xml version="1.0" encoding="utf-8"?>
<ds:datastoreItem xmlns:ds="http://schemas.openxmlformats.org/officeDocument/2006/customXml" ds:itemID="{91860CD0-1BD8-4B9A-A988-1D9C33569F5C}"/>
</file>

<file path=customXml/itemProps4.xml><?xml version="1.0" encoding="utf-8"?>
<ds:datastoreItem xmlns:ds="http://schemas.openxmlformats.org/officeDocument/2006/customXml" ds:itemID="{029BE5C7-8373-4D35-8A85-E4CC8AC61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1 - Elec Cust Count</vt:lpstr>
      <vt:lpstr>Table 2 -2019 Elec Rate %</vt:lpstr>
      <vt:lpstr>Tables 3-4 - 1-11 Rates of Ret.</vt:lpstr>
      <vt:lpstr>Table 5 - Elec COS Results</vt:lpstr>
      <vt:lpstr>Table - GAS CUST COUNT</vt:lpstr>
      <vt:lpstr>Rev Adj</vt:lpstr>
      <vt:lpstr>Gas COS</vt:lpstr>
      <vt:lpstr>Table GAS%</vt:lpstr>
      <vt:lpstr>Table GAS COS</vt:lpstr>
      <vt:lpstr>WA 146 Bill Impact</vt:lpstr>
      <vt:lpstr>Schedule 11 Analysis</vt:lpstr>
      <vt:lpstr>Elec COS Results Prior GRCs</vt:lpstr>
      <vt:lpstr>'Elec COS Results Prior GRCs'!Print_Area</vt:lpstr>
      <vt:lpstr>'Table - GAS CUST COUNT'!Print_Area</vt:lpstr>
      <vt:lpstr>'Table 1 - Elec Cust Count'!Print_Area</vt:lpstr>
      <vt:lpstr>'Table 2 -2019 Elec Rate %'!Print_Area</vt:lpstr>
      <vt:lpstr>'Table 5 - Elec COS Results'!Print_Area</vt:lpstr>
      <vt:lpstr>'Table GAS COS'!Print_Area</vt:lpstr>
      <vt:lpstr>'Table GAS%'!Print_Area</vt:lpstr>
      <vt:lpstr>'WA 146 Bill Impact'!Print_Area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Ehrbar</dc:creator>
  <cp:lastModifiedBy>Joe Miller</cp:lastModifiedBy>
  <cp:lastPrinted>2015-01-26T22:24:15Z</cp:lastPrinted>
  <dcterms:created xsi:type="dcterms:W3CDTF">2010-02-17T18:25:22Z</dcterms:created>
  <dcterms:modified xsi:type="dcterms:W3CDTF">2019-04-25T17:35:34Z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