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4.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G9" i="24" s="1"/>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F9" i="24"/>
  <c r="N12" i="24" l="1"/>
  <c r="D22" i="10"/>
  <c r="D21" i="10"/>
  <c r="D20" i="10"/>
  <c r="D19" i="10"/>
  <c r="D18" i="10"/>
  <c r="D17" i="10"/>
  <c r="D16" i="10"/>
  <c r="D15" i="10"/>
  <c r="I11" i="24"/>
  <c r="D7" i="24"/>
  <c r="D18" i="24" s="1"/>
  <c r="A13" i="6"/>
  <c r="A24" i="27" s="1"/>
  <c r="E7" i="24"/>
  <c r="F7" i="24" s="1"/>
  <c r="G7" i="24" s="1"/>
  <c r="F11" i="24"/>
  <c r="D37" i="6"/>
  <c r="M9" i="24"/>
  <c r="L9" i="24"/>
  <c r="L11" i="24" s="1"/>
  <c r="L13" i="24" s="1"/>
  <c r="L15" i="24" s="1"/>
  <c r="L19" i="24" s="1"/>
  <c r="P30" i="10" s="1"/>
  <c r="J9" i="24"/>
  <c r="J11" i="24" s="1"/>
  <c r="J13" i="24" s="1"/>
  <c r="J15" i="24" s="1"/>
  <c r="J19" i="24" s="1"/>
  <c r="N30" i="10" s="1"/>
  <c r="I13" i="24"/>
  <c r="I15" i="24" s="1"/>
  <c r="I19" i="24" s="1"/>
  <c r="I20" i="24" s="1"/>
  <c r="F13" i="24"/>
  <c r="F15" i="24" s="1"/>
  <c r="F19" i="24" s="1"/>
  <c r="J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B19" i="24" s="1"/>
  <c r="N13" i="24"/>
  <c r="A16" i="6"/>
  <c r="A35" i="27"/>
  <c r="A7" i="27"/>
  <c r="A18" i="10"/>
  <c r="J14" i="10" l="1"/>
  <c r="K5" i="10"/>
  <c r="A36" i="27"/>
  <c r="A17" i="6"/>
  <c r="A8" i="27"/>
  <c r="A19" i="10"/>
  <c r="I18" i="24"/>
  <c r="J7" i="24"/>
  <c r="N15" i="24"/>
  <c r="N19" i="24" s="1"/>
  <c r="N20" i="24" s="1"/>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J71" i="6"/>
  <c r="N72" i="6"/>
  <c r="J72" i="6"/>
  <c r="M72" i="6"/>
  <c r="I72" i="6"/>
  <c r="M71" i="6"/>
  <c r="P72" i="6"/>
  <c r="L72" i="6"/>
  <c r="P71" i="6"/>
  <c r="L71" i="6"/>
  <c r="H71" i="6"/>
  <c r="O72" i="6"/>
  <c r="K72" i="6"/>
  <c r="O71" i="6"/>
  <c r="K71"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E38" i="6" l="1"/>
  <c r="E23" i="6" s="1"/>
  <c r="P57" i="6"/>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J108" i="6"/>
  <c r="K12" i="10" s="1"/>
  <c r="N101" i="6"/>
  <c r="O11" i="10" s="1"/>
  <c r="F101" i="6"/>
  <c r="G11" i="10" s="1"/>
  <c r="J81" i="6"/>
  <c r="K9" i="10" s="1"/>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E46" i="6" s="1"/>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H72" i="6"/>
  <c r="P64" i="6"/>
  <c r="Q8" i="10" s="1"/>
  <c r="L64" i="6"/>
  <c r="M8" i="10" s="1"/>
  <c r="H64" i="6"/>
  <c r="I8" i="10" s="1"/>
  <c r="P45" i="6"/>
  <c r="L45" i="6"/>
  <c r="H45" i="6"/>
  <c r="L57" i="6"/>
  <c r="L46" i="6" s="1"/>
  <c r="H57" i="6"/>
  <c r="H46" i="6" s="1"/>
  <c r="P21" i="6"/>
  <c r="L21" i="6"/>
  <c r="H21" i="6"/>
  <c r="P22" i="6"/>
  <c r="L22" i="6"/>
  <c r="H22" i="6"/>
  <c r="P38" i="6"/>
  <c r="P23" i="6" s="1"/>
  <c r="L38" i="6"/>
  <c r="L23" i="6" s="1"/>
  <c r="H38" i="6"/>
  <c r="H23" i="6" s="1"/>
  <c r="I6" i="10"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G23" i="6" s="1"/>
  <c r="E7" i="6"/>
  <c r="F6" i="10"/>
  <c r="E126" i="6"/>
  <c r="D57" i="6"/>
  <c r="D108" i="6"/>
  <c r="Q7" i="10"/>
  <c r="P41" i="6"/>
  <c r="I41" i="6"/>
  <c r="J7" i="10"/>
  <c r="F8" i="10"/>
  <c r="D8" i="10" s="1"/>
  <c r="R64" i="6"/>
  <c r="D64" i="6"/>
  <c r="F11" i="10"/>
  <c r="D11" i="10" s="1"/>
  <c r="D101" i="6"/>
  <c r="R101" i="6"/>
  <c r="E138" i="6"/>
  <c r="F25" i="10" s="1"/>
  <c r="D122" i="6"/>
  <c r="E83" i="6"/>
  <c r="F7" i="10"/>
  <c r="E41" i="6"/>
  <c r="D46" i="6"/>
  <c r="D23" i="6" l="1"/>
  <c r="H126" i="6"/>
  <c r="H138" i="6" s="1"/>
  <c r="I25" i="10" s="1"/>
  <c r="H83" i="6"/>
  <c r="H140" i="6" s="1"/>
  <c r="D38" i="6"/>
  <c r="H7" i="6"/>
  <c r="R38" i="6"/>
  <c r="D12" i="10"/>
  <c r="G126" i="6"/>
  <c r="G138" i="6" s="1"/>
  <c r="H25" i="10" s="1"/>
  <c r="H6" i="10"/>
  <c r="G7" i="6"/>
  <c r="G83" i="6"/>
  <c r="K140" i="6"/>
  <c r="K83" i="6"/>
  <c r="L6" i="10"/>
  <c r="K126" i="6"/>
  <c r="K138" i="6" s="1"/>
  <c r="L25" i="10" s="1"/>
  <c r="K7" i="6"/>
  <c r="O140" i="6"/>
  <c r="O7" i="6"/>
  <c r="O126" i="6"/>
  <c r="O138" i="6" s="1"/>
  <c r="P25" i="10" s="1"/>
  <c r="P6" i="10"/>
  <c r="O83" i="6"/>
  <c r="G41" i="6"/>
  <c r="H7" i="10"/>
  <c r="L7" i="10"/>
  <c r="K41" i="6"/>
  <c r="P7" i="10"/>
  <c r="O41" i="6"/>
  <c r="L138" i="6"/>
  <c r="M25" i="10" s="1"/>
  <c r="M6" i="10"/>
  <c r="L7" i="6"/>
  <c r="L83" i="6"/>
  <c r="L126" i="6"/>
  <c r="L140" i="6"/>
  <c r="P140" i="6"/>
  <c r="P7" i="6"/>
  <c r="P83" i="6"/>
  <c r="P126" i="6"/>
  <c r="P138" i="6" s="1"/>
  <c r="Q25" i="10" s="1"/>
  <c r="Q6" i="10"/>
  <c r="Q13" i="10" s="1"/>
  <c r="H41" i="6"/>
  <c r="I7" i="10"/>
  <c r="I13" i="10" s="1"/>
  <c r="I24" i="10" s="1"/>
  <c r="M7" i="10"/>
  <c r="L41" i="6"/>
  <c r="J6" i="10"/>
  <c r="J13" i="10" s="1"/>
  <c r="I7" i="6"/>
  <c r="I126" i="6"/>
  <c r="I138" i="6"/>
  <c r="J25" i="10" s="1"/>
  <c r="I140" i="6"/>
  <c r="I83" i="6"/>
  <c r="M7" i="6"/>
  <c r="M126" i="6"/>
  <c r="M83" i="6"/>
  <c r="M140" i="6" s="1"/>
  <c r="N6" i="10"/>
  <c r="M138" i="6"/>
  <c r="N25" i="10" s="1"/>
  <c r="D22" i="6"/>
  <c r="R22" i="6"/>
  <c r="D21" i="6"/>
  <c r="R21" i="6"/>
  <c r="N7" i="10"/>
  <c r="M41" i="6"/>
  <c r="R45" i="6"/>
  <c r="D45" i="6"/>
  <c r="D81" i="6"/>
  <c r="F9" i="10"/>
  <c r="D9" i="10" s="1"/>
  <c r="F10" i="10"/>
  <c r="D10" i="10" s="1"/>
  <c r="R95" i="6"/>
  <c r="D95" i="6"/>
  <c r="F83" i="6"/>
  <c r="D83" i="6" s="1"/>
  <c r="F7" i="6"/>
  <c r="G6" i="10"/>
  <c r="F126" i="6"/>
  <c r="F138" i="6" s="1"/>
  <c r="K7" i="10"/>
  <c r="J41" i="6"/>
  <c r="J7" i="6"/>
  <c r="K6" i="10"/>
  <c r="K13" i="10" s="1"/>
  <c r="J83" i="6"/>
  <c r="J126" i="6"/>
  <c r="J138" i="6"/>
  <c r="K25" i="10" s="1"/>
  <c r="J140" i="6"/>
  <c r="O7" i="10"/>
  <c r="N41" i="6"/>
  <c r="O6" i="10"/>
  <c r="O13" i="10" s="1"/>
  <c r="N138" i="6"/>
  <c r="O25" i="10" s="1"/>
  <c r="N83" i="6"/>
  <c r="N140" i="6"/>
  <c r="N126" i="6"/>
  <c r="N7" i="6"/>
  <c r="R131" i="6"/>
  <c r="D131" i="6"/>
  <c r="F29" i="10"/>
  <c r="D29" i="10" s="1"/>
  <c r="D136" i="6"/>
  <c r="G7" i="10"/>
  <c r="F41" i="6"/>
  <c r="D41" i="6" s="1"/>
  <c r="D7" i="10"/>
  <c r="F13" i="10"/>
  <c r="E140" i="6"/>
  <c r="R41" i="6"/>
  <c r="R46" i="6" s="1"/>
  <c r="D138" i="6" l="1"/>
  <c r="I26" i="10"/>
  <c r="I28" i="10" s="1"/>
  <c r="G140" i="6"/>
  <c r="N13" i="10"/>
  <c r="N39" i="10" s="1"/>
  <c r="N40" i="10" s="1"/>
  <c r="M13" i="10"/>
  <c r="P13" i="10"/>
  <c r="L13" i="10"/>
  <c r="D7" i="6"/>
  <c r="R7" i="6"/>
  <c r="R23" i="6" s="1"/>
  <c r="R83" i="6" s="1"/>
  <c r="H13" i="10"/>
  <c r="H24" i="10" s="1"/>
  <c r="D6" i="10"/>
  <c r="R126" i="6"/>
  <c r="D126" i="6"/>
  <c r="G13" i="10"/>
  <c r="F140" i="6"/>
  <c r="D140" i="6" s="1"/>
  <c r="J36" i="10"/>
  <c r="J39" i="10"/>
  <c r="J40" i="10" s="1"/>
  <c r="J41" i="10"/>
  <c r="J35" i="10"/>
  <c r="J24" i="10"/>
  <c r="J26" i="10" s="1"/>
  <c r="J28" i="10" s="1"/>
  <c r="J31" i="10" s="1"/>
  <c r="J38" i="10"/>
  <c r="J33" i="10"/>
  <c r="J37" i="10"/>
  <c r="J34" i="10"/>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38" i="10"/>
  <c r="K39" i="10" s="1"/>
  <c r="K40" i="10" s="1"/>
  <c r="K33" i="10"/>
  <c r="K24" i="10"/>
  <c r="K26" i="10"/>
  <c r="K28" i="10" s="1"/>
  <c r="K31" i="10" s="1"/>
  <c r="K36" i="10"/>
  <c r="K34" i="10"/>
  <c r="K35" i="10"/>
  <c r="K37" i="10"/>
  <c r="K41" i="10"/>
  <c r="G25" i="10"/>
  <c r="R138" i="6"/>
  <c r="N41" i="10"/>
  <c r="M26" i="10"/>
  <c r="M28" i="10" s="1"/>
  <c r="M31" i="10" s="1"/>
  <c r="M24" i="10"/>
  <c r="M37" i="10"/>
  <c r="P36" i="10"/>
  <c r="P34" i="10"/>
  <c r="P39" i="10"/>
  <c r="P40" i="10" s="1"/>
  <c r="P41" i="10"/>
  <c r="I31" i="10"/>
  <c r="D25" i="10"/>
  <c r="H26" i="10"/>
  <c r="H28" i="10" s="1"/>
  <c r="H31" i="10" s="1"/>
  <c r="F24" i="10"/>
  <c r="D13" i="10" l="1"/>
  <c r="N35" i="10"/>
  <c r="N36" i="10"/>
  <c r="N34" i="10"/>
  <c r="N24" i="10"/>
  <c r="N26" i="10"/>
  <c r="N28" i="10" s="1"/>
  <c r="N31" i="10"/>
  <c r="N33" i="10"/>
  <c r="N37" i="10"/>
  <c r="N38" i="10"/>
  <c r="M35" i="10"/>
  <c r="M34" i="10"/>
  <c r="M36" i="10"/>
  <c r="M33" i="10"/>
  <c r="M38" i="10"/>
  <c r="M39" i="10"/>
  <c r="M40" i="10" s="1"/>
  <c r="M41" i="10"/>
  <c r="L39" i="10"/>
  <c r="L40" i="10" s="1"/>
  <c r="L41" i="10"/>
  <c r="L34" i="10"/>
  <c r="L35" i="10"/>
  <c r="L36" i="10"/>
  <c r="L24" i="10"/>
  <c r="L26" i="10" s="1"/>
  <c r="L28" i="10" s="1"/>
  <c r="L31" i="10" s="1"/>
  <c r="L33" i="10"/>
  <c r="L37" i="10"/>
  <c r="L38" i="10"/>
  <c r="P35" i="10"/>
  <c r="P24" i="10"/>
  <c r="P26" i="10" s="1"/>
  <c r="P28" i="10" s="1"/>
  <c r="P31" i="10" s="1"/>
  <c r="P33" i="10"/>
  <c r="P37" i="10"/>
  <c r="P38" i="10"/>
  <c r="G24" i="10"/>
  <c r="D24" i="10" s="1"/>
  <c r="F26" i="10"/>
  <c r="G26" i="10" l="1"/>
  <c r="G28" i="10" s="1"/>
  <c r="G31" i="10" s="1"/>
  <c r="F28" i="10"/>
  <c r="D26" i="10" l="1"/>
  <c r="D28" i="10"/>
  <c r="F31" i="10"/>
  <c r="D31" i="10" s="1"/>
  <c r="F33" i="10" l="1"/>
  <c r="G33" i="10" l="1"/>
  <c r="H33" i="10" s="1"/>
  <c r="H34" i="10" s="1"/>
  <c r="F34" i="10"/>
  <c r="F35" i="10"/>
  <c r="F36" i="10"/>
  <c r="I33" i="10"/>
  <c r="I36" i="10" s="1"/>
  <c r="H36" i="10" l="1"/>
  <c r="H35" i="10"/>
  <c r="H38" i="10" s="1"/>
  <c r="H41" i="10" s="1"/>
  <c r="I35" i="10"/>
  <c r="I34" i="10"/>
  <c r="F37" i="10"/>
  <c r="F38" i="10"/>
  <c r="G36" i="10"/>
  <c r="G35" i="10"/>
  <c r="G34" i="10"/>
  <c r="H37" i="10" l="1"/>
  <c r="I37" i="10"/>
  <c r="I38" i="10"/>
  <c r="G38" i="10"/>
  <c r="H39" i="10" s="1"/>
  <c r="H40" i="10" s="1"/>
  <c r="G37" i="10"/>
  <c r="F39" i="10"/>
  <c r="F40" i="10" s="1"/>
  <c r="F41" i="10"/>
  <c r="I39" i="10" l="1"/>
  <c r="I40" i="10" s="1"/>
  <c r="I41" i="10"/>
  <c r="G41" i="10"/>
  <c r="G39" i="10"/>
  <c r="G40" i="10" s="1"/>
  <c r="D40" i="10" l="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charset val="1"/>
          </rPr>
          <t>Kettner, Cheryl:</t>
        </r>
        <r>
          <rPr>
            <sz val="9"/>
            <color indexed="81"/>
            <rFont val="Tahoma"/>
            <charset val="1"/>
          </rPr>
          <t xml:space="preserve">
Enter as negative number</t>
        </r>
      </text>
    </comment>
    <comment ref="B46" authorId="3" shapeId="0">
      <text>
        <r>
          <rPr>
            <b/>
            <sz val="9"/>
            <color indexed="81"/>
            <rFont val="Tahoma"/>
            <charset val="1"/>
          </rPr>
          <t>Kettner, Cheryl:</t>
        </r>
        <r>
          <rPr>
            <sz val="9"/>
            <color indexed="81"/>
            <rFont val="Tahoma"/>
            <charset val="1"/>
          </rPr>
          <t xml:space="preserve">
Enter as negative number</t>
        </r>
      </text>
    </comment>
    <comment ref="B47" authorId="3" shapeId="0">
      <text>
        <r>
          <rPr>
            <b/>
            <sz val="9"/>
            <color indexed="81"/>
            <rFont val="Tahoma"/>
            <charset val="1"/>
          </rPr>
          <t>Kettner, Cheryl:</t>
        </r>
        <r>
          <rPr>
            <sz val="9"/>
            <color indexed="81"/>
            <rFont val="Tahoma"/>
            <charset val="1"/>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charset val="1"/>
          </rPr>
          <t>Kettner, Cheryl:</t>
        </r>
        <r>
          <rPr>
            <sz val="9"/>
            <color indexed="81"/>
            <rFont val="Tahoma"/>
            <charset val="1"/>
          </rPr>
          <t xml:space="preserve">
Plant was not operating in April</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charset val="1"/>
          </rPr>
          <t>Kettner, Cheryl:</t>
        </r>
        <r>
          <rPr>
            <sz val="9"/>
            <color indexed="81"/>
            <rFont val="Tahoma"/>
            <charset val="1"/>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<sst xmlns="http://schemas.openxmlformats.org/spreadsheetml/2006/main" count="244" uniqueCount="193">
  <si>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</si>
  <si>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</si>
  <si>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</si>
  <si>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</si>
  <si>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</si>
  <si>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</si>
  <si>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</si>
  <si>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</si>
  <si>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</si>
  <si>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</si>
  <si>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</si>
  <si>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</si>
  <si>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</si>
  <si>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</si>
  <si>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</si>
  <si>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</si>
  <si>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</si>
  <si>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</si>
  <si>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</si>
  <si>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</si>
  <si>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</si>
  <si>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</si>
  <si>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</si>
  <si>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</si>
  <si>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</si>
  <si>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</si>
  <si>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</si>
  <si>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</si>
  <si>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</si>
  <si>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</si>
  <si>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</si>
  <si>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</si>
  <si>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</si>
  <si>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</si>
  <si>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</si>
  <si>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</si>
  <si>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</si>
  <si>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</si>
  <si>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</si>
  <si>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</si>
  <si>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</si>
  <si>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</si>
  <si>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</si>
  <si>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</si>
  <si>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</si>
  <si>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</si>
  <si>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</si>
  <si>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</si>
  <si>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</si>
  <si>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</si>
  <si>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</si>
  <si>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</si>
  <si>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</si>
  <si>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</si>
  <si>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</si>
  <si>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</si>
  <si>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</si>
  <si>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</si>
  <si>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RESOURCE OPTIMIZATION</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</si>
  <si>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</si>
  <si>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</si>
  <si>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</si>
  <si>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</si>
  <si>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</si>
  <si>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</si>
  <si>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</si>
  <si>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</si>
  <si>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</si>
  <si>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</si>
  <si>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</si>
  <si>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</si>
  <si>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</si>
  <si>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</si>
  <si>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</si>
  <si>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</si>
  <si>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</si>
  <si>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</si>
  <si>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</si>
  <si>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</si>
  <si>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</si>
  <si>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</si>
  <si>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</si>
  <si>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</si>
  <si>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</si>
  <si>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</si>
  <si>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</si>
  <si>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</si>
  <si>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</si>
  <si>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</si>
  <si>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</si>
  <si>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</si>
  <si>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</si>
  <si>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</si>
  <si>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</si>
  <si>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</si>
  <si>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</si>
  <si>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</si>
  <si>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</si>
  <si>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</si>
  <si>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</si>
  <si>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t xml:space="preserve"> Resource Optimizaton Subtotal</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</si>
  <si>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</si>
  <si>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</si>
  <si>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</si>
  <si>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</si>
  <si>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</si>
  <si>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</si>
  <si>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</si>
  <si>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</si>
  <si>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</si>
  <si>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</si>
  <si>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</si>
  <si>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</si>
  <si>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</si>
  <si>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</si>
  <si>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</si>
  <si>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</si>
  <si>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</si>
  <si>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</si>
  <si>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</si>
  <si>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</si>
  <si>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</si>
  <si>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</si>
  <si>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</si>
  <si>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</si>
  <si>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</si>
  <si>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</si>
  <si>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</si>
  <si>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</si>
  <si>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</si>
  <si>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</si>
  <si>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</si>
  <si>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</si>
  <si>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</si>
  <si>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</si>
  <si>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</si>
  <si>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</si>
  <si>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</si>
  <si>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</si>
  <si>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</si>
  <si>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</si>
  <si>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</si>
  <si>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</si>
  <si>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</si>
  <si>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</si>
  <si>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</si>
  <si>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</si>
  <si>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</si>
  <si>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</si>
  <si>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</si>
  <si>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</si>
  <si>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</si>
  <si>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</si>
  <si>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</si>
  <si>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</si>
  <si>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</si>
  <si>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</si>
  <si>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</si>
  <si>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</si>
  <si>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</si>
  <si>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</si>
  <si>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</si>
  <si>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</si>
  <si>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</si>
  <si>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</si>
  <si>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</si>
  <si>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</si>
  <si>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</si>
  <si>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</si>
  <si>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</si>
  <si>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</si>
  <si>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</si>
  <si>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</si>
  <si>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</si>
  <si>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</si>
  <si>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</si>
  <si>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</si>
  <si>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</si>
  <si>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</si>
  <si>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</si>
  <si>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</si>
  <si>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</si>
  <si>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</si>
  <si>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</si>
  <si>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</si>
  <si>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</si>
  <si>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</si>
  <si>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City of Cove - 273436</t>
  </si>
  <si>
    <t>Deduct Revenue From Solar Select</t>
  </si>
  <si>
    <t>Douglas County PUD (Wells) - Fixed Amount</t>
  </si>
  <si>
    <t>Solar Select Adjustment</t>
  </si>
  <si>
    <t>456030 ED AN - Clearwater Trans</t>
  </si>
  <si>
    <t>Total through 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</si>
</sst>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4">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0" fontId="2" fillId="0" borderId="0" xfId="0" applyFont="1" applyFill="1" applyBorder="1" applyAlignment="1">
      <alignment horizontal="center"/>
    </xf>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2" fillId="0" borderId="5" xfId="6" applyNumberFormat="1" applyFont="1" applyFill="1" applyBorder="1" applyAlignment="1">
      <alignment horizontal="righ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164" fontId="2" fillId="0" borderId="4" xfId="0"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3" fillId="0" borderId="0" xfId="6" applyNumberFormat="1" applyFont="1" applyFill="1" applyBorder="1" applyAlignment="1">
      <alignment horizontal="right"/>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 fillId="0" borderId="0" xfId="0" applyNumberFormat="1" applyFont="1" applyFill="1" applyBorder="1" applyAlignment="1">
      <alignment horizontal="right"/>
    </xf>
    <xf numFmtId="5" fontId="3" fillId="0" borderId="0" xfId="0"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2"/>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157</v>
      </c>
    </row>
    <row r="2" spans="1:15">
      <c r="C2" s="90">
        <v>43496</v>
      </c>
      <c r="D2" s="90">
        <f>EOMONTH(C2,1)</f>
        <v>43524</v>
      </c>
      <c r="E2" s="90">
        <f t="shared" ref="E2:N2" si="0">EOMONTH(D2,1)</f>
        <v>43555</v>
      </c>
      <c r="F2" s="90">
        <f t="shared" si="0"/>
        <v>43585</v>
      </c>
      <c r="G2" s="90">
        <f t="shared" si="0"/>
        <v>43616</v>
      </c>
      <c r="H2" s="90">
        <f t="shared" si="0"/>
        <v>43646</v>
      </c>
      <c r="I2" s="90">
        <f t="shared" si="0"/>
        <v>43677</v>
      </c>
      <c r="J2" s="90">
        <f t="shared" si="0"/>
        <v>43708</v>
      </c>
      <c r="K2" s="90">
        <f t="shared" si="0"/>
        <v>43738</v>
      </c>
      <c r="L2" s="90">
        <f t="shared" si="0"/>
        <v>43769</v>
      </c>
      <c r="M2" s="90">
        <f t="shared" si="0"/>
        <v>43799</v>
      </c>
      <c r="N2" s="90">
        <f t="shared" si="0"/>
        <v>43830</v>
      </c>
    </row>
    <row r="3" spans="1:15">
      <c r="A3" s="26" t="s">
        <v>163</v>
      </c>
      <c r="C3" s="222"/>
      <c r="D3" s="222"/>
      <c r="E3" s="222"/>
      <c r="F3" s="222"/>
      <c r="G3" s="222"/>
      <c r="H3" s="222"/>
      <c r="I3" s="222"/>
      <c r="J3" s="222"/>
      <c r="K3" s="222"/>
      <c r="L3" s="222"/>
      <c r="M3" s="222"/>
      <c r="N3" s="222"/>
    </row>
    <row r="4" spans="1:15">
      <c r="B4" s="78" t="s">
        <v>11</v>
      </c>
      <c r="C4" s="80"/>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170</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5" t="s">
        <v>186</v>
      </c>
    </row>
    <row r="13" spans="1:15">
      <c r="A13" s="226">
        <f>'WA Summary '!A27</f>
        <v>21</v>
      </c>
      <c r="B13" s="2" t="s">
        <v>72</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156</v>
      </c>
      <c r="C17" s="222"/>
      <c r="D17" s="222"/>
      <c r="E17" s="222"/>
      <c r="F17" s="222"/>
      <c r="G17" s="222"/>
      <c r="H17" s="222"/>
      <c r="I17" s="222"/>
      <c r="J17" s="222"/>
      <c r="K17" s="222"/>
      <c r="L17" s="222"/>
      <c r="M17" s="222"/>
      <c r="N17" s="222"/>
    </row>
    <row r="18" spans="1:16">
      <c r="B18" s="52" t="s">
        <v>12</v>
      </c>
      <c r="C18" s="81"/>
      <c r="D18" s="81"/>
      <c r="E18" s="81"/>
      <c r="F18" s="81"/>
      <c r="G18" s="81"/>
      <c r="H18" s="81"/>
      <c r="I18" s="81"/>
      <c r="J18" s="81"/>
      <c r="K18" s="81"/>
      <c r="L18" s="81"/>
      <c r="M18" s="81"/>
      <c r="N18" s="81"/>
    </row>
    <row r="19" spans="1:16">
      <c r="A19" s="68">
        <f>'WA Monthly'!A8</f>
        <v>2</v>
      </c>
      <c r="B19" s="2" t="s">
        <v>109</v>
      </c>
      <c r="C19" s="81">
        <v>1277784.8999999999</v>
      </c>
      <c r="D19" s="81">
        <v>1277784.8999999999</v>
      </c>
      <c r="E19" s="81">
        <v>1277784.8999999999</v>
      </c>
      <c r="F19" s="81">
        <v>1277784.8999999999</v>
      </c>
      <c r="G19" s="81"/>
      <c r="H19" s="81"/>
      <c r="I19" s="81"/>
      <c r="J19" s="81"/>
      <c r="K19" s="81"/>
      <c r="L19" s="81"/>
      <c r="M19" s="81"/>
      <c r="N19" s="81"/>
    </row>
    <row r="20" spans="1:16">
      <c r="A20" s="68">
        <f>'WA Monthly'!A9</f>
        <v>3</v>
      </c>
      <c r="B20" s="2" t="s">
        <v>110</v>
      </c>
      <c r="C20" s="81">
        <v>63699</v>
      </c>
      <c r="D20" s="81">
        <f>55712.62-3.62</f>
        <v>55709</v>
      </c>
      <c r="E20" s="81">
        <f>57608.21-18.21</f>
        <v>57590</v>
      </c>
      <c r="F20" s="81">
        <f>40007.9-9.9</f>
        <v>39998</v>
      </c>
      <c r="G20" s="81"/>
      <c r="H20" s="81"/>
      <c r="I20" s="81"/>
      <c r="J20" s="81"/>
      <c r="K20" s="81"/>
      <c r="L20" s="87"/>
      <c r="M20" s="81"/>
      <c r="N20" s="81"/>
    </row>
    <row r="21" spans="1:16">
      <c r="A21" s="68">
        <f>'WA Monthly'!A10</f>
        <v>4</v>
      </c>
      <c r="B21" s="88" t="s">
        <v>189</v>
      </c>
      <c r="C21" s="81">
        <v>152948</v>
      </c>
      <c r="D21" s="81">
        <v>152948</v>
      </c>
      <c r="E21" s="81">
        <v>152948</v>
      </c>
      <c r="F21" s="81">
        <v>152948</v>
      </c>
      <c r="G21" s="81"/>
      <c r="H21" s="81"/>
      <c r="I21" s="81"/>
      <c r="J21" s="81"/>
      <c r="K21" s="81"/>
      <c r="L21" s="81"/>
      <c r="M21" s="81"/>
      <c r="N21" s="81"/>
    </row>
    <row r="22" spans="1:16">
      <c r="A22" s="68">
        <f>'WA Monthly'!A11</f>
        <v>5</v>
      </c>
      <c r="B22" s="2" t="s">
        <v>111</v>
      </c>
      <c r="C22" s="81">
        <v>776465.53</v>
      </c>
      <c r="D22" s="81">
        <v>776465.53</v>
      </c>
      <c r="E22" s="81">
        <v>776465.53</v>
      </c>
      <c r="F22" s="81">
        <f>776465.53+120036.48</f>
        <v>896502.01</v>
      </c>
      <c r="G22" s="81"/>
      <c r="H22" s="81"/>
      <c r="I22" s="81"/>
      <c r="J22" s="81"/>
      <c r="K22" s="81"/>
      <c r="L22" s="81"/>
      <c r="M22" s="81"/>
      <c r="N22" s="81"/>
    </row>
    <row r="23" spans="1:16" ht="14.25">
      <c r="A23" s="68">
        <f>'WA Monthly'!A12</f>
        <v>6</v>
      </c>
      <c r="B23" s="3" t="s">
        <v>112</v>
      </c>
      <c r="C23" s="81">
        <v>2751195.2</v>
      </c>
      <c r="D23" s="81">
        <v>2485973.0499999998</v>
      </c>
      <c r="E23" s="81">
        <v>1358265.8</v>
      </c>
      <c r="F23" s="81">
        <v>1315483.6200000001</v>
      </c>
      <c r="G23" s="82"/>
      <c r="H23" s="82"/>
      <c r="I23" s="82"/>
      <c r="J23" s="82"/>
      <c r="K23" s="82"/>
      <c r="L23" s="82"/>
      <c r="M23" s="81"/>
      <c r="N23" s="81"/>
    </row>
    <row r="24" spans="1:16">
      <c r="A24" s="68">
        <f>'WA Monthly'!A13</f>
        <v>7</v>
      </c>
      <c r="B24" s="4" t="s">
        <v>106</v>
      </c>
      <c r="C24" s="81">
        <v>972.75</v>
      </c>
      <c r="D24" s="81">
        <v>1128.1500000000001</v>
      </c>
      <c r="E24" s="81">
        <v>1325.55</v>
      </c>
      <c r="F24" s="81">
        <v>1014.75</v>
      </c>
      <c r="G24" s="81"/>
      <c r="H24" s="81"/>
      <c r="I24" s="81"/>
      <c r="J24" s="81"/>
      <c r="K24" s="81"/>
      <c r="L24" s="81"/>
      <c r="M24" s="81"/>
      <c r="N24" s="81"/>
    </row>
    <row r="25" spans="1:16">
      <c r="A25" s="68">
        <f>'WA Monthly'!A14</f>
        <v>8</v>
      </c>
      <c r="B25" s="26" t="s">
        <v>162</v>
      </c>
      <c r="C25" s="82">
        <f>SUM(C26:C34)</f>
        <v>137300.57999999999</v>
      </c>
      <c r="D25" s="82">
        <f t="shared" ref="D25:N25" si="1">SUM(D26:D34)</f>
        <v>160032.42000000001</v>
      </c>
      <c r="E25" s="82">
        <f t="shared" si="1"/>
        <v>130122.17</v>
      </c>
      <c r="F25" s="82">
        <f t="shared" si="1"/>
        <v>164292.48000000001</v>
      </c>
      <c r="G25" s="82">
        <f t="shared" si="1"/>
        <v>0</v>
      </c>
      <c r="H25" s="82">
        <f t="shared" si="1"/>
        <v>0</v>
      </c>
      <c r="I25" s="82">
        <f t="shared" si="1"/>
        <v>0</v>
      </c>
      <c r="J25" s="82">
        <f t="shared" si="1"/>
        <v>0</v>
      </c>
      <c r="K25" s="82">
        <f t="shared" si="1"/>
        <v>0</v>
      </c>
      <c r="L25" s="82">
        <f t="shared" si="1"/>
        <v>0</v>
      </c>
      <c r="M25" s="82">
        <f t="shared" si="1"/>
        <v>0</v>
      </c>
      <c r="N25" s="82">
        <f t="shared" si="1"/>
        <v>0</v>
      </c>
      <c r="P25" s="28"/>
    </row>
    <row r="26" spans="1:16">
      <c r="A26" s="68"/>
      <c r="B26" s="107" t="s">
        <v>158</v>
      </c>
      <c r="C26" s="81">
        <v>45091.94</v>
      </c>
      <c r="D26" s="81">
        <v>67920.259999999995</v>
      </c>
      <c r="E26" s="81">
        <v>34371.32</v>
      </c>
      <c r="F26" s="81">
        <v>39655.11</v>
      </c>
      <c r="G26" s="81"/>
      <c r="H26" s="81"/>
      <c r="I26" s="81"/>
      <c r="J26" s="81"/>
      <c r="K26" s="81"/>
      <c r="L26" s="81"/>
      <c r="M26" s="81"/>
      <c r="N26" s="81"/>
    </row>
    <row r="27" spans="1:16">
      <c r="A27" s="68"/>
      <c r="B27" s="107" t="s">
        <v>159</v>
      </c>
      <c r="C27" s="81">
        <v>19969.13</v>
      </c>
      <c r="D27" s="81">
        <v>29435.3</v>
      </c>
      <c r="E27" s="81">
        <v>34590.26</v>
      </c>
      <c r="F27" s="81">
        <v>33560.660000000003</v>
      </c>
      <c r="G27" s="81"/>
      <c r="H27" s="81"/>
      <c r="I27" s="81"/>
      <c r="J27" s="81"/>
      <c r="K27" s="81"/>
      <c r="L27" s="81"/>
      <c r="M27" s="81"/>
      <c r="N27" s="81"/>
    </row>
    <row r="28" spans="1:16">
      <c r="A28" s="68"/>
      <c r="B28" s="107" t="s">
        <v>174</v>
      </c>
      <c r="C28" s="81">
        <v>0</v>
      </c>
      <c r="D28" s="81">
        <v>0</v>
      </c>
      <c r="E28" s="81">
        <v>0</v>
      </c>
      <c r="F28" s="81">
        <v>0</v>
      </c>
      <c r="G28" s="81"/>
      <c r="H28" s="81"/>
      <c r="I28" s="81"/>
      <c r="J28" s="81"/>
      <c r="K28" s="81"/>
      <c r="L28" s="81"/>
      <c r="M28" s="81"/>
      <c r="N28" s="81"/>
    </row>
    <row r="29" spans="1:16">
      <c r="A29" s="68"/>
      <c r="B29" s="107" t="s">
        <v>160</v>
      </c>
      <c r="C29" s="81">
        <v>18757.740000000002</v>
      </c>
      <c r="D29" s="81">
        <v>16042.72</v>
      </c>
      <c r="E29" s="81">
        <v>10386.41</v>
      </c>
      <c r="F29" s="81">
        <v>13493.53</v>
      </c>
      <c r="G29" s="81"/>
      <c r="H29" s="81"/>
      <c r="I29" s="81"/>
      <c r="J29" s="81"/>
      <c r="K29" s="81"/>
      <c r="L29" s="81"/>
      <c r="M29" s="81"/>
      <c r="N29" s="81"/>
    </row>
    <row r="30" spans="1:16">
      <c r="A30" s="68"/>
      <c r="B30" s="229" t="s">
        <v>177</v>
      </c>
      <c r="C30" s="81">
        <v>372.4</v>
      </c>
      <c r="D30" s="81">
        <v>442.15</v>
      </c>
      <c r="E30" s="81">
        <v>266.92</v>
      </c>
      <c r="F30" s="81">
        <v>1468.03</v>
      </c>
      <c r="G30" s="81"/>
      <c r="H30" s="81"/>
      <c r="I30" s="81"/>
      <c r="J30" s="81"/>
      <c r="K30" s="81"/>
      <c r="L30" s="81"/>
      <c r="M30" s="81"/>
      <c r="N30" s="81"/>
    </row>
    <row r="31" spans="1:16">
      <c r="A31" s="68"/>
      <c r="B31" s="229" t="s">
        <v>178</v>
      </c>
      <c r="C31" s="81">
        <v>44025.8</v>
      </c>
      <c r="D31" s="81">
        <v>39863.53</v>
      </c>
      <c r="E31" s="81">
        <v>42093.26</v>
      </c>
      <c r="F31" s="81">
        <v>51051.61</v>
      </c>
      <c r="G31" s="81"/>
      <c r="H31" s="81"/>
      <c r="I31" s="81"/>
      <c r="J31" s="81"/>
      <c r="K31" s="81"/>
      <c r="L31" s="81"/>
      <c r="M31" s="81"/>
      <c r="N31" s="81"/>
    </row>
    <row r="32" spans="1:16">
      <c r="A32" s="68"/>
      <c r="B32" s="107" t="s">
        <v>161</v>
      </c>
      <c r="C32" s="81">
        <v>7249.71</v>
      </c>
      <c r="D32" s="81">
        <v>4923.28</v>
      </c>
      <c r="E32" s="81">
        <v>3706.13</v>
      </c>
      <c r="F32" s="81">
        <v>4163.99</v>
      </c>
      <c r="G32" s="81"/>
      <c r="H32" s="81"/>
      <c r="I32" s="81"/>
      <c r="J32" s="81"/>
      <c r="K32" s="81"/>
      <c r="L32" s="81"/>
      <c r="M32" s="81"/>
      <c r="N32" s="81"/>
    </row>
    <row r="33" spans="1:14">
      <c r="A33" s="68"/>
      <c r="B33" s="229" t="s">
        <v>187</v>
      </c>
      <c r="C33" s="81">
        <f>2442.12-452.88-694.24</f>
        <v>1295</v>
      </c>
      <c r="D33" s="81">
        <f>2546.04-1144.84</f>
        <v>1401.2</v>
      </c>
      <c r="E33" s="81">
        <f>4849.2-141.33</f>
        <v>4707.87</v>
      </c>
      <c r="F33" s="81">
        <f>20972.79-753.83</f>
        <v>20218.96</v>
      </c>
      <c r="G33" s="81"/>
      <c r="H33" s="81"/>
      <c r="I33" s="81"/>
      <c r="J33" s="81"/>
      <c r="K33" s="81"/>
      <c r="L33" s="81"/>
      <c r="M33" s="81"/>
      <c r="N33" s="81"/>
    </row>
    <row r="34" spans="1:14">
      <c r="A34" s="68"/>
      <c r="B34" s="229" t="s">
        <v>179</v>
      </c>
      <c r="C34" s="81">
        <v>538.86</v>
      </c>
      <c r="D34" s="81">
        <v>3.98</v>
      </c>
      <c r="E34" s="81">
        <v>0</v>
      </c>
      <c r="F34" s="81">
        <v>680.59</v>
      </c>
      <c r="G34" s="81"/>
      <c r="H34" s="81"/>
      <c r="I34" s="81"/>
      <c r="J34" s="81"/>
      <c r="K34" s="81"/>
      <c r="L34" s="81"/>
      <c r="M34" s="81"/>
      <c r="N34" s="81"/>
    </row>
    <row r="35" spans="1:14">
      <c r="A35" s="68">
        <f>'WA Monthly'!A15</f>
        <v>9</v>
      </c>
      <c r="B35" s="85" t="s">
        <v>180</v>
      </c>
      <c r="C35" s="81">
        <v>175035.12</v>
      </c>
      <c r="D35" s="81">
        <v>112638.76</v>
      </c>
      <c r="E35" s="81">
        <v>116166.06</v>
      </c>
      <c r="F35" s="81">
        <v>88987.12</v>
      </c>
      <c r="G35" s="81"/>
      <c r="H35" s="81"/>
      <c r="I35" s="81"/>
      <c r="J35" s="81"/>
      <c r="K35" s="81"/>
      <c r="L35" s="81"/>
      <c r="M35" s="81"/>
      <c r="N35" s="81"/>
    </row>
    <row r="36" spans="1:14">
      <c r="A36" s="68">
        <f>'WA Monthly'!A16</f>
        <v>10</v>
      </c>
      <c r="B36" s="3" t="s">
        <v>164</v>
      </c>
      <c r="C36" s="81">
        <v>278635.32</v>
      </c>
      <c r="D36" s="81">
        <v>269106.84000000003</v>
      </c>
      <c r="E36" s="81">
        <v>250887.28</v>
      </c>
      <c r="F36" s="81">
        <v>301773.88</v>
      </c>
      <c r="G36" s="81"/>
      <c r="H36" s="81"/>
      <c r="I36" s="81"/>
      <c r="J36" s="81"/>
      <c r="K36" s="81"/>
      <c r="L36" s="81"/>
      <c r="M36" s="81"/>
      <c r="N36" s="81"/>
    </row>
    <row r="37" spans="1:14">
      <c r="A37" s="68">
        <f>'WA Monthly'!A17</f>
        <v>11</v>
      </c>
      <c r="B37" s="85" t="s">
        <v>181</v>
      </c>
      <c r="C37" s="81">
        <v>584639.31000000006</v>
      </c>
      <c r="D37" s="81">
        <v>427257.45</v>
      </c>
      <c r="E37" s="81">
        <v>466708.23</v>
      </c>
      <c r="F37" s="81">
        <v>424403.25</v>
      </c>
      <c r="G37" s="81"/>
      <c r="H37" s="81"/>
      <c r="I37" s="81"/>
      <c r="J37" s="81"/>
      <c r="K37" s="81"/>
      <c r="L37" s="81"/>
      <c r="M37" s="81"/>
      <c r="N37" s="81"/>
    </row>
    <row r="38" spans="1:14">
      <c r="A38" s="68">
        <f>'WA Monthly'!A18</f>
        <v>12</v>
      </c>
      <c r="B38" s="85" t="s">
        <v>182</v>
      </c>
      <c r="C38" s="81">
        <v>1297.3</v>
      </c>
      <c r="D38" s="81">
        <v>1363.61</v>
      </c>
      <c r="E38" s="81">
        <v>1396.76</v>
      </c>
      <c r="F38" s="81">
        <v>1286.24</v>
      </c>
      <c r="G38" s="81"/>
      <c r="H38" s="81"/>
      <c r="I38" s="81"/>
      <c r="J38" s="81"/>
      <c r="K38" s="81"/>
      <c r="L38" s="81"/>
      <c r="M38" s="81"/>
      <c r="N38" s="81"/>
    </row>
    <row r="39" spans="1:14">
      <c r="A39" s="68">
        <f>'WA Monthly'!A19</f>
        <v>13</v>
      </c>
      <c r="B39" s="3" t="s">
        <v>107</v>
      </c>
      <c r="C39" s="81">
        <f>2414811.67+93.16+19446.61</f>
        <v>2434351.44</v>
      </c>
      <c r="D39" s="81">
        <f>2357486.54-12259.47-4643.15+6671.89</f>
        <v>2347255.81</v>
      </c>
      <c r="E39" s="81">
        <f>2401802.33+9989.73-8425.15-4266.51+34614.17</f>
        <v>2433714.5699999998</v>
      </c>
      <c r="F39" s="81">
        <f>2238861-12092.85-18612.63+20687.51+10833.95+7665.66+10760.33+7083.8+10686.6+7675.59</f>
        <v>2283548.96</v>
      </c>
      <c r="G39" s="81"/>
      <c r="H39" s="81"/>
      <c r="I39" s="81"/>
      <c r="J39" s="81"/>
      <c r="K39" s="81"/>
      <c r="L39" s="86"/>
      <c r="M39" s="81"/>
      <c r="N39" s="81"/>
    </row>
    <row r="40" spans="1:14">
      <c r="A40" s="68">
        <f>'WA Monthly'!A20</f>
        <v>14</v>
      </c>
      <c r="B40" s="3" t="s">
        <v>118</v>
      </c>
      <c r="C40" s="81">
        <v>1921037.05</v>
      </c>
      <c r="D40" s="81">
        <v>1708935.75</v>
      </c>
      <c r="E40" s="81">
        <v>1266883.6499999999</v>
      </c>
      <c r="F40" s="81">
        <v>2031088.45</v>
      </c>
      <c r="G40" s="81"/>
      <c r="H40" s="81"/>
      <c r="I40" s="81"/>
      <c r="J40" s="81"/>
      <c r="K40" s="81"/>
      <c r="L40" s="81"/>
      <c r="M40" s="81"/>
      <c r="N40" s="81"/>
    </row>
    <row r="41" spans="1:14">
      <c r="A41" s="68"/>
      <c r="B41" s="3"/>
      <c r="C41" s="81"/>
      <c r="D41" s="81"/>
      <c r="E41" s="81"/>
      <c r="F41" s="81"/>
      <c r="G41" s="81"/>
      <c r="H41" s="81"/>
      <c r="I41" s="81"/>
      <c r="J41" s="81"/>
      <c r="K41" s="81"/>
      <c r="L41" s="81"/>
      <c r="M41" s="81"/>
      <c r="N41" s="81"/>
    </row>
    <row r="42" spans="1:14">
      <c r="A42" s="68"/>
      <c r="B42" s="79" t="s">
        <v>48</v>
      </c>
      <c r="C42" s="230">
        <f>60320*(46.15-45.61)</f>
        <v>32572.799999999999</v>
      </c>
      <c r="D42" s="230">
        <f>54505*(46.15-45.61)</f>
        <v>29432.7</v>
      </c>
      <c r="E42" s="230">
        <f>29780*(46.15-45.61)</f>
        <v>16081.2</v>
      </c>
      <c r="F42" s="230">
        <f>28842*(46.15-45.61)</f>
        <v>15574.68</v>
      </c>
      <c r="G42" s="82"/>
      <c r="H42" s="82"/>
      <c r="I42" s="82"/>
      <c r="J42" s="82"/>
      <c r="K42" s="82"/>
      <c r="L42" s="82"/>
      <c r="M42" s="230"/>
      <c r="N42" s="230"/>
    </row>
    <row r="43" spans="1:14">
      <c r="C43" s="81"/>
      <c r="D43" s="81"/>
      <c r="E43" s="81"/>
      <c r="F43" s="81"/>
      <c r="G43" s="81"/>
      <c r="H43" s="81"/>
      <c r="I43" s="81"/>
      <c r="J43" s="81"/>
      <c r="K43" s="81"/>
      <c r="L43" s="81"/>
      <c r="M43" s="81"/>
      <c r="N43" s="81"/>
    </row>
    <row r="44" spans="1:14">
      <c r="B44" s="52" t="s">
        <v>21</v>
      </c>
      <c r="C44" s="81"/>
      <c r="D44" s="81"/>
      <c r="E44" s="81"/>
      <c r="F44" s="81"/>
      <c r="G44" s="81"/>
      <c r="H44" s="81"/>
      <c r="I44" s="81"/>
      <c r="J44" s="81"/>
      <c r="K44" s="81"/>
      <c r="L44" s="81"/>
      <c r="M44" s="81"/>
      <c r="N44" s="81"/>
    </row>
    <row r="45" spans="1:14">
      <c r="A45" s="68">
        <f>'WA Monthly'!A42</f>
        <v>19</v>
      </c>
      <c r="B45" s="4" t="s">
        <v>27</v>
      </c>
      <c r="C45" s="81">
        <v>-120723.96</v>
      </c>
      <c r="D45" s="81">
        <v>-304136.7</v>
      </c>
      <c r="E45" s="81">
        <v>-375124.63</v>
      </c>
      <c r="F45" s="81">
        <v>-60162.06</v>
      </c>
      <c r="G45" s="81"/>
      <c r="H45" s="81"/>
      <c r="I45" s="81"/>
      <c r="J45" s="81"/>
      <c r="K45" s="81"/>
      <c r="L45" s="81"/>
      <c r="M45" s="81"/>
      <c r="N45" s="81"/>
    </row>
    <row r="46" spans="1:14">
      <c r="A46" s="68">
        <f>'WA Monthly'!A43</f>
        <v>20</v>
      </c>
      <c r="B46" s="3" t="s">
        <v>167</v>
      </c>
      <c r="C46" s="81">
        <f>-SUM(5766+3032.44+3032.44+972.75)</f>
        <v>-12803.63</v>
      </c>
      <c r="D46" s="84">
        <f>-SUM(907.75+5208+2752.09+2752.09)</f>
        <v>-11619.93</v>
      </c>
      <c r="E46" s="81">
        <f>-SUM(5758.25+2999.03+2999.03+906.25)</f>
        <v>-12662.56</v>
      </c>
      <c r="F46" s="81">
        <f>-SUM(5580+2942.55+2942.55+959)</f>
        <v>-12424.1</v>
      </c>
      <c r="G46" s="81"/>
      <c r="H46" s="81"/>
      <c r="I46" s="81"/>
      <c r="J46" s="81"/>
      <c r="K46" s="81"/>
      <c r="L46" s="81"/>
      <c r="M46" s="81"/>
      <c r="N46" s="81"/>
    </row>
    <row r="47" spans="1:14">
      <c r="A47" s="68">
        <f>'WA Monthly'!A44</f>
        <v>21</v>
      </c>
      <c r="B47" s="4" t="s">
        <v>31</v>
      </c>
      <c r="C47" s="81">
        <f>-SUM(11057.96+11057.96+27522.04+4128.64+4128.64+5580)</f>
        <v>-63475.24</v>
      </c>
      <c r="D47" s="84">
        <f>-SUM(10434.26+10434.26+25969.72+3299.06+3299.06+5040)</f>
        <v>-58476.36</v>
      </c>
      <c r="E47" s="81">
        <f>-SUM(10335.83+10335.83+25724.72+3222.79+3222.79+5572.5)</f>
        <v>-58414.46</v>
      </c>
      <c r="F47" s="81">
        <f>-SUM(7607.48+7607.48+18934.16+5477.74+5477.74+5400)</f>
        <v>-50504.6</v>
      </c>
      <c r="G47" s="81"/>
      <c r="H47" s="81"/>
      <c r="I47" s="81"/>
      <c r="J47" s="81"/>
      <c r="K47" s="81"/>
      <c r="L47" s="81"/>
      <c r="M47" s="81"/>
      <c r="N47" s="81"/>
    </row>
    <row r="48" spans="1:14">
      <c r="A48" s="68"/>
      <c r="C48" s="81"/>
      <c r="D48" s="81"/>
      <c r="E48" s="81"/>
      <c r="F48" s="81"/>
      <c r="G48" s="81"/>
      <c r="H48" s="81"/>
      <c r="I48" s="81"/>
      <c r="J48" s="81"/>
      <c r="K48" s="81"/>
      <c r="L48" s="81"/>
      <c r="M48" s="81"/>
      <c r="N48" s="81"/>
    </row>
    <row r="49" spans="1:14">
      <c r="A49" s="68"/>
      <c r="B49" s="52" t="s">
        <v>23</v>
      </c>
      <c r="C49" s="81"/>
      <c r="D49" s="81"/>
      <c r="E49" s="81"/>
      <c r="F49" s="81"/>
      <c r="G49" s="81"/>
      <c r="H49" s="81"/>
      <c r="I49" s="81"/>
      <c r="J49" s="81"/>
      <c r="K49" s="81"/>
      <c r="L49" s="81"/>
      <c r="M49" s="81"/>
      <c r="N49" s="81"/>
    </row>
    <row r="50" spans="1:14">
      <c r="A50" s="68">
        <f>'WA Monthly'!A67</f>
        <v>29</v>
      </c>
      <c r="B50" s="4" t="s">
        <v>16</v>
      </c>
      <c r="C50" s="142">
        <v>55618</v>
      </c>
      <c r="D50" s="142">
        <v>49341</v>
      </c>
      <c r="E50" s="142">
        <v>52895</v>
      </c>
      <c r="F50" s="142">
        <v>0</v>
      </c>
      <c r="G50" s="142"/>
      <c r="H50" s="142"/>
      <c r="I50" s="142"/>
      <c r="J50" s="142"/>
      <c r="K50" s="142"/>
      <c r="L50" s="142"/>
      <c r="M50" s="142"/>
      <c r="N50" s="142"/>
    </row>
    <row r="51" spans="1:14">
      <c r="A51" s="68">
        <f>'WA Monthly'!A68</f>
        <v>30</v>
      </c>
      <c r="B51" s="4" t="s">
        <v>25</v>
      </c>
      <c r="C51" s="142">
        <v>94382</v>
      </c>
      <c r="D51" s="142">
        <v>84400</v>
      </c>
      <c r="E51" s="142">
        <v>99623</v>
      </c>
      <c r="F51" s="142">
        <v>69067</v>
      </c>
      <c r="G51" s="142"/>
      <c r="H51" s="142"/>
      <c r="I51" s="142"/>
      <c r="J51" s="142"/>
      <c r="K51" s="142"/>
      <c r="L51" s="142"/>
      <c r="M51" s="142"/>
      <c r="N51" s="142"/>
    </row>
    <row r="52" spans="1:14">
      <c r="C52" s="81"/>
      <c r="D52" s="81"/>
      <c r="E52" s="81"/>
      <c r="F52" s="81"/>
      <c r="G52" s="81"/>
      <c r="H52" s="81"/>
      <c r="I52" s="81"/>
      <c r="J52" s="81"/>
      <c r="K52" s="81"/>
      <c r="L52" s="81"/>
      <c r="M52" s="81"/>
      <c r="N52" s="81"/>
    </row>
    <row r="53" spans="1:14">
      <c r="A53" s="26" t="s">
        <v>169</v>
      </c>
      <c r="C53" s="81"/>
      <c r="D53" s="81"/>
      <c r="E53" s="81"/>
      <c r="F53" s="81"/>
      <c r="G53" s="81"/>
      <c r="H53" s="81"/>
      <c r="I53" s="81"/>
      <c r="J53" s="81"/>
      <c r="K53" s="81"/>
      <c r="L53" s="81"/>
      <c r="M53" s="81"/>
      <c r="N53" s="81"/>
    </row>
    <row r="54" spans="1:14">
      <c r="A54" s="68">
        <v>8</v>
      </c>
      <c r="B54" s="117" t="s">
        <v>165</v>
      </c>
      <c r="C54" s="142">
        <f>547354540/1000</f>
        <v>547355</v>
      </c>
      <c r="D54" s="142">
        <f>516536325/1000</f>
        <v>516536</v>
      </c>
      <c r="E54" s="142">
        <f>544642265/1000</f>
        <v>544642</v>
      </c>
      <c r="F54" s="142">
        <f>444134378/1000</f>
        <v>444134</v>
      </c>
      <c r="G54" s="142"/>
      <c r="H54" s="142"/>
      <c r="I54" s="142"/>
      <c r="J54" s="142"/>
      <c r="K54" s="142"/>
      <c r="L54" s="142"/>
      <c r="M54" s="142"/>
      <c r="N54" s="142"/>
    </row>
    <row r="55" spans="1:14">
      <c r="A55" s="68">
        <v>10</v>
      </c>
      <c r="B55" s="117" t="s">
        <v>166</v>
      </c>
      <c r="C55" s="142">
        <f>304564103/1000</f>
        <v>304564</v>
      </c>
      <c r="D55" s="142">
        <f>295588877/1000</f>
        <v>295589</v>
      </c>
      <c r="E55" s="142">
        <f>262440569/1000</f>
        <v>262441</v>
      </c>
      <c r="F55" s="142">
        <f>226759106/1000</f>
        <v>226759</v>
      </c>
      <c r="G55" s="142"/>
      <c r="H55" s="142"/>
      <c r="I55" s="142"/>
      <c r="J55" s="142"/>
      <c r="K55" s="142"/>
      <c r="L55" s="142"/>
      <c r="M55" s="142"/>
      <c r="N55" s="142"/>
    </row>
    <row r="56" spans="1:14">
      <c r="A56" s="68">
        <v>12</v>
      </c>
      <c r="B56" s="117" t="s">
        <v>134</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8">
        <v>14</v>
      </c>
      <c r="B57" s="117" t="s">
        <v>135</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8"/>
      <c r="B58" s="117"/>
      <c r="C58" s="82"/>
      <c r="D58" s="82"/>
      <c r="E58" s="82"/>
      <c r="F58" s="82"/>
      <c r="G58" s="82"/>
      <c r="H58" s="82"/>
      <c r="I58" s="82"/>
      <c r="J58" s="82"/>
      <c r="K58" s="82"/>
      <c r="L58" s="82"/>
      <c r="M58" s="82"/>
      <c r="N58" s="82"/>
    </row>
    <row r="59" spans="1:14">
      <c r="A59" s="68"/>
      <c r="B59" s="117"/>
      <c r="C59" s="82"/>
      <c r="D59" s="82"/>
      <c r="E59" s="82"/>
      <c r="F59" s="82"/>
      <c r="G59" s="82"/>
      <c r="H59" s="82"/>
      <c r="I59" s="82"/>
      <c r="J59" s="82"/>
      <c r="K59" s="82"/>
      <c r="L59" s="82"/>
      <c r="M59" s="82"/>
      <c r="N59" s="82"/>
    </row>
    <row r="60" spans="1:14">
      <c r="C60" s="81"/>
      <c r="D60" s="81"/>
      <c r="E60" s="81"/>
      <c r="F60" s="81"/>
      <c r="G60" s="81"/>
      <c r="H60" s="81"/>
      <c r="I60" s="81"/>
      <c r="J60" s="81"/>
      <c r="K60" s="81"/>
      <c r="L60" s="81"/>
      <c r="M60" s="81"/>
      <c r="N60" s="81"/>
    </row>
    <row r="61" spans="1:14">
      <c r="C61" s="81"/>
      <c r="D61" s="81"/>
      <c r="E61" s="81"/>
      <c r="F61" s="81"/>
      <c r="G61" s="81"/>
      <c r="H61" s="81"/>
      <c r="I61" s="81"/>
      <c r="J61" s="81"/>
      <c r="K61" s="81"/>
      <c r="L61" s="81"/>
      <c r="M61" s="81"/>
      <c r="N61" s="81"/>
    </row>
    <row r="62" spans="1:14">
      <c r="C62" s="81"/>
      <c r="D62" s="81"/>
      <c r="E62" s="81"/>
      <c r="F62" s="81"/>
      <c r="G62" s="81"/>
      <c r="H62" s="81"/>
      <c r="I62" s="81"/>
      <c r="J62" s="81"/>
      <c r="K62" s="81"/>
      <c r="L62" s="81"/>
      <c r="M62" s="81"/>
      <c r="N62" s="81"/>
    </row>
    <row r="63" spans="1:14">
      <c r="C63" s="81"/>
      <c r="D63" s="81"/>
      <c r="E63" s="81"/>
      <c r="F63" s="81"/>
      <c r="G63" s="81"/>
      <c r="H63" s="81"/>
      <c r="I63" s="81"/>
      <c r="J63" s="81"/>
      <c r="K63" s="81"/>
      <c r="L63" s="81"/>
      <c r="M63" s="81"/>
      <c r="N63" s="81"/>
    </row>
    <row r="64" spans="1:14">
      <c r="C64" s="81"/>
      <c r="D64" s="81"/>
      <c r="E64" s="81"/>
      <c r="F64" s="81"/>
      <c r="G64" s="81"/>
      <c r="H64" s="81"/>
      <c r="I64" s="81"/>
      <c r="J64" s="81"/>
      <c r="K64" s="81"/>
      <c r="L64" s="81"/>
      <c r="M64" s="81"/>
      <c r="N64" s="81"/>
    </row>
    <row r="65" spans="3:14">
      <c r="C65" s="81"/>
      <c r="D65" s="81"/>
      <c r="E65" s="81"/>
      <c r="F65" s="81"/>
      <c r="G65" s="81"/>
      <c r="H65" s="81"/>
      <c r="I65" s="81"/>
      <c r="J65" s="81"/>
      <c r="K65" s="81"/>
      <c r="L65" s="81"/>
      <c r="M65" s="81"/>
      <c r="N65" s="81"/>
    </row>
    <row r="66" spans="3:14">
      <c r="C66" s="81"/>
      <c r="D66" s="81"/>
      <c r="E66" s="81"/>
      <c r="F66" s="81"/>
      <c r="G66" s="81"/>
      <c r="H66" s="81"/>
      <c r="I66" s="81"/>
      <c r="J66" s="81"/>
      <c r="K66" s="81"/>
      <c r="L66" s="81"/>
      <c r="M66" s="81"/>
      <c r="N66" s="81"/>
    </row>
    <row r="67" spans="3:14">
      <c r="C67" s="81"/>
      <c r="D67" s="81"/>
      <c r="E67" s="81"/>
      <c r="F67" s="81"/>
      <c r="G67" s="81"/>
      <c r="H67" s="81"/>
      <c r="I67" s="81"/>
      <c r="J67" s="81"/>
      <c r="K67" s="81"/>
      <c r="L67" s="81"/>
      <c r="M67" s="81"/>
      <c r="N67" s="81"/>
    </row>
    <row r="68" spans="3:14">
      <c r="C68" s="81"/>
      <c r="D68" s="81"/>
      <c r="E68" s="81"/>
      <c r="F68" s="81"/>
      <c r="G68" s="81"/>
      <c r="H68" s="81"/>
      <c r="I68" s="81"/>
      <c r="J68" s="81"/>
      <c r="K68" s="81"/>
      <c r="L68" s="81"/>
      <c r="M68" s="81"/>
      <c r="N68" s="81"/>
    </row>
    <row r="69" spans="3:14">
      <c r="C69" s="81"/>
      <c r="D69" s="81"/>
      <c r="E69" s="81"/>
      <c r="F69" s="81"/>
      <c r="G69" s="81"/>
      <c r="H69" s="81"/>
      <c r="I69" s="81"/>
      <c r="J69" s="81"/>
      <c r="K69" s="81"/>
      <c r="L69" s="81"/>
      <c r="M69" s="81"/>
      <c r="N69" s="81"/>
    </row>
    <row r="70" spans="3:14">
      <c r="C70" s="81"/>
      <c r="D70" s="81"/>
      <c r="E70" s="81"/>
      <c r="F70" s="81"/>
      <c r="G70" s="81"/>
      <c r="H70" s="81"/>
      <c r="I70" s="81"/>
      <c r="J70" s="81"/>
      <c r="K70" s="81"/>
      <c r="L70" s="81"/>
      <c r="M70" s="81"/>
      <c r="N70" s="81"/>
    </row>
    <row r="71" spans="3:14">
      <c r="C71" s="81"/>
      <c r="D71" s="81"/>
      <c r="E71" s="81"/>
      <c r="F71" s="81"/>
      <c r="G71" s="81"/>
      <c r="H71" s="81"/>
      <c r="I71" s="81"/>
      <c r="J71" s="81"/>
      <c r="K71" s="81"/>
      <c r="L71" s="81"/>
      <c r="M71" s="81"/>
      <c r="N71" s="81"/>
    </row>
    <row r="72" spans="3:14">
      <c r="C72" s="81"/>
      <c r="D72" s="81"/>
      <c r="E72" s="81"/>
      <c r="F72" s="81"/>
      <c r="G72" s="81"/>
      <c r="H72" s="81"/>
      <c r="I72" s="81"/>
      <c r="J72" s="81"/>
      <c r="K72" s="81"/>
      <c r="L72" s="81"/>
      <c r="M72" s="81"/>
      <c r="N72" s="81"/>
    </row>
    <row r="73" spans="3:14">
      <c r="C73" s="81"/>
      <c r="D73" s="81"/>
      <c r="E73" s="81"/>
      <c r="F73" s="81"/>
      <c r="G73" s="81"/>
      <c r="H73" s="81"/>
      <c r="I73" s="81"/>
      <c r="J73" s="81"/>
      <c r="K73" s="81"/>
      <c r="L73" s="81"/>
      <c r="M73" s="81"/>
      <c r="N73" s="81"/>
    </row>
    <row r="74" spans="3:14">
      <c r="C74" s="81"/>
      <c r="D74" s="81"/>
      <c r="E74" s="81"/>
      <c r="F74" s="81"/>
      <c r="G74" s="81"/>
      <c r="H74" s="81"/>
      <c r="I74" s="81"/>
      <c r="J74" s="81"/>
      <c r="K74" s="81"/>
      <c r="L74" s="81"/>
      <c r="M74" s="81"/>
      <c r="N74" s="81"/>
    </row>
    <row r="75" spans="3:14">
      <c r="C75" s="81"/>
      <c r="D75" s="81"/>
      <c r="E75" s="81"/>
      <c r="F75" s="81"/>
      <c r="G75" s="81"/>
      <c r="H75" s="81"/>
      <c r="I75" s="81"/>
      <c r="J75" s="81"/>
      <c r="K75" s="81"/>
      <c r="L75" s="81"/>
      <c r="M75" s="81"/>
      <c r="N75" s="81"/>
    </row>
    <row r="76" spans="3:14">
      <c r="C76" s="81"/>
      <c r="D76" s="81"/>
      <c r="E76" s="81"/>
      <c r="F76" s="81"/>
      <c r="G76" s="81"/>
      <c r="H76" s="81"/>
      <c r="I76" s="81"/>
      <c r="J76" s="81"/>
      <c r="K76" s="81"/>
      <c r="L76" s="81"/>
      <c r="M76" s="81"/>
      <c r="N76" s="81"/>
    </row>
    <row r="77" spans="3:14">
      <c r="C77" s="81"/>
      <c r="D77" s="81"/>
      <c r="E77" s="81"/>
      <c r="F77" s="81"/>
      <c r="G77" s="81"/>
      <c r="H77" s="81"/>
      <c r="I77" s="81"/>
      <c r="J77" s="81"/>
      <c r="K77" s="81"/>
      <c r="L77" s="81"/>
      <c r="M77" s="81"/>
      <c r="N77" s="81"/>
    </row>
    <row r="78" spans="3:14">
      <c r="C78" s="81"/>
      <c r="D78" s="81"/>
      <c r="E78" s="81"/>
      <c r="F78" s="81"/>
      <c r="G78" s="81"/>
      <c r="H78" s="81"/>
      <c r="I78" s="81"/>
      <c r="J78" s="81"/>
      <c r="K78" s="81"/>
      <c r="L78" s="81"/>
      <c r="M78" s="81"/>
      <c r="N78" s="81"/>
    </row>
    <row r="79" spans="3:14">
      <c r="C79" s="81"/>
      <c r="D79" s="81"/>
      <c r="E79" s="81"/>
      <c r="F79" s="81"/>
      <c r="G79" s="81"/>
      <c r="H79" s="81"/>
      <c r="I79" s="81"/>
      <c r="J79" s="81"/>
      <c r="K79" s="81"/>
      <c r="L79" s="81"/>
      <c r="M79" s="81"/>
      <c r="N79" s="81"/>
    </row>
    <row r="80" spans="3:14">
      <c r="C80" s="81"/>
      <c r="D80" s="81"/>
      <c r="E80" s="81"/>
      <c r="F80" s="81"/>
      <c r="G80" s="81"/>
      <c r="H80" s="81"/>
      <c r="I80" s="81"/>
      <c r="J80" s="81"/>
      <c r="K80" s="81"/>
      <c r="L80" s="81"/>
      <c r="M80" s="81"/>
      <c r="N80" s="81"/>
    </row>
    <row r="81" spans="3:14">
      <c r="C81" s="81"/>
      <c r="D81" s="81"/>
      <c r="E81" s="81"/>
      <c r="F81" s="81"/>
      <c r="G81" s="81"/>
      <c r="H81" s="81"/>
      <c r="I81" s="81"/>
      <c r="J81" s="81"/>
      <c r="K81" s="81"/>
      <c r="L81" s="81"/>
      <c r="M81" s="81"/>
      <c r="N81" s="81"/>
    </row>
    <row r="82" spans="3:14">
      <c r="C82" s="81"/>
      <c r="D82" s="81"/>
      <c r="E82" s="81"/>
      <c r="F82" s="81"/>
      <c r="G82" s="81"/>
      <c r="H82" s="81"/>
      <c r="I82" s="81"/>
      <c r="J82" s="81"/>
      <c r="K82" s="81"/>
      <c r="L82" s="81"/>
      <c r="M82" s="81"/>
      <c r="N82" s="81"/>
    </row>
    <row r="83" spans="3:14">
      <c r="C83" s="81"/>
      <c r="D83" s="81"/>
      <c r="E83" s="81"/>
      <c r="F83" s="81"/>
      <c r="G83" s="81"/>
      <c r="H83" s="81"/>
      <c r="I83" s="81"/>
      <c r="J83" s="81"/>
      <c r="K83" s="81"/>
      <c r="L83" s="81"/>
      <c r="M83" s="81"/>
      <c r="N83" s="81"/>
    </row>
    <row r="84" spans="3:14">
      <c r="C84" s="81"/>
      <c r="D84" s="81"/>
      <c r="E84" s="81"/>
      <c r="F84" s="81"/>
      <c r="G84" s="81"/>
      <c r="H84" s="81"/>
      <c r="I84" s="81"/>
      <c r="J84" s="81"/>
      <c r="K84" s="81"/>
      <c r="L84" s="81"/>
      <c r="M84" s="81"/>
      <c r="N84" s="81"/>
    </row>
    <row r="85" spans="3:14">
      <c r="C85" s="81"/>
      <c r="D85" s="81"/>
      <c r="E85" s="81"/>
      <c r="F85" s="81"/>
      <c r="G85" s="81"/>
      <c r="H85" s="81"/>
      <c r="I85" s="81"/>
      <c r="J85" s="81"/>
      <c r="K85" s="81"/>
      <c r="L85" s="81"/>
      <c r="M85" s="81"/>
      <c r="N85" s="81"/>
    </row>
    <row r="86" spans="3:14">
      <c r="C86" s="81"/>
      <c r="D86" s="81"/>
      <c r="E86" s="81"/>
      <c r="F86" s="81"/>
      <c r="G86" s="81"/>
      <c r="H86" s="81"/>
      <c r="I86" s="81"/>
      <c r="J86" s="81"/>
      <c r="K86" s="81"/>
      <c r="L86" s="81"/>
      <c r="M86" s="81"/>
      <c r="N86" s="81"/>
    </row>
    <row r="87" spans="3:14">
      <c r="C87" s="81"/>
      <c r="D87" s="81"/>
      <c r="E87" s="81"/>
      <c r="F87" s="81"/>
      <c r="G87" s="81"/>
      <c r="H87" s="81"/>
      <c r="I87" s="81"/>
      <c r="J87" s="81"/>
      <c r="K87" s="81"/>
      <c r="L87" s="81"/>
      <c r="M87" s="81"/>
      <c r="N87" s="81"/>
    </row>
    <row r="88" spans="3:14">
      <c r="C88" s="81"/>
      <c r="D88" s="81"/>
      <c r="E88" s="81"/>
      <c r="F88" s="81"/>
      <c r="G88" s="81"/>
      <c r="H88" s="81"/>
      <c r="I88" s="81"/>
      <c r="J88" s="81"/>
      <c r="K88" s="81"/>
      <c r="L88" s="81"/>
      <c r="M88" s="81"/>
      <c r="N88" s="81"/>
    </row>
    <row r="89" spans="3:14">
      <c r="C89" s="81"/>
      <c r="D89" s="81"/>
      <c r="E89" s="81"/>
      <c r="F89" s="81"/>
      <c r="G89" s="81"/>
      <c r="H89" s="81"/>
      <c r="I89" s="81"/>
      <c r="J89" s="81"/>
      <c r="K89" s="81"/>
      <c r="L89" s="81"/>
      <c r="M89" s="81"/>
      <c r="N89" s="81"/>
    </row>
    <row r="90" spans="3:14">
      <c r="C90" s="81"/>
      <c r="D90" s="81"/>
      <c r="E90" s="81"/>
      <c r="F90" s="81"/>
      <c r="G90" s="81"/>
      <c r="H90" s="81"/>
      <c r="I90" s="81"/>
      <c r="J90" s="81"/>
      <c r="K90" s="81"/>
      <c r="L90" s="81"/>
      <c r="M90" s="81"/>
      <c r="N90" s="81"/>
    </row>
    <row r="91" spans="3:14">
      <c r="C91" s="81"/>
      <c r="D91" s="81"/>
      <c r="E91" s="81"/>
      <c r="F91" s="81"/>
      <c r="G91" s="81"/>
      <c r="H91" s="81"/>
      <c r="I91" s="81"/>
      <c r="J91" s="81"/>
      <c r="K91" s="81"/>
      <c r="L91" s="81"/>
      <c r="M91" s="81"/>
      <c r="N91" s="81"/>
    </row>
    <row r="92" spans="3:14">
      <c r="C92" s="81"/>
      <c r="D92" s="81"/>
      <c r="E92" s="81"/>
      <c r="F92" s="81"/>
      <c r="G92" s="81"/>
      <c r="H92" s="81"/>
      <c r="I92" s="81"/>
      <c r="J92" s="81"/>
      <c r="K92" s="81"/>
      <c r="L92" s="81"/>
      <c r="M92" s="81"/>
      <c r="N92" s="81"/>
    </row>
    <row r="93" spans="3:14">
      <c r="C93" s="81"/>
      <c r="D93" s="81"/>
      <c r="E93" s="81"/>
      <c r="F93" s="81"/>
      <c r="G93" s="81"/>
      <c r="H93" s="81"/>
      <c r="I93" s="81"/>
      <c r="J93" s="81"/>
      <c r="K93" s="81"/>
      <c r="L93" s="81"/>
      <c r="M93" s="81"/>
      <c r="N93" s="81"/>
    </row>
    <row r="94" spans="3:14">
      <c r="C94" s="81"/>
      <c r="D94" s="81"/>
      <c r="E94" s="81"/>
      <c r="F94" s="81"/>
      <c r="G94" s="81"/>
      <c r="H94" s="81"/>
      <c r="I94" s="81"/>
      <c r="J94" s="81"/>
      <c r="K94" s="81"/>
      <c r="L94" s="81"/>
      <c r="M94" s="81"/>
      <c r="N94" s="81"/>
    </row>
    <row r="95" spans="3:14">
      <c r="C95" s="81"/>
      <c r="D95" s="81"/>
      <c r="E95" s="81"/>
      <c r="F95" s="81"/>
      <c r="G95" s="81"/>
      <c r="H95" s="81"/>
      <c r="I95" s="81"/>
      <c r="J95" s="81"/>
      <c r="K95" s="81"/>
      <c r="L95" s="81"/>
      <c r="M95" s="81"/>
      <c r="N95" s="81"/>
    </row>
    <row r="96" spans="3:14">
      <c r="C96" s="81"/>
      <c r="D96" s="81"/>
      <c r="E96" s="81"/>
      <c r="F96" s="81"/>
      <c r="G96" s="81"/>
      <c r="H96" s="81"/>
      <c r="I96" s="81"/>
      <c r="J96" s="81"/>
      <c r="K96" s="81"/>
      <c r="L96" s="81"/>
      <c r="M96" s="81"/>
      <c r="N96" s="81"/>
    </row>
    <row r="97" spans="3:14">
      <c r="C97" s="81"/>
      <c r="D97" s="81"/>
      <c r="E97" s="81"/>
      <c r="F97" s="81"/>
      <c r="G97" s="81"/>
      <c r="H97" s="81"/>
      <c r="I97" s="81"/>
      <c r="J97" s="81"/>
      <c r="K97" s="81"/>
      <c r="L97" s="81"/>
      <c r="M97" s="81"/>
      <c r="N97" s="81"/>
    </row>
    <row r="98" spans="3:14">
      <c r="C98" s="81"/>
      <c r="D98" s="81"/>
      <c r="E98" s="81"/>
      <c r="F98" s="81"/>
      <c r="G98" s="81"/>
      <c r="H98" s="81"/>
      <c r="I98" s="81"/>
      <c r="J98" s="81"/>
      <c r="K98" s="81"/>
      <c r="L98" s="81"/>
      <c r="M98" s="81"/>
      <c r="N98" s="81"/>
    </row>
    <row r="99" spans="3:14">
      <c r="C99" s="81"/>
      <c r="D99" s="81"/>
      <c r="E99" s="81"/>
      <c r="F99" s="81"/>
      <c r="G99" s="81"/>
      <c r="H99" s="81"/>
      <c r="I99" s="81"/>
      <c r="J99" s="81"/>
      <c r="K99" s="81"/>
      <c r="L99" s="81"/>
      <c r="M99" s="81"/>
      <c r="N99" s="81"/>
    </row>
    <row r="100" spans="3:14">
      <c r="C100" s="81"/>
      <c r="D100" s="81"/>
      <c r="E100" s="81"/>
      <c r="F100" s="81"/>
      <c r="G100" s="81"/>
      <c r="H100" s="81"/>
      <c r="I100" s="81"/>
      <c r="J100" s="81"/>
      <c r="K100" s="81"/>
      <c r="L100" s="81"/>
      <c r="M100" s="81"/>
      <c r="N100" s="81"/>
    </row>
    <row r="101" spans="3:14">
      <c r="C101" s="81"/>
      <c r="D101" s="81"/>
      <c r="E101" s="81"/>
      <c r="F101" s="81"/>
      <c r="G101" s="81"/>
      <c r="H101" s="81"/>
      <c r="I101" s="81"/>
      <c r="J101" s="81"/>
      <c r="K101" s="81"/>
      <c r="L101" s="81"/>
      <c r="M101" s="81"/>
      <c r="N101" s="81"/>
    </row>
    <row r="102" spans="3:14">
      <c r="C102" s="81"/>
      <c r="D102" s="81"/>
      <c r="E102" s="81"/>
      <c r="F102" s="81"/>
      <c r="G102" s="81"/>
      <c r="H102" s="81"/>
      <c r="I102" s="81"/>
      <c r="J102" s="81"/>
      <c r="K102" s="81"/>
      <c r="L102" s="81"/>
      <c r="M102" s="81"/>
      <c r="N102" s="81"/>
    </row>
    <row r="103" spans="3:14">
      <c r="C103" s="81"/>
      <c r="D103" s="81"/>
      <c r="E103" s="81"/>
      <c r="F103" s="81"/>
      <c r="G103" s="81"/>
      <c r="H103" s="81"/>
      <c r="I103" s="81"/>
      <c r="J103" s="81"/>
      <c r="K103" s="81"/>
      <c r="L103" s="81"/>
      <c r="M103" s="81"/>
      <c r="N103" s="81"/>
    </row>
    <row r="104" spans="3:14">
      <c r="C104" s="81"/>
      <c r="D104" s="81"/>
      <c r="E104" s="81"/>
      <c r="F104" s="81"/>
      <c r="G104" s="81"/>
      <c r="H104" s="81"/>
      <c r="I104" s="81"/>
      <c r="J104" s="81"/>
      <c r="K104" s="81"/>
      <c r="L104" s="81"/>
      <c r="M104" s="81"/>
      <c r="N104" s="81"/>
    </row>
    <row r="105" spans="3:14">
      <c r="C105" s="81"/>
      <c r="D105" s="81"/>
      <c r="E105" s="81"/>
      <c r="F105" s="81"/>
      <c r="G105" s="81"/>
      <c r="H105" s="81"/>
      <c r="I105" s="81"/>
      <c r="J105" s="81"/>
      <c r="K105" s="81"/>
      <c r="L105" s="81"/>
      <c r="M105" s="81"/>
      <c r="N105" s="81"/>
    </row>
    <row r="106" spans="3:14">
      <c r="C106" s="81"/>
      <c r="D106" s="81"/>
      <c r="E106" s="81"/>
      <c r="F106" s="81"/>
      <c r="G106" s="81"/>
      <c r="H106" s="81"/>
      <c r="I106" s="81"/>
      <c r="J106" s="81"/>
      <c r="K106" s="81"/>
      <c r="L106" s="81"/>
      <c r="M106" s="81"/>
      <c r="N106" s="81"/>
    </row>
    <row r="107" spans="3:14">
      <c r="C107" s="81"/>
      <c r="D107" s="81"/>
      <c r="E107" s="81"/>
      <c r="F107" s="81"/>
      <c r="G107" s="81"/>
      <c r="H107" s="81"/>
      <c r="I107" s="81"/>
      <c r="J107" s="81"/>
      <c r="K107" s="81"/>
      <c r="L107" s="81"/>
      <c r="M107" s="81"/>
      <c r="N107" s="81"/>
    </row>
    <row r="108" spans="3:14">
      <c r="C108" s="81"/>
      <c r="D108" s="81"/>
      <c r="E108" s="81"/>
      <c r="F108" s="81"/>
      <c r="G108" s="81"/>
      <c r="H108" s="81"/>
      <c r="I108" s="81"/>
      <c r="J108" s="81"/>
      <c r="K108" s="81"/>
      <c r="L108" s="81"/>
      <c r="M108" s="81"/>
      <c r="N108" s="81"/>
    </row>
    <row r="109" spans="3:14">
      <c r="C109" s="81"/>
      <c r="D109" s="81"/>
      <c r="E109" s="81"/>
      <c r="F109" s="81"/>
      <c r="G109" s="81"/>
      <c r="H109" s="81"/>
      <c r="I109" s="81"/>
      <c r="J109" s="81"/>
      <c r="K109" s="81"/>
      <c r="L109" s="81"/>
      <c r="M109" s="81"/>
      <c r="N109" s="81"/>
    </row>
    <row r="110" spans="3:14">
      <c r="C110" s="81"/>
      <c r="D110" s="81"/>
      <c r="E110" s="81"/>
      <c r="F110" s="81"/>
      <c r="G110" s="81"/>
      <c r="H110" s="81"/>
      <c r="I110" s="81"/>
      <c r="J110" s="81"/>
      <c r="K110" s="81"/>
      <c r="L110" s="81"/>
      <c r="M110" s="81"/>
      <c r="N110" s="81"/>
    </row>
    <row r="111" spans="3:14">
      <c r="C111" s="81"/>
      <c r="D111" s="81"/>
      <c r="E111" s="81"/>
      <c r="F111" s="81"/>
      <c r="G111" s="81"/>
      <c r="H111" s="81"/>
      <c r="I111" s="81"/>
      <c r="J111" s="81"/>
      <c r="K111" s="81"/>
      <c r="L111" s="81"/>
      <c r="M111" s="81"/>
      <c r="N111" s="81"/>
    </row>
    <row r="112" spans="3:14">
      <c r="C112" s="81"/>
      <c r="D112" s="81"/>
      <c r="E112" s="81"/>
      <c r="F112" s="81"/>
      <c r="G112" s="81"/>
      <c r="H112" s="81"/>
      <c r="I112" s="81"/>
      <c r="J112" s="81"/>
      <c r="K112" s="81"/>
      <c r="L112" s="81"/>
      <c r="M112" s="81"/>
      <c r="N112" s="81"/>
    </row>
    <row r="113" spans="3:14">
      <c r="C113" s="81"/>
      <c r="D113" s="81"/>
      <c r="E113" s="81"/>
      <c r="F113" s="81"/>
      <c r="G113" s="81"/>
      <c r="H113" s="81"/>
      <c r="I113" s="81"/>
      <c r="J113" s="81"/>
      <c r="K113" s="81"/>
      <c r="L113" s="81"/>
      <c r="M113" s="81"/>
      <c r="N113" s="81"/>
    </row>
    <row r="114" spans="3:14">
      <c r="C114" s="81"/>
      <c r="D114" s="81"/>
      <c r="E114" s="81"/>
      <c r="F114" s="81"/>
      <c r="G114" s="81"/>
      <c r="H114" s="81"/>
      <c r="I114" s="81"/>
      <c r="J114" s="81"/>
      <c r="K114" s="81"/>
      <c r="L114" s="81"/>
      <c r="M114" s="81"/>
      <c r="N114" s="81"/>
    </row>
    <row r="115" spans="3:14">
      <c r="C115" s="81"/>
      <c r="D115" s="81"/>
      <c r="E115" s="81"/>
      <c r="F115" s="81"/>
      <c r="G115" s="81"/>
      <c r="H115" s="81"/>
      <c r="I115" s="81"/>
      <c r="J115" s="81"/>
      <c r="K115" s="81"/>
      <c r="L115" s="81"/>
      <c r="M115" s="81"/>
      <c r="N115" s="81"/>
    </row>
    <row r="116" spans="3:14">
      <c r="C116" s="81"/>
      <c r="D116" s="81"/>
      <c r="E116" s="81"/>
      <c r="F116" s="81"/>
      <c r="G116" s="81"/>
      <c r="H116" s="81"/>
      <c r="I116" s="81"/>
      <c r="J116" s="81"/>
      <c r="K116" s="81"/>
      <c r="L116" s="81"/>
      <c r="M116" s="81"/>
      <c r="N116" s="81"/>
    </row>
    <row r="117" spans="3:14">
      <c r="C117" s="81"/>
      <c r="D117" s="81"/>
      <c r="E117" s="81"/>
      <c r="F117" s="81"/>
      <c r="G117" s="81"/>
      <c r="H117" s="81"/>
      <c r="I117" s="81"/>
      <c r="J117" s="81"/>
      <c r="K117" s="81"/>
      <c r="L117" s="81"/>
      <c r="M117" s="81"/>
      <c r="N117" s="81"/>
    </row>
    <row r="118" spans="3:14">
      <c r="C118" s="81"/>
      <c r="D118" s="81"/>
      <c r="E118" s="81"/>
      <c r="F118" s="81"/>
      <c r="G118" s="81"/>
      <c r="H118" s="81"/>
      <c r="I118" s="81"/>
      <c r="J118" s="81"/>
      <c r="K118" s="81"/>
      <c r="L118" s="81"/>
      <c r="M118" s="81"/>
      <c r="N118" s="81"/>
    </row>
    <row r="119" spans="3:14">
      <c r="C119" s="81"/>
      <c r="D119" s="81"/>
      <c r="E119" s="81"/>
      <c r="F119" s="81"/>
      <c r="G119" s="81"/>
      <c r="H119" s="81"/>
      <c r="I119" s="81"/>
      <c r="J119" s="81"/>
      <c r="K119" s="81"/>
      <c r="L119" s="81"/>
      <c r="M119" s="81"/>
      <c r="N119" s="81"/>
    </row>
    <row r="120" spans="3:14">
      <c r="C120" s="81"/>
      <c r="D120" s="81"/>
      <c r="E120" s="81"/>
      <c r="F120" s="81"/>
      <c r="G120" s="81"/>
      <c r="H120" s="81"/>
      <c r="I120" s="81"/>
      <c r="J120" s="81"/>
      <c r="K120" s="81"/>
      <c r="L120" s="81"/>
      <c r="M120" s="81"/>
      <c r="N120" s="81"/>
    </row>
    <row r="121" spans="3:14">
      <c r="C121" s="81"/>
      <c r="D121" s="81"/>
      <c r="E121" s="81"/>
      <c r="F121" s="81"/>
      <c r="G121" s="81"/>
      <c r="H121" s="81"/>
      <c r="I121" s="81"/>
      <c r="J121" s="81"/>
      <c r="K121" s="81"/>
      <c r="L121" s="81"/>
      <c r="M121" s="81"/>
      <c r="N121" s="81"/>
    </row>
    <row r="122" spans="3:14">
      <c r="C122" s="81"/>
      <c r="D122" s="81"/>
      <c r="E122" s="81"/>
      <c r="F122" s="81"/>
      <c r="G122" s="81"/>
      <c r="H122" s="81"/>
      <c r="I122" s="81"/>
      <c r="J122" s="81"/>
      <c r="K122" s="81"/>
      <c r="L122" s="81"/>
      <c r="M122" s="81"/>
      <c r="N122" s="81"/>
    </row>
    <row r="123" spans="3:14">
      <c r="C123" s="81"/>
      <c r="D123" s="81"/>
      <c r="E123" s="81"/>
      <c r="F123" s="81"/>
      <c r="G123" s="81"/>
      <c r="H123" s="81"/>
      <c r="I123" s="81"/>
      <c r="J123" s="81"/>
      <c r="K123" s="81"/>
      <c r="L123" s="81"/>
      <c r="M123" s="81"/>
      <c r="N123" s="81"/>
    </row>
    <row r="124" spans="3:14">
      <c r="C124" s="81"/>
      <c r="D124" s="81"/>
      <c r="E124" s="81"/>
      <c r="F124" s="81"/>
      <c r="G124" s="81"/>
      <c r="H124" s="81"/>
      <c r="I124" s="81"/>
      <c r="J124" s="81"/>
      <c r="K124" s="81"/>
      <c r="L124" s="81"/>
      <c r="M124" s="81"/>
      <c r="N124" s="81"/>
    </row>
    <row r="125" spans="3:14">
      <c r="C125" s="81"/>
      <c r="D125" s="81"/>
      <c r="E125" s="81"/>
      <c r="F125" s="81"/>
      <c r="G125" s="81"/>
      <c r="H125" s="81"/>
      <c r="I125" s="81"/>
      <c r="J125" s="81"/>
      <c r="K125" s="81"/>
      <c r="L125" s="81"/>
      <c r="M125" s="81"/>
      <c r="N125" s="81"/>
    </row>
    <row r="126" spans="3:14">
      <c r="C126" s="81"/>
      <c r="D126" s="81"/>
      <c r="E126" s="81"/>
      <c r="F126" s="81"/>
      <c r="G126" s="81"/>
      <c r="H126" s="81"/>
      <c r="I126" s="81"/>
      <c r="J126" s="81"/>
      <c r="K126" s="81"/>
      <c r="L126" s="81"/>
      <c r="M126" s="81"/>
      <c r="N126" s="81"/>
    </row>
    <row r="127" spans="3:14">
      <c r="C127" s="81"/>
      <c r="D127" s="81"/>
      <c r="E127" s="81"/>
      <c r="F127" s="81"/>
      <c r="G127" s="81"/>
      <c r="H127" s="81"/>
      <c r="I127" s="81"/>
      <c r="J127" s="81"/>
      <c r="K127" s="81"/>
      <c r="L127" s="81"/>
      <c r="M127" s="81"/>
      <c r="N127" s="81"/>
    </row>
    <row r="128" spans="3:14">
      <c r="C128" s="81"/>
      <c r="D128" s="81"/>
      <c r="E128" s="81"/>
      <c r="F128" s="81"/>
      <c r="G128" s="81"/>
      <c r="H128" s="81"/>
      <c r="I128" s="81"/>
      <c r="J128" s="81"/>
      <c r="K128" s="81"/>
      <c r="L128" s="81"/>
      <c r="M128" s="81"/>
      <c r="N128" s="81"/>
    </row>
    <row r="129" spans="3:14">
      <c r="C129" s="81"/>
      <c r="D129" s="81"/>
      <c r="E129" s="81"/>
      <c r="F129" s="81"/>
      <c r="G129" s="81"/>
      <c r="H129" s="81"/>
      <c r="I129" s="81"/>
      <c r="J129" s="81"/>
      <c r="K129" s="81"/>
      <c r="L129" s="81"/>
      <c r="M129" s="81"/>
      <c r="N129" s="81"/>
    </row>
    <row r="130" spans="3:14">
      <c r="C130" s="81"/>
      <c r="D130" s="81"/>
      <c r="E130" s="81"/>
      <c r="F130" s="81"/>
      <c r="G130" s="81"/>
      <c r="H130" s="81"/>
      <c r="I130" s="81"/>
      <c r="J130" s="81"/>
      <c r="K130" s="81"/>
      <c r="L130" s="81"/>
      <c r="M130" s="81"/>
      <c r="N130" s="81"/>
    </row>
    <row r="131" spans="3:14">
      <c r="C131" s="81"/>
      <c r="D131" s="81"/>
      <c r="E131" s="81"/>
      <c r="F131" s="81"/>
      <c r="G131" s="81"/>
      <c r="H131" s="81"/>
      <c r="I131" s="81"/>
      <c r="J131" s="81"/>
      <c r="K131" s="81"/>
      <c r="L131" s="81"/>
      <c r="M131" s="81"/>
      <c r="N131" s="81"/>
    </row>
    <row r="132" spans="3:14">
      <c r="C132" s="81"/>
      <c r="D132" s="81"/>
      <c r="E132" s="81"/>
      <c r="F132" s="81"/>
      <c r="G132" s="81"/>
      <c r="H132" s="81"/>
      <c r="I132" s="81"/>
      <c r="J132" s="81"/>
      <c r="K132" s="81"/>
      <c r="L132" s="81"/>
      <c r="M132" s="81"/>
      <c r="N132" s="81"/>
    </row>
    <row r="133" spans="3:14">
      <c r="C133" s="81"/>
      <c r="D133" s="81"/>
      <c r="E133" s="81"/>
      <c r="F133" s="81"/>
      <c r="G133" s="81"/>
      <c r="H133" s="81"/>
      <c r="I133" s="81"/>
      <c r="J133" s="81"/>
      <c r="K133" s="81"/>
      <c r="L133" s="81"/>
      <c r="M133" s="81"/>
      <c r="N133" s="81"/>
    </row>
    <row r="134" spans="3:14">
      <c r="C134" s="81"/>
      <c r="D134" s="81"/>
      <c r="E134" s="81"/>
      <c r="F134" s="81"/>
      <c r="G134" s="81"/>
      <c r="H134" s="81"/>
      <c r="I134" s="81"/>
      <c r="J134" s="81"/>
      <c r="K134" s="81"/>
      <c r="L134" s="81"/>
      <c r="M134" s="81"/>
      <c r="N134" s="81"/>
    </row>
    <row r="135" spans="3:14">
      <c r="C135" s="81"/>
      <c r="D135" s="81"/>
      <c r="E135" s="81"/>
      <c r="F135" s="81"/>
      <c r="G135" s="81"/>
      <c r="H135" s="81"/>
      <c r="I135" s="81"/>
      <c r="J135" s="81"/>
      <c r="K135" s="81"/>
      <c r="L135" s="81"/>
      <c r="M135" s="81"/>
      <c r="N135" s="81"/>
    </row>
    <row r="136" spans="3:14">
      <c r="C136" s="81"/>
      <c r="D136" s="81"/>
      <c r="E136" s="81"/>
      <c r="F136" s="81"/>
      <c r="G136" s="81"/>
      <c r="H136" s="81"/>
      <c r="I136" s="81"/>
      <c r="J136" s="81"/>
      <c r="K136" s="81"/>
      <c r="L136" s="81"/>
      <c r="M136" s="81"/>
      <c r="N136" s="81"/>
    </row>
    <row r="137" spans="3:14">
      <c r="C137" s="81"/>
      <c r="D137" s="81"/>
      <c r="E137" s="81"/>
      <c r="F137" s="81"/>
      <c r="G137" s="81"/>
      <c r="H137" s="81"/>
      <c r="I137" s="81"/>
      <c r="J137" s="81"/>
      <c r="K137" s="81"/>
      <c r="L137" s="81"/>
      <c r="M137" s="81"/>
      <c r="N137" s="81"/>
    </row>
    <row r="138" spans="3:14">
      <c r="C138" s="81"/>
      <c r="D138" s="81"/>
      <c r="E138" s="81"/>
      <c r="F138" s="81"/>
      <c r="G138" s="81"/>
      <c r="H138" s="81"/>
      <c r="I138" s="81"/>
      <c r="J138" s="81"/>
      <c r="K138" s="81"/>
      <c r="L138" s="81"/>
      <c r="M138" s="81"/>
      <c r="N138" s="81"/>
    </row>
    <row r="139" spans="3:14">
      <c r="C139" s="81"/>
      <c r="D139" s="81"/>
      <c r="E139" s="81"/>
      <c r="F139" s="81"/>
      <c r="G139" s="81"/>
      <c r="H139" s="81"/>
      <c r="I139" s="81"/>
      <c r="J139" s="81"/>
      <c r="K139" s="81"/>
      <c r="L139" s="81"/>
      <c r="M139" s="81"/>
      <c r="N139" s="81"/>
    </row>
    <row r="140" spans="3:14">
      <c r="C140" s="81"/>
      <c r="D140" s="81"/>
      <c r="E140" s="81"/>
      <c r="F140" s="81"/>
      <c r="G140" s="81"/>
      <c r="H140" s="81"/>
      <c r="I140" s="81"/>
      <c r="J140" s="81"/>
      <c r="K140" s="81"/>
      <c r="L140" s="81"/>
      <c r="M140" s="81"/>
      <c r="N140" s="81"/>
    </row>
    <row r="141" spans="3:14">
      <c r="C141" s="81"/>
      <c r="D141" s="81"/>
      <c r="E141" s="81"/>
      <c r="F141" s="81"/>
      <c r="G141" s="81"/>
      <c r="H141" s="81"/>
      <c r="I141" s="81"/>
      <c r="J141" s="81"/>
      <c r="K141" s="81"/>
      <c r="L141" s="81"/>
      <c r="M141" s="81"/>
      <c r="N141" s="81"/>
    </row>
    <row r="142" spans="3:14">
      <c r="C142" s="81"/>
      <c r="D142" s="81"/>
      <c r="E142" s="81"/>
      <c r="F142" s="81"/>
      <c r="G142" s="81"/>
      <c r="H142" s="81"/>
      <c r="I142" s="81"/>
      <c r="J142" s="81"/>
      <c r="K142" s="81"/>
      <c r="L142" s="81"/>
      <c r="M142" s="81"/>
      <c r="N142" s="81"/>
    </row>
    <row r="143" spans="3:14">
      <c r="C143" s="81"/>
      <c r="D143" s="81"/>
      <c r="E143" s="81"/>
      <c r="F143" s="81"/>
      <c r="G143" s="81"/>
      <c r="H143" s="81"/>
      <c r="I143" s="81"/>
      <c r="J143" s="81"/>
      <c r="K143" s="81"/>
      <c r="L143" s="81"/>
      <c r="M143" s="81"/>
      <c r="N143" s="81"/>
    </row>
    <row r="144" spans="3:14">
      <c r="C144" s="81"/>
      <c r="D144" s="81"/>
      <c r="E144" s="81"/>
      <c r="F144" s="81"/>
      <c r="G144" s="81"/>
      <c r="H144" s="81"/>
      <c r="I144" s="81"/>
      <c r="J144" s="81"/>
      <c r="K144" s="81"/>
      <c r="L144" s="81"/>
      <c r="M144" s="81"/>
      <c r="N144" s="81"/>
    </row>
    <row r="145" spans="3:14">
      <c r="C145" s="81"/>
      <c r="D145" s="81"/>
      <c r="E145" s="81"/>
      <c r="F145" s="81"/>
      <c r="G145" s="81"/>
      <c r="H145" s="81"/>
      <c r="I145" s="81"/>
      <c r="J145" s="81"/>
      <c r="K145" s="81"/>
      <c r="L145" s="81"/>
      <c r="M145" s="81"/>
      <c r="N145" s="81"/>
    </row>
    <row r="146" spans="3:14">
      <c r="C146" s="81"/>
      <c r="D146" s="81"/>
      <c r="E146" s="81"/>
      <c r="F146" s="81"/>
      <c r="G146" s="81"/>
      <c r="H146" s="81"/>
      <c r="I146" s="81"/>
      <c r="J146" s="81"/>
      <c r="K146" s="81"/>
      <c r="L146" s="81"/>
      <c r="M146" s="81"/>
      <c r="N146" s="81"/>
    </row>
    <row r="147" spans="3:14">
      <c r="C147" s="81"/>
      <c r="D147" s="81"/>
      <c r="E147" s="81"/>
      <c r="F147" s="81"/>
      <c r="G147" s="81"/>
      <c r="H147" s="81"/>
      <c r="I147" s="81"/>
      <c r="J147" s="81"/>
      <c r="K147" s="81"/>
      <c r="L147" s="81"/>
      <c r="M147" s="81"/>
      <c r="N147" s="81"/>
    </row>
    <row r="148" spans="3:14">
      <c r="C148" s="81"/>
      <c r="D148" s="81"/>
      <c r="E148" s="81"/>
      <c r="F148" s="81"/>
      <c r="G148" s="81"/>
      <c r="H148" s="81"/>
      <c r="I148" s="81"/>
      <c r="J148" s="81"/>
      <c r="K148" s="81"/>
      <c r="L148" s="81"/>
      <c r="M148" s="81"/>
      <c r="N148" s="81"/>
    </row>
    <row r="149" spans="3:14">
      <c r="C149" s="81"/>
      <c r="D149" s="81"/>
      <c r="E149" s="81"/>
      <c r="F149" s="81"/>
      <c r="G149" s="81"/>
      <c r="H149" s="81"/>
      <c r="I149" s="81"/>
      <c r="J149" s="81"/>
      <c r="K149" s="81"/>
      <c r="L149" s="81"/>
      <c r="M149" s="81"/>
      <c r="N149" s="81"/>
    </row>
    <row r="150" spans="3:14">
      <c r="C150" s="81"/>
      <c r="D150" s="81"/>
      <c r="E150" s="81"/>
      <c r="F150" s="81"/>
      <c r="G150" s="81"/>
      <c r="H150" s="81"/>
      <c r="I150" s="81"/>
      <c r="J150" s="81"/>
      <c r="K150" s="81"/>
      <c r="L150" s="81"/>
      <c r="M150" s="81"/>
      <c r="N150" s="81"/>
    </row>
    <row r="151" spans="3:14">
      <c r="C151" s="81"/>
      <c r="D151" s="81"/>
      <c r="E151" s="81"/>
      <c r="F151" s="81"/>
      <c r="G151" s="81"/>
      <c r="H151" s="81"/>
      <c r="I151" s="81"/>
      <c r="J151" s="81"/>
      <c r="K151" s="81"/>
      <c r="L151" s="81"/>
      <c r="M151" s="81"/>
      <c r="N151" s="81"/>
    </row>
    <row r="152" spans="3:14">
      <c r="C152" s="81"/>
      <c r="D152" s="81"/>
      <c r="E152" s="81"/>
      <c r="F152" s="81"/>
      <c r="G152" s="81"/>
      <c r="H152" s="81"/>
      <c r="I152" s="81"/>
      <c r="J152" s="81"/>
      <c r="K152" s="81"/>
      <c r="L152" s="81"/>
      <c r="M152" s="81"/>
      <c r="N152" s="81"/>
    </row>
    <row r="153" spans="3:14">
      <c r="C153" s="81"/>
      <c r="D153" s="81"/>
      <c r="E153" s="81"/>
      <c r="F153" s="81"/>
      <c r="G153" s="81"/>
      <c r="H153" s="81"/>
      <c r="I153" s="81"/>
      <c r="J153" s="81"/>
      <c r="K153" s="81"/>
      <c r="L153" s="81"/>
      <c r="M153" s="81"/>
      <c r="N153" s="81"/>
    </row>
    <row r="154" spans="3:14">
      <c r="C154" s="81"/>
      <c r="D154" s="81"/>
      <c r="E154" s="81"/>
      <c r="F154" s="81"/>
      <c r="G154" s="81"/>
      <c r="H154" s="81"/>
      <c r="I154" s="81"/>
      <c r="J154" s="81"/>
      <c r="K154" s="81"/>
      <c r="L154" s="81"/>
      <c r="M154" s="81"/>
      <c r="N154" s="81"/>
    </row>
    <row r="155" spans="3:14">
      <c r="C155" s="81"/>
      <c r="D155" s="81"/>
      <c r="E155" s="81"/>
      <c r="F155" s="81"/>
      <c r="G155" s="81"/>
      <c r="H155" s="81"/>
      <c r="I155" s="81"/>
      <c r="J155" s="81"/>
      <c r="K155" s="81"/>
      <c r="L155" s="81"/>
      <c r="M155" s="81"/>
      <c r="N155" s="81"/>
    </row>
    <row r="156" spans="3:14">
      <c r="C156" s="81"/>
      <c r="D156" s="81"/>
      <c r="E156" s="81"/>
      <c r="F156" s="81"/>
      <c r="G156" s="81"/>
      <c r="H156" s="81"/>
      <c r="I156" s="81"/>
      <c r="J156" s="81"/>
      <c r="K156" s="81"/>
      <c r="L156" s="81"/>
      <c r="M156" s="81"/>
      <c r="N156" s="81"/>
    </row>
    <row r="157" spans="3:14">
      <c r="C157" s="81"/>
      <c r="D157" s="81"/>
      <c r="E157" s="81"/>
      <c r="F157" s="81"/>
      <c r="G157" s="81"/>
      <c r="H157" s="81"/>
      <c r="I157" s="81"/>
      <c r="J157" s="81"/>
      <c r="K157" s="81"/>
      <c r="L157" s="81"/>
      <c r="M157" s="81"/>
      <c r="N157" s="81"/>
    </row>
    <row r="158" spans="3:14">
      <c r="C158" s="81"/>
      <c r="D158" s="81"/>
      <c r="E158" s="81"/>
      <c r="F158" s="81"/>
      <c r="G158" s="81"/>
      <c r="H158" s="81"/>
      <c r="I158" s="81"/>
      <c r="J158" s="81"/>
      <c r="K158" s="81"/>
      <c r="L158" s="81"/>
      <c r="M158" s="81"/>
      <c r="N158" s="81"/>
    </row>
    <row r="159" spans="3:14">
      <c r="C159" s="81"/>
      <c r="D159" s="81"/>
      <c r="E159" s="81"/>
      <c r="F159" s="81"/>
      <c r="G159" s="81"/>
      <c r="H159" s="81"/>
      <c r="I159" s="81"/>
      <c r="J159" s="81"/>
      <c r="K159" s="81"/>
      <c r="L159" s="81"/>
      <c r="M159" s="81"/>
      <c r="N159" s="81"/>
    </row>
    <row r="160" spans="3:14">
      <c r="C160" s="81"/>
      <c r="D160" s="81"/>
      <c r="E160" s="81"/>
      <c r="F160" s="81"/>
      <c r="G160" s="81"/>
      <c r="H160" s="81"/>
      <c r="I160" s="81"/>
      <c r="J160" s="81"/>
      <c r="K160" s="81"/>
      <c r="L160" s="81"/>
      <c r="M160" s="81"/>
      <c r="N160" s="81"/>
    </row>
    <row r="161" spans="3:14">
      <c r="C161" s="81"/>
      <c r="D161" s="81"/>
      <c r="E161" s="81"/>
      <c r="F161" s="81"/>
      <c r="G161" s="81"/>
      <c r="H161" s="81"/>
      <c r="I161" s="81"/>
      <c r="J161" s="81"/>
      <c r="K161" s="81"/>
      <c r="L161" s="81"/>
      <c r="M161" s="81"/>
      <c r="N161" s="81"/>
    </row>
    <row r="162" spans="3:14">
      <c r="C162" s="81"/>
      <c r="D162" s="81"/>
      <c r="E162" s="81"/>
      <c r="F162" s="81"/>
      <c r="G162" s="81"/>
      <c r="H162" s="81"/>
      <c r="I162" s="81"/>
      <c r="J162" s="81"/>
      <c r="K162" s="81"/>
      <c r="L162" s="81"/>
      <c r="M162" s="81"/>
      <c r="N162" s="81"/>
    </row>
    <row r="163" spans="3:14">
      <c r="C163" s="81"/>
      <c r="D163" s="81"/>
      <c r="E163" s="81"/>
      <c r="F163" s="81"/>
      <c r="G163" s="81"/>
      <c r="H163" s="81"/>
      <c r="I163" s="81"/>
      <c r="J163" s="81"/>
      <c r="K163" s="81"/>
      <c r="L163" s="81"/>
      <c r="M163" s="81"/>
      <c r="N163" s="81"/>
    </row>
    <row r="164" spans="3:14">
      <c r="C164" s="81"/>
      <c r="D164" s="81"/>
      <c r="E164" s="81"/>
      <c r="F164" s="81"/>
      <c r="G164" s="81"/>
      <c r="H164" s="81"/>
      <c r="I164" s="81"/>
      <c r="J164" s="81"/>
      <c r="K164" s="81"/>
      <c r="L164" s="81"/>
      <c r="M164" s="81"/>
      <c r="N164" s="81"/>
    </row>
    <row r="165" spans="3:14">
      <c r="C165" s="81"/>
      <c r="D165" s="81"/>
      <c r="E165" s="81"/>
      <c r="F165" s="81"/>
      <c r="G165" s="81"/>
      <c r="H165" s="81"/>
      <c r="I165" s="81"/>
      <c r="J165" s="81"/>
      <c r="K165" s="81"/>
      <c r="L165" s="81"/>
      <c r="M165" s="81"/>
      <c r="N165" s="81"/>
    </row>
    <row r="166" spans="3:14">
      <c r="C166" s="81"/>
      <c r="D166" s="81"/>
      <c r="E166" s="81"/>
      <c r="F166" s="81"/>
      <c r="G166" s="81"/>
      <c r="H166" s="81"/>
      <c r="I166" s="81"/>
      <c r="J166" s="81"/>
      <c r="K166" s="81"/>
      <c r="L166" s="81"/>
      <c r="M166" s="81"/>
      <c r="N166" s="81"/>
    </row>
    <row r="167" spans="3:14">
      <c r="C167" s="81"/>
      <c r="D167" s="81"/>
      <c r="E167" s="81"/>
      <c r="F167" s="81"/>
      <c r="G167" s="81"/>
      <c r="H167" s="81"/>
      <c r="I167" s="81"/>
      <c r="J167" s="81"/>
      <c r="K167" s="81"/>
      <c r="L167" s="81"/>
      <c r="M167" s="81"/>
      <c r="N167" s="81"/>
    </row>
    <row r="168" spans="3:14">
      <c r="C168" s="81"/>
      <c r="D168" s="81"/>
      <c r="E168" s="81"/>
      <c r="F168" s="81"/>
      <c r="G168" s="81"/>
      <c r="H168" s="81"/>
      <c r="I168" s="81"/>
      <c r="J168" s="81"/>
      <c r="K168" s="81"/>
      <c r="L168" s="81"/>
      <c r="M168" s="81"/>
      <c r="N168" s="81"/>
    </row>
    <row r="169" spans="3:14">
      <c r="C169" s="81"/>
      <c r="D169" s="81"/>
      <c r="E169" s="81"/>
      <c r="F169" s="81"/>
      <c r="G169" s="81"/>
      <c r="H169" s="81"/>
      <c r="I169" s="81"/>
      <c r="J169" s="81"/>
      <c r="K169" s="81"/>
      <c r="L169" s="81"/>
      <c r="M169" s="81"/>
      <c r="N169" s="81"/>
    </row>
    <row r="170" spans="3:14">
      <c r="C170" s="81"/>
      <c r="D170" s="81"/>
      <c r="E170" s="81"/>
      <c r="F170" s="81"/>
      <c r="G170" s="81"/>
      <c r="H170" s="81"/>
      <c r="I170" s="81"/>
      <c r="J170" s="81"/>
      <c r="K170" s="81"/>
      <c r="L170" s="81"/>
      <c r="M170" s="81"/>
      <c r="N170" s="81"/>
    </row>
    <row r="171" spans="3:14">
      <c r="C171" s="81"/>
      <c r="D171" s="81"/>
      <c r="E171" s="81"/>
      <c r="F171" s="81"/>
      <c r="G171" s="81"/>
      <c r="H171" s="81"/>
      <c r="I171" s="81"/>
      <c r="J171" s="81"/>
      <c r="K171" s="81"/>
      <c r="L171" s="81"/>
      <c r="M171" s="81"/>
      <c r="N171" s="81"/>
    </row>
    <row r="172" spans="3:14">
      <c r="C172" s="81"/>
      <c r="D172" s="81"/>
      <c r="E172" s="81"/>
      <c r="F172" s="81"/>
      <c r="G172" s="81"/>
      <c r="H172" s="81"/>
      <c r="I172" s="81"/>
      <c r="J172" s="81"/>
      <c r="K172" s="81"/>
      <c r="L172" s="81"/>
      <c r="M172" s="81"/>
      <c r="N172" s="81"/>
    </row>
    <row r="173" spans="3:14">
      <c r="C173" s="81"/>
      <c r="D173" s="81"/>
      <c r="E173" s="81"/>
      <c r="F173" s="81"/>
      <c r="G173" s="81"/>
      <c r="H173" s="81"/>
      <c r="I173" s="81"/>
      <c r="J173" s="81"/>
      <c r="K173" s="81"/>
      <c r="L173" s="81"/>
      <c r="M173" s="81"/>
      <c r="N173" s="81"/>
    </row>
    <row r="174" spans="3:14">
      <c r="C174" s="81"/>
      <c r="D174" s="81"/>
      <c r="E174" s="81"/>
      <c r="F174" s="81"/>
      <c r="G174" s="81"/>
      <c r="H174" s="81"/>
      <c r="I174" s="81"/>
      <c r="J174" s="81"/>
      <c r="K174" s="81"/>
      <c r="L174" s="81"/>
      <c r="M174" s="81"/>
      <c r="N174" s="81"/>
    </row>
    <row r="175" spans="3:14">
      <c r="C175" s="81"/>
      <c r="D175" s="81"/>
      <c r="E175" s="81"/>
      <c r="F175" s="81"/>
      <c r="G175" s="81"/>
      <c r="H175" s="81"/>
      <c r="I175" s="81"/>
      <c r="J175" s="81"/>
      <c r="K175" s="81"/>
      <c r="L175" s="81"/>
      <c r="M175" s="81"/>
      <c r="N175" s="81"/>
    </row>
    <row r="176" spans="3:14">
      <c r="C176" s="81"/>
      <c r="D176" s="81"/>
      <c r="E176" s="81"/>
      <c r="F176" s="81"/>
      <c r="G176" s="81"/>
      <c r="H176" s="81"/>
      <c r="I176" s="81"/>
      <c r="J176" s="81"/>
      <c r="K176" s="81"/>
      <c r="L176" s="81"/>
      <c r="M176" s="81"/>
      <c r="N176" s="81"/>
    </row>
    <row r="177" spans="3:14">
      <c r="C177" s="81"/>
      <c r="D177" s="81"/>
      <c r="E177" s="81"/>
      <c r="F177" s="81"/>
      <c r="G177" s="81"/>
      <c r="H177" s="81"/>
      <c r="I177" s="81"/>
      <c r="J177" s="81"/>
      <c r="K177" s="81"/>
      <c r="L177" s="81"/>
      <c r="M177" s="81"/>
      <c r="N177" s="81"/>
    </row>
    <row r="178" spans="3:14">
      <c r="C178" s="81"/>
      <c r="D178" s="81"/>
      <c r="E178" s="81"/>
      <c r="F178" s="81"/>
      <c r="G178" s="81"/>
      <c r="H178" s="81"/>
      <c r="I178" s="81"/>
      <c r="J178" s="81"/>
      <c r="K178" s="81"/>
      <c r="L178" s="81"/>
      <c r="M178" s="81"/>
      <c r="N178" s="81"/>
    </row>
    <row r="179" spans="3:14">
      <c r="C179" s="81"/>
      <c r="D179" s="81"/>
      <c r="E179" s="81"/>
      <c r="F179" s="81"/>
      <c r="G179" s="81"/>
      <c r="H179" s="81"/>
      <c r="I179" s="81"/>
      <c r="J179" s="81"/>
      <c r="K179" s="81"/>
      <c r="L179" s="81"/>
      <c r="M179" s="81"/>
      <c r="N179" s="81"/>
    </row>
    <row r="180" spans="3:14">
      <c r="C180" s="81"/>
      <c r="D180" s="81"/>
      <c r="E180" s="81"/>
      <c r="F180" s="81"/>
      <c r="G180" s="81"/>
      <c r="H180" s="81"/>
      <c r="I180" s="81"/>
      <c r="J180" s="81"/>
      <c r="K180" s="81"/>
      <c r="L180" s="81"/>
      <c r="M180" s="81"/>
      <c r="N180" s="81"/>
    </row>
    <row r="181" spans="3:14">
      <c r="C181" s="81"/>
      <c r="D181" s="81"/>
      <c r="E181" s="81"/>
      <c r="F181" s="81"/>
      <c r="G181" s="81"/>
      <c r="H181" s="81"/>
      <c r="I181" s="81"/>
      <c r="J181" s="81"/>
      <c r="K181" s="81"/>
      <c r="L181" s="81"/>
      <c r="M181" s="81"/>
      <c r="N181" s="81"/>
    </row>
    <row r="182" spans="3:14">
      <c r="C182" s="81"/>
      <c r="D182" s="81"/>
      <c r="E182" s="81"/>
      <c r="F182" s="81"/>
      <c r="G182" s="81"/>
      <c r="H182" s="81"/>
      <c r="I182" s="81"/>
      <c r="J182" s="81"/>
      <c r="K182" s="81"/>
      <c r="L182" s="81"/>
      <c r="M182" s="81"/>
      <c r="N182" s="81"/>
    </row>
    <row r="183" spans="3:14">
      <c r="C183" s="81"/>
      <c r="D183" s="81"/>
      <c r="E183" s="81"/>
      <c r="F183" s="81"/>
      <c r="G183" s="81"/>
      <c r="H183" s="81"/>
      <c r="I183" s="81"/>
      <c r="J183" s="81"/>
      <c r="K183" s="81"/>
      <c r="L183" s="81"/>
      <c r="M183" s="81"/>
      <c r="N183" s="81"/>
    </row>
    <row r="184" spans="3:14">
      <c r="C184" s="81"/>
      <c r="D184" s="81"/>
      <c r="E184" s="81"/>
      <c r="F184" s="81"/>
      <c r="G184" s="81"/>
      <c r="H184" s="81"/>
      <c r="I184" s="81"/>
      <c r="J184" s="81"/>
      <c r="K184" s="81"/>
      <c r="L184" s="81"/>
      <c r="M184" s="81"/>
      <c r="N184" s="81"/>
    </row>
    <row r="185" spans="3:14">
      <c r="C185" s="81"/>
      <c r="D185" s="81"/>
      <c r="E185" s="81"/>
      <c r="F185" s="81"/>
      <c r="G185" s="81"/>
      <c r="H185" s="81"/>
      <c r="I185" s="81"/>
      <c r="J185" s="81"/>
      <c r="K185" s="81"/>
      <c r="L185" s="81"/>
      <c r="M185" s="81"/>
      <c r="N185" s="81"/>
    </row>
    <row r="186" spans="3:14">
      <c r="C186" s="81"/>
      <c r="D186" s="81"/>
      <c r="E186" s="81"/>
      <c r="F186" s="81"/>
      <c r="G186" s="81"/>
      <c r="H186" s="81"/>
      <c r="I186" s="81"/>
      <c r="J186" s="81"/>
      <c r="K186" s="81"/>
      <c r="L186" s="81"/>
      <c r="M186" s="81"/>
      <c r="N186" s="81"/>
    </row>
    <row r="187" spans="3:14">
      <c r="C187" s="81"/>
      <c r="D187" s="81"/>
      <c r="E187" s="81"/>
      <c r="F187" s="81"/>
      <c r="G187" s="81"/>
      <c r="H187" s="81"/>
      <c r="I187" s="81"/>
      <c r="J187" s="81"/>
      <c r="K187" s="81"/>
      <c r="L187" s="81"/>
      <c r="M187" s="81"/>
      <c r="N187" s="81"/>
    </row>
    <row r="188" spans="3:14">
      <c r="C188" s="81"/>
      <c r="D188" s="81"/>
      <c r="E188" s="81"/>
      <c r="F188" s="81"/>
      <c r="G188" s="81"/>
      <c r="H188" s="81"/>
      <c r="I188" s="81"/>
      <c r="J188" s="81"/>
      <c r="K188" s="81"/>
      <c r="L188" s="81"/>
      <c r="M188" s="81"/>
      <c r="N188" s="81"/>
    </row>
    <row r="189" spans="3:14">
      <c r="C189" s="81"/>
      <c r="D189" s="81"/>
      <c r="E189" s="81"/>
      <c r="F189" s="81"/>
      <c r="G189" s="81"/>
      <c r="H189" s="81"/>
      <c r="I189" s="81"/>
      <c r="J189" s="81"/>
      <c r="K189" s="81"/>
      <c r="L189" s="81"/>
      <c r="M189" s="81"/>
      <c r="N189" s="81"/>
    </row>
    <row r="190" spans="3:14">
      <c r="C190" s="81"/>
      <c r="D190" s="81"/>
      <c r="E190" s="81"/>
      <c r="F190" s="81"/>
      <c r="G190" s="81"/>
      <c r="H190" s="81"/>
      <c r="I190" s="81"/>
      <c r="J190" s="81"/>
      <c r="K190" s="81"/>
      <c r="L190" s="81"/>
      <c r="M190" s="81"/>
      <c r="N190" s="81"/>
    </row>
    <row r="191" spans="3:14">
      <c r="C191" s="81"/>
      <c r="D191" s="81"/>
      <c r="E191" s="81"/>
      <c r="F191" s="81"/>
      <c r="G191" s="81"/>
      <c r="H191" s="81"/>
      <c r="I191" s="81"/>
      <c r="J191" s="81"/>
      <c r="K191" s="81"/>
      <c r="L191" s="81"/>
      <c r="M191" s="81"/>
      <c r="N191" s="81"/>
    </row>
    <row r="192" spans="3:14">
      <c r="C192" s="81"/>
      <c r="D192" s="81"/>
      <c r="E192" s="81"/>
      <c r="F192" s="81"/>
      <c r="G192" s="81"/>
      <c r="H192" s="81"/>
      <c r="I192" s="81"/>
      <c r="J192" s="81"/>
      <c r="K192" s="81"/>
      <c r="L192" s="81"/>
      <c r="M192" s="81"/>
      <c r="N192" s="81"/>
    </row>
    <row r="193" spans="3:14">
      <c r="C193" s="81"/>
      <c r="D193" s="81"/>
      <c r="E193" s="81"/>
      <c r="F193" s="81"/>
      <c r="G193" s="81"/>
      <c r="H193" s="81"/>
      <c r="I193" s="81"/>
      <c r="J193" s="81"/>
      <c r="K193" s="81"/>
      <c r="L193" s="81"/>
      <c r="M193" s="81"/>
      <c r="N193" s="81"/>
    </row>
    <row r="194" spans="3:14">
      <c r="C194" s="81"/>
      <c r="D194" s="81"/>
      <c r="E194" s="81"/>
      <c r="F194" s="81"/>
      <c r="G194" s="81"/>
      <c r="H194" s="81"/>
      <c r="I194" s="81"/>
      <c r="J194" s="81"/>
      <c r="K194" s="81"/>
      <c r="L194" s="81"/>
      <c r="M194" s="81"/>
      <c r="N194" s="81"/>
    </row>
    <row r="195" spans="3:14">
      <c r="C195" s="81"/>
      <c r="D195" s="81"/>
      <c r="E195" s="81"/>
      <c r="F195" s="81"/>
      <c r="G195" s="81"/>
      <c r="H195" s="81"/>
      <c r="I195" s="81"/>
      <c r="J195" s="81"/>
      <c r="K195" s="81"/>
      <c r="L195" s="81"/>
      <c r="M195" s="81"/>
      <c r="N195" s="81"/>
    </row>
    <row r="196" spans="3:14">
      <c r="C196" s="81"/>
      <c r="D196" s="81"/>
      <c r="E196" s="81"/>
      <c r="F196" s="81"/>
      <c r="G196" s="81"/>
      <c r="H196" s="81"/>
      <c r="I196" s="81"/>
      <c r="J196" s="81"/>
      <c r="K196" s="81"/>
      <c r="L196" s="81"/>
      <c r="M196" s="81"/>
      <c r="N196" s="81"/>
    </row>
    <row r="197" spans="3:14">
      <c r="C197" s="81"/>
      <c r="D197" s="81"/>
      <c r="E197" s="81"/>
      <c r="F197" s="81"/>
      <c r="G197" s="81"/>
      <c r="H197" s="81"/>
      <c r="I197" s="81"/>
      <c r="J197" s="81"/>
      <c r="K197" s="81"/>
      <c r="L197" s="81"/>
      <c r="M197" s="81"/>
      <c r="N197" s="81"/>
    </row>
    <row r="198" spans="3:14">
      <c r="C198" s="81"/>
      <c r="D198" s="81"/>
      <c r="E198" s="81"/>
      <c r="F198" s="81"/>
      <c r="G198" s="81"/>
      <c r="H198" s="81"/>
      <c r="I198" s="81"/>
      <c r="J198" s="81"/>
      <c r="K198" s="81"/>
      <c r="L198" s="81"/>
      <c r="M198" s="81"/>
      <c r="N198" s="81"/>
    </row>
    <row r="199" spans="3:14">
      <c r="C199" s="81"/>
      <c r="D199" s="81"/>
      <c r="E199" s="81"/>
      <c r="F199" s="81"/>
      <c r="G199" s="81"/>
      <c r="H199" s="81"/>
      <c r="I199" s="81"/>
      <c r="J199" s="81"/>
      <c r="K199" s="81"/>
      <c r="L199" s="81"/>
      <c r="M199" s="81"/>
      <c r="N199" s="81"/>
    </row>
    <row r="200" spans="3:14">
      <c r="C200" s="81"/>
      <c r="D200" s="81"/>
      <c r="E200" s="81"/>
      <c r="F200" s="81"/>
      <c r="G200" s="81"/>
      <c r="H200" s="81"/>
      <c r="I200" s="81"/>
      <c r="J200" s="81"/>
      <c r="K200" s="81"/>
      <c r="L200" s="81"/>
      <c r="M200" s="81"/>
      <c r="N200" s="81"/>
    </row>
    <row r="201" spans="3:14">
      <c r="C201" s="81"/>
      <c r="D201" s="81"/>
      <c r="E201" s="81"/>
      <c r="F201" s="81"/>
      <c r="G201" s="81"/>
      <c r="H201" s="81"/>
      <c r="I201" s="81"/>
      <c r="J201" s="81"/>
      <c r="K201" s="81"/>
      <c r="L201" s="81"/>
      <c r="M201" s="81"/>
      <c r="N201" s="81"/>
    </row>
    <row r="202" spans="3:14">
      <c r="C202" s="81"/>
      <c r="D202" s="81"/>
      <c r="E202" s="81"/>
      <c r="F202" s="81"/>
      <c r="G202" s="81"/>
      <c r="H202" s="81"/>
      <c r="I202" s="81"/>
      <c r="J202" s="81"/>
      <c r="K202" s="81"/>
      <c r="L202" s="81"/>
      <c r="M202" s="81"/>
      <c r="N202" s="81"/>
    </row>
    <row r="203" spans="3:14">
      <c r="C203" s="81"/>
      <c r="D203" s="81"/>
      <c r="E203" s="81"/>
      <c r="F203" s="81"/>
      <c r="G203" s="81"/>
      <c r="H203" s="81"/>
      <c r="I203" s="81"/>
      <c r="J203" s="81"/>
      <c r="K203" s="81"/>
      <c r="L203" s="81"/>
      <c r="M203" s="81"/>
      <c r="N203" s="81"/>
    </row>
    <row r="204" spans="3:14">
      <c r="C204" s="81"/>
      <c r="D204" s="81"/>
      <c r="E204" s="81"/>
      <c r="F204" s="81"/>
      <c r="G204" s="81"/>
      <c r="H204" s="81"/>
      <c r="I204" s="81"/>
      <c r="J204" s="81"/>
      <c r="K204" s="81"/>
      <c r="L204" s="81"/>
      <c r="M204" s="81"/>
      <c r="N204" s="81"/>
    </row>
    <row r="205" spans="3:14">
      <c r="C205" s="81"/>
      <c r="D205" s="81"/>
      <c r="E205" s="81"/>
      <c r="F205" s="81"/>
      <c r="G205" s="81"/>
      <c r="H205" s="81"/>
      <c r="I205" s="81"/>
      <c r="J205" s="81"/>
      <c r="K205" s="81"/>
      <c r="L205" s="81"/>
      <c r="M205" s="81"/>
      <c r="N205" s="81"/>
    </row>
    <row r="206" spans="3:14">
      <c r="C206" s="81"/>
      <c r="D206" s="81"/>
      <c r="E206" s="81"/>
      <c r="F206" s="81"/>
      <c r="G206" s="81"/>
      <c r="H206" s="81"/>
      <c r="I206" s="81"/>
      <c r="J206" s="81"/>
      <c r="K206" s="81"/>
      <c r="L206" s="81"/>
      <c r="M206" s="81"/>
      <c r="N206" s="81"/>
    </row>
    <row r="207" spans="3:14">
      <c r="C207" s="81"/>
      <c r="D207" s="81"/>
      <c r="E207" s="81"/>
      <c r="F207" s="81"/>
      <c r="G207" s="81"/>
      <c r="H207" s="81"/>
      <c r="I207" s="81"/>
      <c r="J207" s="81"/>
      <c r="K207" s="81"/>
      <c r="L207" s="81"/>
      <c r="M207" s="81"/>
      <c r="N207" s="81"/>
    </row>
    <row r="208" spans="3:14">
      <c r="C208" s="81"/>
      <c r="D208" s="81"/>
      <c r="E208" s="81"/>
      <c r="F208" s="81"/>
      <c r="G208" s="81"/>
      <c r="H208" s="81"/>
      <c r="I208" s="81"/>
      <c r="J208" s="81"/>
      <c r="K208" s="81"/>
      <c r="L208" s="81"/>
      <c r="M208" s="81"/>
      <c r="N208" s="81"/>
    </row>
    <row r="209" spans="3:14">
      <c r="C209" s="81"/>
      <c r="D209" s="81"/>
      <c r="E209" s="81"/>
      <c r="F209" s="81"/>
      <c r="G209" s="81"/>
      <c r="H209" s="81"/>
      <c r="I209" s="81"/>
      <c r="J209" s="81"/>
      <c r="K209" s="81"/>
      <c r="L209" s="81"/>
      <c r="M209" s="81"/>
      <c r="N209" s="81"/>
    </row>
    <row r="210" spans="3:14">
      <c r="C210" s="81"/>
      <c r="D210" s="81"/>
      <c r="E210" s="81"/>
      <c r="F210" s="81"/>
      <c r="G210" s="81"/>
      <c r="H210" s="81"/>
      <c r="I210" s="81"/>
      <c r="J210" s="81"/>
      <c r="K210" s="81"/>
      <c r="L210" s="81"/>
      <c r="M210" s="81"/>
      <c r="N210" s="81"/>
    </row>
    <row r="211" spans="3:14">
      <c r="C211" s="81"/>
      <c r="D211" s="81"/>
      <c r="E211" s="81"/>
      <c r="F211" s="81"/>
      <c r="G211" s="81"/>
      <c r="H211" s="81"/>
      <c r="I211" s="81"/>
      <c r="J211" s="81"/>
      <c r="K211" s="81"/>
      <c r="L211" s="81"/>
      <c r="M211" s="81"/>
      <c r="N211" s="81"/>
    </row>
    <row r="212" spans="3:14">
      <c r="C212" s="81"/>
      <c r="D212" s="81"/>
      <c r="E212" s="81"/>
      <c r="F212" s="81"/>
      <c r="G212" s="81"/>
      <c r="H212" s="81"/>
      <c r="I212" s="81"/>
      <c r="J212" s="81"/>
      <c r="K212" s="81"/>
      <c r="L212" s="81"/>
      <c r="M212" s="81"/>
      <c r="N212" s="81"/>
    </row>
    <row r="213" spans="3:14">
      <c r="C213" s="81"/>
      <c r="D213" s="81"/>
      <c r="E213" s="81"/>
      <c r="F213" s="81"/>
      <c r="G213" s="81"/>
      <c r="H213" s="81"/>
      <c r="I213" s="81"/>
      <c r="J213" s="81"/>
      <c r="K213" s="81"/>
      <c r="L213" s="81"/>
      <c r="M213" s="81"/>
      <c r="N213" s="81"/>
    </row>
    <row r="214" spans="3:14">
      <c r="C214" s="81"/>
      <c r="D214" s="81"/>
      <c r="E214" s="81"/>
      <c r="F214" s="81"/>
      <c r="G214" s="81"/>
      <c r="H214" s="81"/>
      <c r="I214" s="81"/>
      <c r="J214" s="81"/>
      <c r="K214" s="81"/>
      <c r="L214" s="81"/>
      <c r="M214" s="81"/>
      <c r="N214" s="81"/>
    </row>
    <row r="215" spans="3:14">
      <c r="C215" s="81"/>
      <c r="D215" s="81"/>
      <c r="E215" s="81"/>
      <c r="F215" s="81"/>
      <c r="G215" s="81"/>
      <c r="H215" s="81"/>
      <c r="I215" s="81"/>
      <c r="J215" s="81"/>
      <c r="K215" s="81"/>
      <c r="L215" s="81"/>
      <c r="M215" s="81"/>
      <c r="N215" s="81"/>
    </row>
    <row r="216" spans="3:14">
      <c r="C216" s="81"/>
      <c r="D216" s="81"/>
      <c r="E216" s="81"/>
      <c r="F216" s="81"/>
      <c r="G216" s="81"/>
      <c r="H216" s="81"/>
      <c r="I216" s="81"/>
      <c r="J216" s="81"/>
      <c r="K216" s="81"/>
      <c r="L216" s="81"/>
      <c r="M216" s="81"/>
      <c r="N216" s="81"/>
    </row>
    <row r="217" spans="3:14">
      <c r="C217" s="81"/>
      <c r="D217" s="81"/>
      <c r="E217" s="81"/>
      <c r="F217" s="81"/>
      <c r="G217" s="81"/>
      <c r="H217" s="81"/>
      <c r="I217" s="81"/>
      <c r="J217" s="81"/>
      <c r="K217" s="81"/>
      <c r="L217" s="81"/>
      <c r="M217" s="81"/>
      <c r="N217" s="81"/>
    </row>
    <row r="218" spans="3:14">
      <c r="C218" s="81"/>
      <c r="D218" s="81"/>
      <c r="E218" s="81"/>
      <c r="F218" s="81"/>
      <c r="G218" s="81"/>
      <c r="H218" s="81"/>
      <c r="I218" s="81"/>
      <c r="J218" s="81"/>
      <c r="K218" s="81"/>
      <c r="L218" s="81"/>
      <c r="M218" s="81"/>
      <c r="N218" s="81"/>
    </row>
    <row r="219" spans="3:14">
      <c r="C219" s="81"/>
      <c r="D219" s="81"/>
      <c r="E219" s="81"/>
      <c r="F219" s="81"/>
      <c r="G219" s="81"/>
      <c r="H219" s="81"/>
      <c r="I219" s="81"/>
      <c r="J219" s="81"/>
      <c r="K219" s="81"/>
      <c r="L219" s="81"/>
      <c r="M219" s="81"/>
      <c r="N219" s="81"/>
    </row>
    <row r="220" spans="3:14">
      <c r="C220" s="81"/>
      <c r="D220" s="81"/>
      <c r="E220" s="81"/>
      <c r="F220" s="81"/>
      <c r="G220" s="81"/>
      <c r="H220" s="81"/>
      <c r="I220" s="81"/>
      <c r="J220" s="81"/>
      <c r="K220" s="81"/>
      <c r="L220" s="81"/>
      <c r="M220" s="81"/>
      <c r="N220" s="81"/>
    </row>
    <row r="221" spans="3:14">
      <c r="C221" s="81"/>
      <c r="D221" s="81"/>
      <c r="E221" s="81"/>
      <c r="F221" s="81"/>
      <c r="G221" s="81"/>
      <c r="H221" s="81"/>
      <c r="I221" s="81"/>
      <c r="J221" s="81"/>
      <c r="K221" s="81"/>
      <c r="L221" s="81"/>
      <c r="M221" s="81"/>
      <c r="N221" s="81"/>
    </row>
    <row r="222" spans="3:14">
      <c r="C222" s="81"/>
      <c r="D222" s="81"/>
      <c r="E222" s="81"/>
      <c r="F222" s="81"/>
      <c r="G222" s="81"/>
      <c r="H222" s="81"/>
      <c r="I222" s="81"/>
      <c r="J222" s="81"/>
      <c r="K222" s="81"/>
      <c r="L222" s="81"/>
      <c r="M222" s="81"/>
      <c r="N222" s="81"/>
    </row>
    <row r="223" spans="3:14">
      <c r="C223" s="81"/>
      <c r="D223" s="81"/>
      <c r="E223" s="81"/>
      <c r="F223" s="81"/>
      <c r="G223" s="81"/>
      <c r="H223" s="81"/>
      <c r="I223" s="81"/>
      <c r="J223" s="81"/>
      <c r="K223" s="81"/>
      <c r="L223" s="81"/>
      <c r="M223" s="81"/>
      <c r="N223" s="81"/>
    </row>
    <row r="224" spans="3:14">
      <c r="C224" s="81"/>
      <c r="D224" s="81"/>
      <c r="E224" s="81"/>
      <c r="F224" s="81"/>
      <c r="G224" s="81"/>
      <c r="H224" s="81"/>
      <c r="I224" s="81"/>
      <c r="J224" s="81"/>
      <c r="K224" s="81"/>
      <c r="L224" s="81"/>
      <c r="M224" s="81"/>
      <c r="N224" s="81"/>
    </row>
    <row r="225" spans="3:14">
      <c r="C225" s="81"/>
      <c r="D225" s="81"/>
      <c r="E225" s="81"/>
      <c r="F225" s="81"/>
      <c r="G225" s="81"/>
      <c r="H225" s="81"/>
      <c r="I225" s="81"/>
      <c r="J225" s="81"/>
      <c r="K225" s="81"/>
      <c r="L225" s="81"/>
      <c r="M225" s="81"/>
      <c r="N225" s="81"/>
    </row>
    <row r="226" spans="3:14">
      <c r="C226" s="81"/>
      <c r="D226" s="81"/>
      <c r="E226" s="81"/>
      <c r="F226" s="81"/>
      <c r="G226" s="81"/>
      <c r="H226" s="81"/>
      <c r="I226" s="81"/>
      <c r="J226" s="81"/>
      <c r="K226" s="81"/>
      <c r="L226" s="81"/>
      <c r="M226" s="81"/>
      <c r="N226" s="81"/>
    </row>
    <row r="227" spans="3:14">
      <c r="C227" s="81"/>
      <c r="D227" s="81"/>
      <c r="E227" s="81"/>
      <c r="F227" s="81"/>
      <c r="G227" s="81"/>
      <c r="H227" s="81"/>
      <c r="I227" s="81"/>
      <c r="J227" s="81"/>
      <c r="K227" s="81"/>
      <c r="L227" s="81"/>
      <c r="M227" s="81"/>
      <c r="N227" s="81"/>
    </row>
    <row r="228" spans="3:14">
      <c r="C228" s="81"/>
      <c r="D228" s="81"/>
      <c r="E228" s="81"/>
      <c r="F228" s="81"/>
      <c r="G228" s="81"/>
      <c r="H228" s="81"/>
      <c r="I228" s="81"/>
      <c r="J228" s="81"/>
      <c r="K228" s="81"/>
      <c r="L228" s="81"/>
      <c r="M228" s="81"/>
      <c r="N228" s="81"/>
    </row>
    <row r="229" spans="3:14">
      <c r="C229" s="81"/>
      <c r="D229" s="81"/>
      <c r="E229" s="81"/>
      <c r="F229" s="81"/>
      <c r="G229" s="81"/>
      <c r="H229" s="81"/>
      <c r="I229" s="81"/>
      <c r="J229" s="81"/>
      <c r="K229" s="81"/>
      <c r="L229" s="81"/>
      <c r="M229" s="81"/>
      <c r="N229" s="81"/>
    </row>
    <row r="230" spans="3:14">
      <c r="C230" s="81"/>
      <c r="D230" s="81"/>
      <c r="E230" s="81"/>
      <c r="F230" s="81"/>
      <c r="G230" s="81"/>
      <c r="H230" s="81"/>
      <c r="I230" s="81"/>
      <c r="J230" s="81"/>
      <c r="K230" s="81"/>
      <c r="L230" s="81"/>
      <c r="M230" s="81"/>
      <c r="N230" s="81"/>
    </row>
    <row r="231" spans="3:14">
      <c r="C231" s="81"/>
      <c r="D231" s="81"/>
      <c r="E231" s="81"/>
      <c r="F231" s="81"/>
      <c r="G231" s="81"/>
      <c r="H231" s="81"/>
      <c r="I231" s="81"/>
      <c r="J231" s="81"/>
      <c r="K231" s="81"/>
      <c r="L231" s="81"/>
      <c r="M231" s="81"/>
      <c r="N231" s="81"/>
    </row>
    <row r="232" spans="3:14">
      <c r="C232" s="81"/>
      <c r="D232" s="81"/>
      <c r="E232" s="81"/>
      <c r="F232" s="81"/>
      <c r="G232" s="81"/>
      <c r="H232" s="81"/>
      <c r="I232" s="81"/>
      <c r="J232" s="81"/>
      <c r="K232" s="81"/>
      <c r="L232" s="81"/>
      <c r="M232" s="81"/>
      <c r="N232" s="81"/>
    </row>
    <row r="233" spans="3:14">
      <c r="C233" s="81"/>
      <c r="D233" s="81"/>
      <c r="E233" s="81"/>
      <c r="F233" s="81"/>
      <c r="G233" s="81"/>
      <c r="H233" s="81"/>
      <c r="I233" s="81"/>
      <c r="J233" s="81"/>
      <c r="K233" s="81"/>
      <c r="L233" s="81"/>
      <c r="M233" s="81"/>
      <c r="N233" s="81"/>
    </row>
    <row r="234" spans="3:14">
      <c r="C234" s="81"/>
      <c r="D234" s="81"/>
      <c r="E234" s="81"/>
      <c r="F234" s="81"/>
      <c r="G234" s="81"/>
      <c r="H234" s="81"/>
      <c r="I234" s="81"/>
      <c r="J234" s="81"/>
      <c r="K234" s="81"/>
      <c r="L234" s="81"/>
      <c r="M234" s="81"/>
      <c r="N234" s="81"/>
    </row>
    <row r="235" spans="3:14">
      <c r="C235" s="81"/>
      <c r="D235" s="81"/>
      <c r="E235" s="81"/>
      <c r="F235" s="81"/>
      <c r="G235" s="81"/>
      <c r="H235" s="81"/>
      <c r="I235" s="81"/>
      <c r="J235" s="81"/>
      <c r="K235" s="81"/>
      <c r="L235" s="81"/>
      <c r="M235" s="81"/>
      <c r="N235" s="81"/>
    </row>
    <row r="236" spans="3:14">
      <c r="C236" s="81"/>
      <c r="D236" s="81"/>
      <c r="E236" s="81"/>
      <c r="F236" s="81"/>
      <c r="G236" s="81"/>
      <c r="H236" s="81"/>
      <c r="I236" s="81"/>
      <c r="J236" s="81"/>
      <c r="K236" s="81"/>
      <c r="L236" s="81"/>
      <c r="M236" s="81"/>
      <c r="N236" s="81"/>
    </row>
    <row r="237" spans="3:14">
      <c r="C237" s="81"/>
      <c r="D237" s="81"/>
      <c r="E237" s="81"/>
      <c r="F237" s="81"/>
      <c r="G237" s="81"/>
      <c r="H237" s="81"/>
      <c r="I237" s="81"/>
      <c r="J237" s="81"/>
      <c r="K237" s="81"/>
      <c r="L237" s="81"/>
      <c r="M237" s="81"/>
      <c r="N237" s="81"/>
    </row>
    <row r="238" spans="3:14">
      <c r="C238" s="81"/>
      <c r="D238" s="81"/>
      <c r="E238" s="81"/>
      <c r="F238" s="81"/>
      <c r="G238" s="81"/>
      <c r="H238" s="81"/>
      <c r="I238" s="81"/>
      <c r="J238" s="81"/>
      <c r="K238" s="81"/>
      <c r="L238" s="81"/>
      <c r="M238" s="81"/>
      <c r="N238" s="81"/>
    </row>
    <row r="239" spans="3:14">
      <c r="C239" s="81"/>
      <c r="D239" s="81"/>
      <c r="E239" s="81"/>
      <c r="F239" s="81"/>
      <c r="G239" s="81"/>
      <c r="H239" s="81"/>
      <c r="I239" s="81"/>
      <c r="J239" s="81"/>
      <c r="K239" s="81"/>
      <c r="L239" s="81"/>
      <c r="M239" s="81"/>
      <c r="N239" s="81"/>
    </row>
    <row r="240" spans="3:14">
      <c r="C240" s="81"/>
      <c r="D240" s="81"/>
      <c r="E240" s="81"/>
      <c r="F240" s="81"/>
      <c r="G240" s="81"/>
      <c r="H240" s="81"/>
      <c r="I240" s="81"/>
      <c r="J240" s="81"/>
      <c r="K240" s="81"/>
      <c r="L240" s="81"/>
      <c r="M240" s="81"/>
      <c r="N240" s="81"/>
    </row>
    <row r="241" spans="3:14">
      <c r="C241" s="81"/>
      <c r="D241" s="81"/>
      <c r="E241" s="81"/>
      <c r="F241" s="81"/>
      <c r="G241" s="81"/>
      <c r="H241" s="81"/>
      <c r="I241" s="81"/>
      <c r="J241" s="81"/>
      <c r="K241" s="81"/>
      <c r="L241" s="81"/>
      <c r="M241" s="81"/>
      <c r="N241" s="81"/>
    </row>
    <row r="242" spans="3:14">
      <c r="C242" s="81"/>
      <c r="D242" s="81"/>
      <c r="E242" s="81"/>
      <c r="F242" s="81"/>
      <c r="G242" s="81"/>
      <c r="H242" s="81"/>
      <c r="I242" s="81"/>
      <c r="J242" s="81"/>
      <c r="K242" s="81"/>
      <c r="L242" s="81"/>
      <c r="M242" s="81"/>
      <c r="N242" s="81"/>
    </row>
    <row r="243" spans="3:14">
      <c r="C243" s="81"/>
      <c r="D243" s="81"/>
      <c r="E243" s="81"/>
      <c r="F243" s="81"/>
      <c r="G243" s="81"/>
      <c r="H243" s="81"/>
      <c r="I243" s="81"/>
      <c r="J243" s="81"/>
      <c r="K243" s="81"/>
      <c r="L243" s="81"/>
      <c r="M243" s="81"/>
      <c r="N243" s="81"/>
    </row>
    <row r="244" spans="3:14">
      <c r="C244" s="81"/>
      <c r="D244" s="81"/>
      <c r="E244" s="81"/>
      <c r="F244" s="81"/>
      <c r="G244" s="81"/>
      <c r="H244" s="81"/>
      <c r="I244" s="81"/>
      <c r="J244" s="81"/>
      <c r="K244" s="81"/>
      <c r="L244" s="81"/>
      <c r="M244" s="81"/>
      <c r="N244" s="81"/>
    </row>
    <row r="245" spans="3:14">
      <c r="C245" s="81"/>
      <c r="D245" s="81"/>
      <c r="E245" s="81"/>
      <c r="F245" s="81"/>
      <c r="G245" s="81"/>
      <c r="H245" s="81"/>
      <c r="I245" s="81"/>
      <c r="J245" s="81"/>
      <c r="K245" s="81"/>
      <c r="L245" s="81"/>
      <c r="M245" s="81"/>
      <c r="N245" s="81"/>
    </row>
    <row r="246" spans="3:14">
      <c r="C246" s="81"/>
      <c r="D246" s="81"/>
      <c r="E246" s="81"/>
      <c r="F246" s="81"/>
      <c r="G246" s="81"/>
      <c r="H246" s="81"/>
      <c r="I246" s="81"/>
      <c r="J246" s="81"/>
      <c r="K246" s="81"/>
      <c r="L246" s="81"/>
      <c r="M246" s="81"/>
      <c r="N246" s="81"/>
    </row>
    <row r="247" spans="3:14">
      <c r="C247" s="81"/>
      <c r="D247" s="81"/>
      <c r="E247" s="81"/>
      <c r="F247" s="81"/>
      <c r="G247" s="81"/>
      <c r="H247" s="81"/>
      <c r="I247" s="81"/>
      <c r="J247" s="81"/>
      <c r="K247" s="81"/>
      <c r="L247" s="81"/>
      <c r="M247" s="81"/>
      <c r="N247" s="81"/>
    </row>
    <row r="248" spans="3:14">
      <c r="C248" s="81"/>
      <c r="D248" s="81"/>
      <c r="E248" s="81"/>
      <c r="F248" s="81"/>
      <c r="G248" s="81"/>
      <c r="H248" s="81"/>
      <c r="I248" s="81"/>
      <c r="J248" s="81"/>
      <c r="K248" s="81"/>
      <c r="L248" s="81"/>
      <c r="M248" s="81"/>
      <c r="N248" s="81"/>
    </row>
    <row r="249" spans="3:14">
      <c r="C249" s="81"/>
      <c r="D249" s="81"/>
      <c r="E249" s="81"/>
      <c r="F249" s="81"/>
      <c r="G249" s="81"/>
      <c r="H249" s="81"/>
      <c r="I249" s="81"/>
      <c r="J249" s="81"/>
      <c r="K249" s="81"/>
      <c r="L249" s="81"/>
      <c r="M249" s="81"/>
      <c r="N249" s="81"/>
    </row>
    <row r="250" spans="3:14">
      <c r="C250" s="81"/>
      <c r="D250" s="81"/>
      <c r="E250" s="81"/>
      <c r="F250" s="81"/>
      <c r="G250" s="81"/>
      <c r="H250" s="81"/>
      <c r="I250" s="81"/>
      <c r="J250" s="81"/>
      <c r="K250" s="81"/>
      <c r="L250" s="81"/>
      <c r="M250" s="81"/>
      <c r="N250" s="81"/>
    </row>
    <row r="251" spans="3:14">
      <c r="C251" s="81"/>
      <c r="D251" s="81"/>
      <c r="E251" s="81"/>
      <c r="F251" s="81"/>
      <c r="G251" s="81"/>
      <c r="H251" s="81"/>
      <c r="I251" s="81"/>
      <c r="J251" s="81"/>
      <c r="K251" s="81"/>
      <c r="L251" s="81"/>
      <c r="M251" s="81"/>
      <c r="N251" s="81"/>
    </row>
    <row r="252" spans="3:14">
      <c r="C252" s="81"/>
      <c r="D252" s="81"/>
      <c r="E252" s="81"/>
      <c r="F252" s="81"/>
      <c r="G252" s="81"/>
      <c r="H252" s="81"/>
      <c r="I252" s="81"/>
      <c r="J252" s="81"/>
      <c r="K252" s="81"/>
      <c r="L252" s="81"/>
      <c r="M252" s="81"/>
      <c r="N252" s="81"/>
    </row>
    <row r="253" spans="3:14">
      <c r="C253" s="81"/>
      <c r="D253" s="81"/>
      <c r="E253" s="81"/>
      <c r="F253" s="81"/>
      <c r="G253" s="81"/>
      <c r="H253" s="81"/>
      <c r="I253" s="81"/>
      <c r="J253" s="81"/>
      <c r="K253" s="81"/>
      <c r="L253" s="81"/>
      <c r="M253" s="81"/>
      <c r="N253" s="81"/>
    </row>
    <row r="254" spans="3:14">
      <c r="C254" s="81"/>
      <c r="D254" s="81"/>
      <c r="E254" s="81"/>
      <c r="F254" s="81"/>
      <c r="G254" s="81"/>
      <c r="H254" s="81"/>
      <c r="I254" s="81"/>
      <c r="J254" s="81"/>
      <c r="K254" s="81"/>
      <c r="L254" s="81"/>
      <c r="M254" s="81"/>
      <c r="N254" s="81"/>
    </row>
    <row r="255" spans="3:14">
      <c r="C255" s="81"/>
      <c r="D255" s="81"/>
      <c r="E255" s="81"/>
      <c r="F255" s="81"/>
      <c r="G255" s="81"/>
      <c r="H255" s="81"/>
      <c r="I255" s="81"/>
      <c r="J255" s="81"/>
      <c r="K255" s="81"/>
      <c r="L255" s="81"/>
      <c r="M255" s="81"/>
      <c r="N255" s="81"/>
    </row>
    <row r="256" spans="3:14">
      <c r="C256" s="81"/>
      <c r="D256" s="81"/>
      <c r="E256" s="81"/>
      <c r="F256" s="81"/>
      <c r="G256" s="81"/>
      <c r="H256" s="81"/>
      <c r="I256" s="81"/>
      <c r="J256" s="81"/>
      <c r="K256" s="81"/>
      <c r="L256" s="81"/>
      <c r="M256" s="81"/>
      <c r="N256" s="81"/>
    </row>
    <row r="257" spans="3:14">
      <c r="C257" s="81"/>
      <c r="D257" s="81"/>
      <c r="E257" s="81"/>
      <c r="F257" s="81"/>
      <c r="G257" s="81"/>
      <c r="H257" s="81"/>
      <c r="I257" s="81"/>
      <c r="J257" s="81"/>
      <c r="K257" s="81"/>
      <c r="L257" s="81"/>
      <c r="M257" s="81"/>
      <c r="N257" s="81"/>
    </row>
    <row r="258" spans="3:14">
      <c r="C258" s="81"/>
      <c r="D258" s="81"/>
      <c r="E258" s="81"/>
      <c r="F258" s="81"/>
      <c r="G258" s="81"/>
      <c r="H258" s="81"/>
      <c r="I258" s="81"/>
      <c r="J258" s="81"/>
      <c r="K258" s="81"/>
      <c r="L258" s="81"/>
      <c r="M258" s="81"/>
      <c r="N258" s="81"/>
    </row>
    <row r="259" spans="3:14">
      <c r="C259" s="81"/>
      <c r="D259" s="81"/>
      <c r="E259" s="81"/>
      <c r="F259" s="81"/>
      <c r="G259" s="81"/>
      <c r="H259" s="81"/>
      <c r="I259" s="81"/>
      <c r="J259" s="81"/>
      <c r="K259" s="81"/>
      <c r="L259" s="81"/>
      <c r="M259" s="81"/>
      <c r="N259" s="81"/>
    </row>
    <row r="260" spans="3:14">
      <c r="C260" s="81"/>
      <c r="D260" s="81"/>
      <c r="E260" s="81"/>
      <c r="F260" s="81"/>
      <c r="G260" s="81"/>
      <c r="H260" s="81"/>
      <c r="I260" s="81"/>
      <c r="J260" s="81"/>
      <c r="K260" s="81"/>
      <c r="L260" s="81"/>
      <c r="M260" s="81"/>
      <c r="N260" s="81"/>
    </row>
    <row r="261" spans="3:14">
      <c r="C261" s="81"/>
      <c r="D261" s="81"/>
      <c r="E261" s="81"/>
      <c r="F261" s="81"/>
      <c r="G261" s="81"/>
      <c r="H261" s="81"/>
      <c r="I261" s="81"/>
      <c r="J261" s="81"/>
      <c r="K261" s="81"/>
      <c r="L261" s="81"/>
      <c r="M261" s="81"/>
      <c r="N261" s="81"/>
    </row>
    <row r="262" spans="3:14">
      <c r="C262" s="81"/>
      <c r="D262" s="81"/>
      <c r="E262" s="81"/>
      <c r="F262" s="81"/>
      <c r="G262" s="81"/>
      <c r="H262" s="81"/>
      <c r="I262" s="81"/>
      <c r="J262" s="81"/>
      <c r="K262" s="81"/>
      <c r="L262" s="81"/>
      <c r="M262" s="81"/>
      <c r="N262" s="81"/>
    </row>
    <row r="263" spans="3:14">
      <c r="C263" s="81"/>
      <c r="D263" s="81"/>
      <c r="E263" s="81"/>
      <c r="F263" s="81"/>
      <c r="G263" s="81"/>
      <c r="H263" s="81"/>
      <c r="I263" s="81"/>
      <c r="J263" s="81"/>
      <c r="K263" s="81"/>
      <c r="L263" s="81"/>
      <c r="M263" s="81"/>
      <c r="N263" s="81"/>
    </row>
    <row r="264" spans="3:14">
      <c r="C264" s="81"/>
      <c r="D264" s="81"/>
      <c r="E264" s="81"/>
      <c r="F264" s="81"/>
      <c r="G264" s="81"/>
      <c r="H264" s="81"/>
      <c r="I264" s="81"/>
      <c r="J264" s="81"/>
      <c r="K264" s="81"/>
      <c r="L264" s="81"/>
      <c r="M264" s="81"/>
      <c r="N264" s="81"/>
    </row>
    <row r="265" spans="3:14">
      <c r="C265" s="81"/>
      <c r="D265" s="81"/>
      <c r="E265" s="81"/>
      <c r="F265" s="81"/>
      <c r="G265" s="81"/>
      <c r="H265" s="81"/>
      <c r="I265" s="81"/>
      <c r="J265" s="81"/>
      <c r="K265" s="81"/>
      <c r="L265" s="81"/>
      <c r="M265" s="81"/>
      <c r="N265" s="81"/>
    </row>
    <row r="266" spans="3:14">
      <c r="C266" s="81"/>
      <c r="D266" s="81"/>
      <c r="E266" s="81"/>
      <c r="F266" s="81"/>
      <c r="G266" s="81"/>
      <c r="H266" s="81"/>
      <c r="I266" s="81"/>
      <c r="J266" s="81"/>
      <c r="K266" s="81"/>
      <c r="L266" s="81"/>
      <c r="M266" s="81"/>
      <c r="N266" s="81"/>
    </row>
    <row r="267" spans="3:14">
      <c r="C267" s="81"/>
      <c r="D267" s="81"/>
      <c r="E267" s="81"/>
      <c r="F267" s="81"/>
      <c r="G267" s="81"/>
      <c r="H267" s="81"/>
      <c r="I267" s="81"/>
      <c r="J267" s="81"/>
      <c r="K267" s="81"/>
      <c r="L267" s="81"/>
      <c r="M267" s="81"/>
      <c r="N267" s="81"/>
    </row>
    <row r="268" spans="3:14">
      <c r="C268" s="81"/>
      <c r="D268" s="81"/>
      <c r="E268" s="81"/>
      <c r="F268" s="81"/>
      <c r="G268" s="81"/>
      <c r="H268" s="81"/>
      <c r="I268" s="81"/>
      <c r="J268" s="81"/>
      <c r="K268" s="81"/>
      <c r="L268" s="81"/>
      <c r="M268" s="81"/>
      <c r="N268" s="81"/>
    </row>
    <row r="269" spans="3:14">
      <c r="C269" s="81"/>
      <c r="D269" s="81"/>
      <c r="E269" s="81"/>
      <c r="F269" s="81"/>
      <c r="G269" s="81"/>
      <c r="H269" s="81"/>
      <c r="I269" s="81"/>
      <c r="J269" s="81"/>
      <c r="K269" s="81"/>
      <c r="L269" s="81"/>
      <c r="M269" s="81"/>
      <c r="N269" s="81"/>
    </row>
    <row r="270" spans="3:14">
      <c r="C270" s="81"/>
      <c r="D270" s="81"/>
      <c r="E270" s="81"/>
      <c r="F270" s="81"/>
      <c r="G270" s="81"/>
      <c r="H270" s="81"/>
      <c r="I270" s="81"/>
      <c r="J270" s="81"/>
      <c r="K270" s="81"/>
      <c r="L270" s="81"/>
      <c r="M270" s="81"/>
      <c r="N270" s="81"/>
    </row>
    <row r="271" spans="3:14">
      <c r="C271" s="81"/>
      <c r="D271" s="81"/>
      <c r="E271" s="81"/>
      <c r="F271" s="81"/>
      <c r="G271" s="81"/>
      <c r="H271" s="81"/>
      <c r="I271" s="81"/>
      <c r="J271" s="81"/>
      <c r="K271" s="81"/>
      <c r="L271" s="81"/>
      <c r="M271" s="81"/>
      <c r="N271" s="81"/>
    </row>
    <row r="272" spans="3:14">
      <c r="C272" s="81"/>
      <c r="D272" s="81"/>
      <c r="E272" s="81"/>
      <c r="F272" s="81"/>
      <c r="G272" s="81"/>
      <c r="H272" s="81"/>
      <c r="I272" s="81"/>
      <c r="J272" s="81"/>
      <c r="K272" s="81"/>
      <c r="L272" s="81"/>
      <c r="M272" s="81"/>
      <c r="N272" s="81"/>
    </row>
    <row r="273" spans="3:14">
      <c r="C273" s="81"/>
      <c r="D273" s="81"/>
      <c r="E273" s="81"/>
      <c r="F273" s="81"/>
      <c r="G273" s="81"/>
      <c r="H273" s="81"/>
      <c r="I273" s="81"/>
      <c r="J273" s="81"/>
      <c r="K273" s="81"/>
      <c r="L273" s="81"/>
      <c r="M273" s="81"/>
      <c r="N273" s="81"/>
    </row>
    <row r="274" spans="3:14">
      <c r="C274" s="81"/>
      <c r="D274" s="81"/>
      <c r="E274" s="81"/>
      <c r="F274" s="81"/>
      <c r="G274" s="81"/>
      <c r="H274" s="81"/>
      <c r="I274" s="81"/>
      <c r="J274" s="81"/>
      <c r="K274" s="81"/>
      <c r="L274" s="81"/>
      <c r="M274" s="81"/>
      <c r="N274" s="81"/>
    </row>
    <row r="275" spans="3:14">
      <c r="C275" s="81"/>
      <c r="D275" s="81"/>
      <c r="E275" s="81"/>
      <c r="F275" s="81"/>
      <c r="G275" s="81"/>
      <c r="H275" s="81"/>
      <c r="I275" s="81"/>
      <c r="J275" s="81"/>
      <c r="K275" s="81"/>
      <c r="L275" s="81"/>
      <c r="M275" s="81"/>
      <c r="N275" s="81"/>
    </row>
    <row r="276" spans="3:14">
      <c r="C276" s="81"/>
      <c r="D276" s="81"/>
      <c r="E276" s="81"/>
      <c r="F276" s="81"/>
      <c r="G276" s="81"/>
      <c r="H276" s="81"/>
      <c r="I276" s="81"/>
      <c r="J276" s="81"/>
      <c r="K276" s="81"/>
      <c r="L276" s="81"/>
      <c r="M276" s="81"/>
      <c r="N276" s="81"/>
    </row>
    <row r="277" spans="3:14">
      <c r="C277" s="81"/>
      <c r="D277" s="81"/>
      <c r="E277" s="81"/>
      <c r="F277" s="81"/>
      <c r="G277" s="81"/>
      <c r="H277" s="81"/>
      <c r="I277" s="81"/>
      <c r="J277" s="81"/>
      <c r="K277" s="81"/>
      <c r="L277" s="81"/>
      <c r="M277" s="81"/>
      <c r="N277" s="81"/>
    </row>
    <row r="278" spans="3:14">
      <c r="C278" s="81"/>
      <c r="D278" s="81"/>
      <c r="E278" s="81"/>
      <c r="F278" s="81"/>
      <c r="G278" s="81"/>
      <c r="H278" s="81"/>
      <c r="I278" s="81"/>
      <c r="J278" s="81"/>
      <c r="K278" s="81"/>
      <c r="L278" s="81"/>
      <c r="M278" s="81"/>
      <c r="N278" s="81"/>
    </row>
    <row r="279" spans="3:14">
      <c r="C279" s="81"/>
      <c r="D279" s="81"/>
      <c r="E279" s="81"/>
      <c r="F279" s="81"/>
      <c r="G279" s="81"/>
      <c r="H279" s="81"/>
      <c r="I279" s="81"/>
      <c r="J279" s="81"/>
      <c r="K279" s="81"/>
      <c r="L279" s="81"/>
      <c r="M279" s="81"/>
      <c r="N279" s="81"/>
    </row>
    <row r="280" spans="3:14">
      <c r="C280" s="81"/>
      <c r="D280" s="81"/>
      <c r="E280" s="81"/>
      <c r="F280" s="81"/>
      <c r="G280" s="81"/>
      <c r="H280" s="81"/>
      <c r="I280" s="81"/>
      <c r="J280" s="81"/>
      <c r="K280" s="81"/>
      <c r="L280" s="81"/>
      <c r="M280" s="81"/>
      <c r="N280" s="81"/>
    </row>
    <row r="281" spans="3:14">
      <c r="C281" s="81"/>
      <c r="D281" s="81"/>
      <c r="E281" s="81"/>
      <c r="F281" s="81"/>
      <c r="G281" s="81"/>
      <c r="H281" s="81"/>
      <c r="I281" s="81"/>
      <c r="J281" s="81"/>
      <c r="K281" s="81"/>
      <c r="L281" s="81"/>
      <c r="M281" s="81"/>
      <c r="N281" s="81"/>
    </row>
    <row r="282" spans="3:14">
      <c r="C282" s="81"/>
      <c r="D282" s="81"/>
      <c r="E282" s="81"/>
      <c r="F282" s="81"/>
      <c r="G282" s="81"/>
      <c r="H282" s="81"/>
      <c r="I282" s="81"/>
      <c r="J282" s="81"/>
      <c r="K282" s="81"/>
      <c r="L282" s="81"/>
      <c r="M282" s="81"/>
      <c r="N282" s="81"/>
    </row>
    <row r="283" spans="3:14">
      <c r="C283" s="81"/>
      <c r="D283" s="81"/>
      <c r="E283" s="81"/>
      <c r="F283" s="81"/>
      <c r="G283" s="81"/>
      <c r="H283" s="81"/>
      <c r="I283" s="81"/>
      <c r="J283" s="81"/>
      <c r="K283" s="81"/>
      <c r="L283" s="81"/>
      <c r="M283" s="81"/>
      <c r="N283" s="81"/>
    </row>
    <row r="284" spans="3:14">
      <c r="C284" s="81"/>
      <c r="D284" s="81"/>
      <c r="E284" s="81"/>
      <c r="F284" s="81"/>
      <c r="G284" s="81"/>
      <c r="H284" s="81"/>
      <c r="I284" s="81"/>
      <c r="J284" s="81"/>
      <c r="K284" s="81"/>
      <c r="L284" s="81"/>
      <c r="M284" s="81"/>
      <c r="N284" s="81"/>
    </row>
    <row r="285" spans="3:14">
      <c r="C285" s="81"/>
      <c r="D285" s="81"/>
      <c r="E285" s="81"/>
      <c r="F285" s="81"/>
      <c r="G285" s="81"/>
      <c r="H285" s="81"/>
      <c r="I285" s="81"/>
      <c r="J285" s="81"/>
      <c r="K285" s="81"/>
      <c r="L285" s="81"/>
      <c r="M285" s="81"/>
      <c r="N285" s="81"/>
    </row>
    <row r="286" spans="3:14">
      <c r="C286" s="81"/>
      <c r="D286" s="81"/>
      <c r="E286" s="81"/>
      <c r="F286" s="81"/>
      <c r="G286" s="81"/>
      <c r="H286" s="81"/>
      <c r="I286" s="81"/>
      <c r="J286" s="81"/>
      <c r="K286" s="81"/>
      <c r="L286" s="81"/>
      <c r="M286" s="81"/>
      <c r="N286" s="81"/>
    </row>
    <row r="287" spans="3:14">
      <c r="C287" s="81"/>
      <c r="D287" s="81"/>
      <c r="E287" s="81"/>
      <c r="F287" s="81"/>
      <c r="G287" s="81"/>
      <c r="H287" s="81"/>
      <c r="I287" s="81"/>
      <c r="J287" s="81"/>
      <c r="K287" s="81"/>
      <c r="L287" s="81"/>
      <c r="M287" s="81"/>
      <c r="N287" s="81"/>
    </row>
    <row r="288" spans="3:14">
      <c r="C288" s="81"/>
      <c r="D288" s="81"/>
      <c r="E288" s="81"/>
      <c r="F288" s="81"/>
      <c r="G288" s="81"/>
      <c r="H288" s="81"/>
      <c r="I288" s="81"/>
      <c r="J288" s="81"/>
      <c r="K288" s="81"/>
      <c r="L288" s="81"/>
      <c r="M288" s="81"/>
      <c r="N288" s="81"/>
    </row>
    <row r="289" spans="3:14">
      <c r="C289" s="81"/>
      <c r="D289" s="81"/>
      <c r="E289" s="81"/>
      <c r="F289" s="81"/>
      <c r="G289" s="81"/>
      <c r="H289" s="81"/>
      <c r="I289" s="81"/>
      <c r="J289" s="81"/>
      <c r="K289" s="81"/>
      <c r="L289" s="81"/>
      <c r="M289" s="81"/>
      <c r="N289" s="81"/>
    </row>
    <row r="290" spans="3:14">
      <c r="C290" s="81"/>
      <c r="D290" s="81"/>
      <c r="E290" s="81"/>
      <c r="F290" s="81"/>
      <c r="G290" s="81"/>
      <c r="H290" s="81"/>
      <c r="I290" s="81"/>
      <c r="J290" s="81"/>
      <c r="K290" s="81"/>
      <c r="L290" s="81"/>
      <c r="M290" s="81"/>
      <c r="N290" s="81"/>
    </row>
    <row r="291" spans="3:14">
      <c r="C291" s="81"/>
      <c r="D291" s="81"/>
      <c r="E291" s="81"/>
      <c r="F291" s="81"/>
      <c r="G291" s="81"/>
      <c r="H291" s="81"/>
      <c r="I291" s="81"/>
      <c r="J291" s="81"/>
      <c r="K291" s="81"/>
      <c r="L291" s="81"/>
      <c r="M291" s="81"/>
      <c r="N291" s="81"/>
    </row>
    <row r="292" spans="3:14">
      <c r="C292" s="81"/>
      <c r="D292" s="81"/>
      <c r="E292" s="81"/>
      <c r="F292" s="81"/>
      <c r="G292" s="81"/>
      <c r="H292" s="81"/>
      <c r="I292" s="81"/>
      <c r="J292" s="81"/>
      <c r="K292" s="81"/>
      <c r="L292" s="81"/>
      <c r="M292" s="81"/>
      <c r="N292" s="81"/>
    </row>
    <row r="293" spans="3:14">
      <c r="C293" s="81"/>
      <c r="D293" s="81"/>
      <c r="E293" s="81"/>
      <c r="F293" s="81"/>
      <c r="G293" s="81"/>
      <c r="H293" s="81"/>
      <c r="I293" s="81"/>
      <c r="J293" s="81"/>
      <c r="K293" s="81"/>
      <c r="L293" s="81"/>
      <c r="M293" s="81"/>
      <c r="N293" s="81"/>
    </row>
    <row r="294" spans="3:14">
      <c r="C294" s="81"/>
      <c r="D294" s="81"/>
      <c r="E294" s="81"/>
      <c r="F294" s="81"/>
      <c r="G294" s="81"/>
      <c r="H294" s="81"/>
      <c r="I294" s="81"/>
      <c r="J294" s="81"/>
      <c r="K294" s="81"/>
      <c r="L294" s="81"/>
      <c r="M294" s="81"/>
      <c r="N294" s="81"/>
    </row>
    <row r="295" spans="3:14">
      <c r="C295" s="81"/>
      <c r="D295" s="81"/>
      <c r="E295" s="81"/>
      <c r="F295" s="81"/>
      <c r="G295" s="81"/>
      <c r="H295" s="81"/>
      <c r="I295" s="81"/>
      <c r="J295" s="81"/>
      <c r="K295" s="81"/>
      <c r="L295" s="81"/>
      <c r="M295" s="81"/>
      <c r="N295" s="81"/>
    </row>
    <row r="296" spans="3:14">
      <c r="C296" s="81"/>
      <c r="D296" s="81"/>
      <c r="E296" s="81"/>
      <c r="F296" s="81"/>
      <c r="G296" s="81"/>
      <c r="H296" s="81"/>
      <c r="I296" s="81"/>
      <c r="J296" s="81"/>
      <c r="K296" s="81"/>
      <c r="L296" s="81"/>
      <c r="M296" s="81"/>
      <c r="N296" s="81"/>
    </row>
    <row r="297" spans="3:14">
      <c r="C297" s="81"/>
      <c r="D297" s="81"/>
      <c r="E297" s="81"/>
      <c r="F297" s="81"/>
      <c r="G297" s="81"/>
      <c r="H297" s="81"/>
      <c r="I297" s="81"/>
      <c r="J297" s="81"/>
      <c r="K297" s="81"/>
      <c r="L297" s="81"/>
      <c r="M297" s="81"/>
      <c r="N297" s="81"/>
    </row>
    <row r="298" spans="3:14">
      <c r="C298" s="81"/>
      <c r="D298" s="81"/>
      <c r="E298" s="81"/>
      <c r="F298" s="81"/>
      <c r="G298" s="81"/>
      <c r="H298" s="81"/>
      <c r="I298" s="81"/>
      <c r="J298" s="81"/>
      <c r="K298" s="81"/>
      <c r="L298" s="81"/>
      <c r="M298" s="81"/>
      <c r="N298" s="81"/>
    </row>
    <row r="299" spans="3:14">
      <c r="C299" s="81"/>
      <c r="D299" s="81"/>
      <c r="E299" s="81"/>
      <c r="F299" s="81"/>
      <c r="G299" s="81"/>
      <c r="H299" s="81"/>
      <c r="I299" s="81"/>
      <c r="J299" s="81"/>
      <c r="K299" s="81"/>
      <c r="L299" s="81"/>
      <c r="M299" s="81"/>
      <c r="N299" s="81"/>
    </row>
    <row r="300" spans="3:14">
      <c r="C300" s="81"/>
      <c r="D300" s="81"/>
      <c r="E300" s="81"/>
      <c r="F300" s="81"/>
      <c r="G300" s="81"/>
      <c r="H300" s="81"/>
      <c r="I300" s="81"/>
      <c r="J300" s="81"/>
      <c r="K300" s="81"/>
      <c r="L300" s="81"/>
      <c r="M300" s="81"/>
      <c r="N300" s="81"/>
    </row>
    <row r="301" spans="3:14">
      <c r="C301" s="81"/>
      <c r="D301" s="81"/>
      <c r="E301" s="81"/>
      <c r="F301" s="81"/>
      <c r="G301" s="81"/>
      <c r="H301" s="81"/>
      <c r="I301" s="81"/>
      <c r="J301" s="81"/>
      <c r="K301" s="81"/>
      <c r="L301" s="81"/>
      <c r="M301" s="81"/>
      <c r="N301" s="81"/>
    </row>
    <row r="302" spans="3:14">
      <c r="C302" s="81"/>
      <c r="D302" s="81"/>
      <c r="E302" s="81"/>
      <c r="F302" s="81"/>
      <c r="G302" s="81"/>
      <c r="H302" s="81"/>
      <c r="I302" s="81"/>
      <c r="J302" s="81"/>
      <c r="K302" s="81"/>
      <c r="L302" s="81"/>
      <c r="M302" s="81"/>
      <c r="N302" s="81"/>
    </row>
    <row r="303" spans="3:14">
      <c r="C303" s="81"/>
      <c r="D303" s="81"/>
      <c r="E303" s="81"/>
      <c r="F303" s="81"/>
      <c r="G303" s="81"/>
      <c r="H303" s="81"/>
      <c r="I303" s="81"/>
      <c r="J303" s="81"/>
      <c r="K303" s="81"/>
      <c r="L303" s="81"/>
      <c r="M303" s="81"/>
      <c r="N303" s="81"/>
    </row>
    <row r="304" spans="3:14">
      <c r="C304" s="81"/>
      <c r="D304" s="81"/>
      <c r="E304" s="81"/>
      <c r="F304" s="81"/>
      <c r="G304" s="81"/>
      <c r="H304" s="81"/>
      <c r="I304" s="81"/>
      <c r="J304" s="81"/>
      <c r="K304" s="81"/>
      <c r="L304" s="81"/>
      <c r="M304" s="81"/>
      <c r="N304" s="81"/>
    </row>
    <row r="305" spans="3:14">
      <c r="C305" s="81"/>
      <c r="D305" s="81"/>
      <c r="E305" s="81"/>
      <c r="F305" s="81"/>
      <c r="G305" s="81"/>
      <c r="H305" s="81"/>
      <c r="I305" s="81"/>
      <c r="J305" s="81"/>
      <c r="K305" s="81"/>
      <c r="L305" s="81"/>
      <c r="M305" s="81"/>
      <c r="N305" s="81"/>
    </row>
    <row r="306" spans="3:14">
      <c r="C306" s="81"/>
      <c r="D306" s="81"/>
      <c r="E306" s="81"/>
      <c r="F306" s="81"/>
      <c r="G306" s="81"/>
      <c r="H306" s="81"/>
      <c r="I306" s="81"/>
      <c r="J306" s="81"/>
      <c r="K306" s="81"/>
      <c r="L306" s="81"/>
      <c r="M306" s="81"/>
      <c r="N306" s="81"/>
    </row>
    <row r="307" spans="3:14">
      <c r="C307" s="81"/>
      <c r="D307" s="81"/>
      <c r="E307" s="81"/>
      <c r="F307" s="81"/>
      <c r="G307" s="81"/>
      <c r="H307" s="81"/>
      <c r="I307" s="81"/>
      <c r="J307" s="81"/>
      <c r="K307" s="81"/>
      <c r="L307" s="81"/>
      <c r="M307" s="81"/>
      <c r="N307" s="81"/>
    </row>
    <row r="308" spans="3:14">
      <c r="C308" s="81"/>
      <c r="D308" s="81"/>
      <c r="E308" s="81"/>
      <c r="F308" s="81"/>
      <c r="G308" s="81"/>
      <c r="H308" s="81"/>
      <c r="I308" s="81"/>
      <c r="J308" s="81"/>
      <c r="K308" s="81"/>
      <c r="L308" s="81"/>
      <c r="M308" s="81"/>
      <c r="N308" s="81"/>
    </row>
    <row r="309" spans="3:14">
      <c r="C309" s="81"/>
      <c r="D309" s="81"/>
      <c r="E309" s="81"/>
      <c r="F309" s="81"/>
      <c r="G309" s="81"/>
      <c r="H309" s="81"/>
      <c r="I309" s="81"/>
      <c r="J309" s="81"/>
      <c r="K309" s="81"/>
      <c r="L309" s="81"/>
      <c r="M309" s="81"/>
      <c r="N309" s="81"/>
    </row>
    <row r="310" spans="3:14">
      <c r="C310" s="81"/>
      <c r="D310" s="81"/>
      <c r="E310" s="81"/>
      <c r="F310" s="81"/>
      <c r="G310" s="81"/>
      <c r="H310" s="81"/>
      <c r="I310" s="81"/>
      <c r="J310" s="81"/>
      <c r="K310" s="81"/>
      <c r="L310" s="81"/>
      <c r="M310" s="81"/>
      <c r="N310" s="81"/>
    </row>
    <row r="311" spans="3:14">
      <c r="C311" s="81"/>
      <c r="D311" s="81"/>
      <c r="E311" s="81"/>
      <c r="F311" s="81"/>
      <c r="G311" s="81"/>
      <c r="H311" s="81"/>
      <c r="I311" s="81"/>
      <c r="J311" s="81"/>
      <c r="K311" s="81"/>
      <c r="L311" s="81"/>
      <c r="M311" s="81"/>
      <c r="N311" s="81"/>
    </row>
    <row r="312" spans="3:14">
      <c r="C312" s="81"/>
      <c r="D312" s="81"/>
      <c r="E312" s="81"/>
      <c r="F312" s="81"/>
      <c r="G312" s="81"/>
      <c r="H312" s="81"/>
      <c r="I312" s="81"/>
      <c r="J312" s="81"/>
      <c r="K312" s="81"/>
      <c r="L312" s="81"/>
      <c r="M312" s="81"/>
      <c r="N312" s="81"/>
    </row>
    <row r="313" spans="3:14">
      <c r="C313" s="81"/>
      <c r="D313" s="81"/>
      <c r="E313" s="81"/>
      <c r="F313" s="81"/>
      <c r="G313" s="81"/>
      <c r="H313" s="81"/>
      <c r="I313" s="81"/>
      <c r="J313" s="81"/>
      <c r="K313" s="81"/>
      <c r="L313" s="81"/>
      <c r="M313" s="81"/>
      <c r="N313" s="81"/>
    </row>
    <row r="314" spans="3:14">
      <c r="C314" s="81"/>
      <c r="D314" s="81"/>
      <c r="E314" s="81"/>
      <c r="F314" s="81"/>
      <c r="G314" s="81"/>
      <c r="H314" s="81"/>
      <c r="I314" s="81"/>
      <c r="J314" s="81"/>
      <c r="K314" s="81"/>
      <c r="L314" s="81"/>
      <c r="M314" s="81"/>
      <c r="N314" s="81"/>
    </row>
    <row r="315" spans="3:14">
      <c r="C315" s="81"/>
      <c r="D315" s="81"/>
      <c r="E315" s="81"/>
      <c r="F315" s="81"/>
      <c r="G315" s="81"/>
      <c r="H315" s="81"/>
      <c r="I315" s="81"/>
      <c r="J315" s="81"/>
      <c r="K315" s="81"/>
      <c r="L315" s="81"/>
      <c r="M315" s="81"/>
      <c r="N315" s="81"/>
    </row>
    <row r="316" spans="3:14">
      <c r="C316" s="81"/>
      <c r="D316" s="81"/>
      <c r="E316" s="81"/>
      <c r="F316" s="81"/>
      <c r="G316" s="81"/>
      <c r="H316" s="81"/>
      <c r="I316" s="81"/>
      <c r="J316" s="81"/>
      <c r="K316" s="81"/>
      <c r="L316" s="81"/>
      <c r="M316" s="81"/>
      <c r="N316" s="81"/>
    </row>
    <row r="317" spans="3:14">
      <c r="C317" s="81"/>
      <c r="D317" s="81"/>
      <c r="E317" s="81"/>
      <c r="F317" s="81"/>
      <c r="G317" s="81"/>
      <c r="H317" s="81"/>
      <c r="I317" s="81"/>
      <c r="J317" s="81"/>
      <c r="K317" s="81"/>
      <c r="L317" s="81"/>
      <c r="M317" s="81"/>
      <c r="N317" s="81"/>
    </row>
    <row r="318" spans="3:14">
      <c r="C318" s="81"/>
      <c r="D318" s="81"/>
      <c r="E318" s="81"/>
      <c r="F318" s="81"/>
      <c r="G318" s="81"/>
      <c r="H318" s="81"/>
      <c r="I318" s="81"/>
      <c r="J318" s="81"/>
      <c r="K318" s="81"/>
      <c r="L318" s="81"/>
      <c r="M318" s="81"/>
      <c r="N318" s="81"/>
    </row>
    <row r="319" spans="3:14">
      <c r="C319" s="81"/>
      <c r="D319" s="81"/>
      <c r="E319" s="81"/>
      <c r="F319" s="81"/>
      <c r="G319" s="81"/>
      <c r="H319" s="81"/>
      <c r="I319" s="81"/>
      <c r="J319" s="81"/>
      <c r="K319" s="81"/>
      <c r="L319" s="81"/>
      <c r="M319" s="81"/>
      <c r="N319" s="81"/>
    </row>
    <row r="320" spans="3:14">
      <c r="C320" s="81"/>
      <c r="D320" s="81"/>
      <c r="E320" s="81"/>
      <c r="F320" s="81"/>
      <c r="G320" s="81"/>
      <c r="H320" s="81"/>
      <c r="I320" s="81"/>
      <c r="J320" s="81"/>
      <c r="K320" s="81"/>
      <c r="L320" s="81"/>
      <c r="M320" s="81"/>
      <c r="N320" s="81"/>
    </row>
    <row r="321" spans="3:14">
      <c r="C321" s="81"/>
      <c r="D321" s="81"/>
      <c r="E321" s="81"/>
      <c r="F321" s="81"/>
      <c r="G321" s="81"/>
      <c r="H321" s="81"/>
      <c r="I321" s="81"/>
      <c r="J321" s="81"/>
      <c r="K321" s="81"/>
      <c r="L321" s="81"/>
      <c r="M321" s="81"/>
      <c r="N321" s="81"/>
    </row>
    <row r="322" spans="3:14">
      <c r="C322" s="81"/>
      <c r="D322" s="81"/>
      <c r="E322" s="81"/>
      <c r="F322" s="81"/>
      <c r="G322" s="81"/>
      <c r="H322" s="81"/>
      <c r="I322" s="81"/>
      <c r="J322" s="81"/>
      <c r="K322" s="81"/>
      <c r="L322" s="81"/>
      <c r="M322" s="81"/>
      <c r="N322" s="81"/>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13" t="s">
        <v>74</v>
      </c>
      <c r="B1" s="213"/>
      <c r="C1" s="213"/>
      <c r="D1" s="213"/>
      <c r="E1" s="213"/>
      <c r="F1" s="213"/>
      <c r="G1" s="213"/>
      <c r="H1" s="213"/>
      <c r="I1" s="213"/>
      <c r="J1" s="213"/>
      <c r="K1" s="213"/>
      <c r="L1" s="213"/>
      <c r="M1" s="213"/>
      <c r="N1" s="213"/>
      <c r="O1" s="213"/>
      <c r="P1" s="213"/>
      <c r="Q1" s="213"/>
    </row>
    <row r="2" spans="1:19" ht="15.75">
      <c r="A2" s="214" t="s">
        <v>30</v>
      </c>
      <c r="B2" s="214"/>
      <c r="C2" s="214"/>
      <c r="D2" s="214"/>
      <c r="E2" s="214"/>
      <c r="F2" s="214"/>
      <c r="G2" s="214"/>
      <c r="H2" s="214"/>
      <c r="I2" s="214"/>
      <c r="J2" s="214"/>
      <c r="K2" s="214"/>
      <c r="L2" s="214"/>
      <c r="M2" s="214"/>
      <c r="N2" s="214"/>
      <c r="O2" s="214"/>
      <c r="P2" s="214"/>
      <c r="Q2" s="214"/>
    </row>
    <row r="3" spans="1:19">
      <c r="A3" s="62" t="s">
        <v>0</v>
      </c>
    </row>
    <row r="4" spans="1:19">
      <c r="A4" s="9" t="s">
        <v>1</v>
      </c>
      <c r="F4" s="89"/>
      <c r="G4" s="89"/>
      <c r="H4" s="89"/>
      <c r="I4" s="89"/>
      <c r="J4" s="89"/>
      <c r="K4" s="89"/>
      <c r="L4" s="89"/>
      <c r="M4" s="89"/>
      <c r="N4" s="89"/>
      <c r="O4" s="89"/>
      <c r="P4" s="89"/>
      <c r="Q4" s="89"/>
    </row>
    <row r="5" spans="1:19">
      <c r="B5" s="78" t="s">
        <v>75</v>
      </c>
      <c r="C5" s="61"/>
      <c r="D5" s="215" t="s">
        <v>9</v>
      </c>
      <c r="E5" s="215"/>
      <c r="F5" s="90">
        <v>43496</v>
      </c>
      <c r="G5" s="90">
        <f>EOMONTH(F5,1)</f>
        <v>43524</v>
      </c>
      <c r="H5" s="90">
        <f t="shared" ref="H5:Q5" si="0">EOMONTH(G5,1)</f>
        <v>43555</v>
      </c>
      <c r="I5" s="90">
        <f t="shared" si="0"/>
        <v>43585</v>
      </c>
      <c r="J5" s="90">
        <f t="shared" si="0"/>
        <v>43616</v>
      </c>
      <c r="K5" s="90">
        <f t="shared" si="0"/>
        <v>43646</v>
      </c>
      <c r="L5" s="90">
        <f t="shared" si="0"/>
        <v>43677</v>
      </c>
      <c r="M5" s="90">
        <f t="shared" si="0"/>
        <v>43708</v>
      </c>
      <c r="N5" s="90">
        <f t="shared" si="0"/>
        <v>43738</v>
      </c>
      <c r="O5" s="90">
        <f t="shared" si="0"/>
        <v>43769</v>
      </c>
      <c r="P5" s="90">
        <f t="shared" si="0"/>
        <v>43799</v>
      </c>
      <c r="Q5" s="90">
        <f t="shared" si="0"/>
        <v>43830</v>
      </c>
    </row>
    <row r="6" spans="1:19" ht="15.95" customHeight="1">
      <c r="A6" s="9">
        <v>1</v>
      </c>
      <c r="B6" s="2" t="s">
        <v>3</v>
      </c>
      <c r="D6" s="216">
        <f>SUM(F6:Q6)</f>
        <v>51433318</v>
      </c>
      <c r="E6" s="216"/>
      <c r="F6" s="15">
        <f>'WA Monthly'!E23</f>
        <v>13287337</v>
      </c>
      <c r="G6" s="15">
        <f>'WA Monthly'!F23</f>
        <v>12471420</v>
      </c>
      <c r="H6" s="15">
        <f>'WA Monthly'!G23</f>
        <v>15020181</v>
      </c>
      <c r="I6" s="15">
        <f>'WA Monthly'!H23</f>
        <v>10654380</v>
      </c>
      <c r="J6" s="15">
        <f>'WA Monthly'!I23</f>
        <v>0</v>
      </c>
      <c r="K6" s="15">
        <f>'WA Monthly'!J23</f>
        <v>0</v>
      </c>
      <c r="L6" s="15">
        <f>'WA Monthly'!K23</f>
        <v>0</v>
      </c>
      <c r="M6" s="15">
        <f>'WA Monthly'!L23</f>
        <v>0</v>
      </c>
      <c r="N6" s="15">
        <f>'WA Monthly'!M23</f>
        <v>0</v>
      </c>
      <c r="O6" s="15">
        <f>'WA Monthly'!N23</f>
        <v>0</v>
      </c>
      <c r="P6" s="15">
        <f>'WA Monthly'!O23</f>
        <v>0</v>
      </c>
      <c r="Q6" s="15">
        <f>'WA Monthly'!P23</f>
        <v>0</v>
      </c>
    </row>
    <row r="7" spans="1:19" ht="15.95" customHeight="1">
      <c r="A7" s="9">
        <f t="shared" ref="A7:A13" si="1">A6+1</f>
        <v>2</v>
      </c>
      <c r="B7" s="2" t="s">
        <v>6</v>
      </c>
      <c r="D7" s="210">
        <f t="shared" ref="D7:D13" si="2">SUM(F7:Q7)</f>
        <v>-29404782</v>
      </c>
      <c r="E7" s="210"/>
      <c r="F7" s="15">
        <f>'WA Monthly'!E46</f>
        <v>-6954796</v>
      </c>
      <c r="G7" s="15">
        <f>'WA Monthly'!F46</f>
        <v>-3700447</v>
      </c>
      <c r="H7" s="15">
        <f>'WA Monthly'!G46</f>
        <v>-7976187</v>
      </c>
      <c r="I7" s="15">
        <f>'WA Monthly'!H46</f>
        <v>-10773352</v>
      </c>
      <c r="J7" s="15">
        <f>'WA Monthly'!I46</f>
        <v>0</v>
      </c>
      <c r="K7" s="15">
        <f>'WA Monthly'!J46</f>
        <v>0</v>
      </c>
      <c r="L7" s="15">
        <f>'WA Monthly'!K46</f>
        <v>0</v>
      </c>
      <c r="M7" s="15">
        <f>'WA Monthly'!L46</f>
        <v>0</v>
      </c>
      <c r="N7" s="15">
        <f>'WA Monthly'!M46</f>
        <v>0</v>
      </c>
      <c r="O7" s="15">
        <f>'WA Monthly'!N46</f>
        <v>0</v>
      </c>
      <c r="P7" s="15">
        <f>'WA Monthly'!O46</f>
        <v>0</v>
      </c>
      <c r="Q7" s="15">
        <f>'WA Monthly'!P46</f>
        <v>0</v>
      </c>
    </row>
    <row r="8" spans="1:19" ht="15.95" customHeight="1">
      <c r="A8" s="9">
        <f t="shared" si="1"/>
        <v>3</v>
      </c>
      <c r="B8" s="2" t="s">
        <v>4</v>
      </c>
      <c r="D8" s="209">
        <f t="shared" si="2"/>
        <v>9217586</v>
      </c>
      <c r="E8" s="209"/>
      <c r="F8" s="15">
        <f>'WA Monthly'!E64</f>
        <v>2866380</v>
      </c>
      <c r="G8" s="15">
        <f>'WA Monthly'!F64</f>
        <v>1489795</v>
      </c>
      <c r="H8" s="15">
        <f>'WA Monthly'!G64</f>
        <v>2867639</v>
      </c>
      <c r="I8" s="15">
        <f>'WA Monthly'!H64</f>
        <v>1993772</v>
      </c>
      <c r="J8" s="15">
        <f>'WA Monthly'!I64</f>
        <v>0</v>
      </c>
      <c r="K8" s="15">
        <f>'WA Monthly'!J64</f>
        <v>0</v>
      </c>
      <c r="L8" s="15">
        <f>'WA Monthly'!K64</f>
        <v>0</v>
      </c>
      <c r="M8" s="15">
        <f>'WA Monthly'!L64</f>
        <v>0</v>
      </c>
      <c r="N8" s="15">
        <f>'WA Monthly'!M64</f>
        <v>0</v>
      </c>
      <c r="O8" s="15">
        <f>'WA Monthly'!N64</f>
        <v>0</v>
      </c>
      <c r="P8" s="15">
        <f>'WA Monthly'!O64</f>
        <v>0</v>
      </c>
      <c r="Q8" s="15">
        <f>'WA Monthly'!P64</f>
        <v>0</v>
      </c>
    </row>
    <row r="9" spans="1:19" ht="15.95" customHeight="1">
      <c r="A9" s="9">
        <f t="shared" si="1"/>
        <v>4</v>
      </c>
      <c r="B9" s="2" t="s">
        <v>5</v>
      </c>
      <c r="D9" s="209">
        <f t="shared" si="2"/>
        <v>28945644</v>
      </c>
      <c r="E9" s="209"/>
      <c r="F9" s="15">
        <f>'WA Monthly'!E81</f>
        <v>5520134</v>
      </c>
      <c r="G9" s="15">
        <f>'WA Monthly'!F81</f>
        <v>12385807</v>
      </c>
      <c r="H9" s="15">
        <f>'WA Monthly'!G81</f>
        <v>7672060</v>
      </c>
      <c r="I9" s="15">
        <f>'WA Monthly'!H81</f>
        <v>3367643</v>
      </c>
      <c r="J9" s="15">
        <f>'WA Monthly'!I81</f>
        <v>0</v>
      </c>
      <c r="K9" s="15">
        <f>'WA Monthly'!J81</f>
        <v>0</v>
      </c>
      <c r="L9" s="15">
        <f>'WA Monthly'!K81</f>
        <v>0</v>
      </c>
      <c r="M9" s="15">
        <f>'WA Monthly'!L81</f>
        <v>0</v>
      </c>
      <c r="N9" s="15">
        <f>'WA Monthly'!M81</f>
        <v>0</v>
      </c>
      <c r="O9" s="15">
        <f>'WA Monthly'!N81</f>
        <v>0</v>
      </c>
      <c r="P9" s="15">
        <f>'WA Monthly'!O81</f>
        <v>0</v>
      </c>
      <c r="Q9" s="15">
        <f>'WA Monthly'!P81</f>
        <v>0</v>
      </c>
    </row>
    <row r="10" spans="1:19" ht="15.95" customHeight="1">
      <c r="A10" s="9">
        <f t="shared" si="1"/>
        <v>5</v>
      </c>
      <c r="B10" s="2" t="s">
        <v>42</v>
      </c>
      <c r="C10" s="1"/>
      <c r="D10" s="210">
        <f t="shared" si="2"/>
        <v>-6822608</v>
      </c>
      <c r="E10" s="210"/>
      <c r="F10" s="15">
        <f>'WA Monthly'!E95</f>
        <v>-1387701</v>
      </c>
      <c r="G10" s="15">
        <f>'WA Monthly'!F95</f>
        <v>-1693902</v>
      </c>
      <c r="H10" s="15">
        <f>'WA Monthly'!G95</f>
        <v>-2209602</v>
      </c>
      <c r="I10" s="15">
        <f>'WA Monthly'!H95</f>
        <v>-1531403</v>
      </c>
      <c r="J10" s="15">
        <f>'WA Monthly'!I95</f>
        <v>0</v>
      </c>
      <c r="K10" s="15">
        <f>'WA Monthly'!J95</f>
        <v>0</v>
      </c>
      <c r="L10" s="15">
        <f>'WA Monthly'!K95</f>
        <v>0</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9">
        <f t="shared" si="2"/>
        <v>6145363</v>
      </c>
      <c r="E11" s="209"/>
      <c r="F11" s="15">
        <f>'WA Monthly'!E101</f>
        <v>1471955</v>
      </c>
      <c r="G11" s="15">
        <f>'WA Monthly'!F101</f>
        <v>1538740</v>
      </c>
      <c r="H11" s="15">
        <f>'WA Monthly'!G101</f>
        <v>1681541</v>
      </c>
      <c r="I11" s="15">
        <f>'WA Monthly'!H101</f>
        <v>1453127</v>
      </c>
      <c r="J11" s="15">
        <f>'WA Monthly'!I101</f>
        <v>0</v>
      </c>
      <c r="K11" s="15">
        <f>'WA Monthly'!J101</f>
        <v>0</v>
      </c>
      <c r="L11" s="15">
        <f>'WA Monthly'!K101</f>
        <v>0</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9">
        <f t="shared" si="2"/>
        <v>292324</v>
      </c>
      <c r="E12" s="209"/>
      <c r="F12" s="15">
        <f>'WA Monthly'!E108</f>
        <v>40867</v>
      </c>
      <c r="G12" s="15">
        <f>'WA Monthly'!F108</f>
        <v>37768</v>
      </c>
      <c r="H12" s="15">
        <f>'WA Monthly'!G108</f>
        <v>91606</v>
      </c>
      <c r="I12" s="15">
        <f>'WA Monthly'!H108</f>
        <v>122083</v>
      </c>
      <c r="J12" s="15">
        <f>'WA Monthly'!I108</f>
        <v>0</v>
      </c>
      <c r="K12" s="15">
        <f>'WA Monthly'!J108</f>
        <v>0</v>
      </c>
      <c r="L12" s="15">
        <f>'WA Monthly'!K108</f>
        <v>0</v>
      </c>
      <c r="M12" s="15">
        <f>'WA Monthly'!L108</f>
        <v>0</v>
      </c>
      <c r="N12" s="15">
        <f>'WA Monthly'!M108</f>
        <v>0</v>
      </c>
      <c r="O12" s="15">
        <f>'WA Monthly'!N108</f>
        <v>0</v>
      </c>
      <c r="P12" s="15">
        <f>'WA Monthly'!O108</f>
        <v>0</v>
      </c>
      <c r="Q12" s="15">
        <f>'WA Monthly'!P108</f>
        <v>0</v>
      </c>
    </row>
    <row r="13" spans="1:19" ht="15.95" customHeight="1">
      <c r="A13" s="9">
        <f t="shared" si="1"/>
        <v>8</v>
      </c>
      <c r="B13" s="91" t="s">
        <v>10</v>
      </c>
      <c r="C13" s="91"/>
      <c r="D13" s="202">
        <f t="shared" si="2"/>
        <v>59806845</v>
      </c>
      <c r="E13" s="202"/>
      <c r="F13" s="92">
        <f t="shared" ref="F13:Q13" si="3">SUM(F6:F12)</f>
        <v>14844176</v>
      </c>
      <c r="G13" s="92">
        <f t="shared" si="3"/>
        <v>22529181</v>
      </c>
      <c r="H13" s="92">
        <f t="shared" si="3"/>
        <v>17147238</v>
      </c>
      <c r="I13" s="92">
        <f t="shared" si="3"/>
        <v>5286250</v>
      </c>
      <c r="J13" s="92">
        <f t="shared" si="3"/>
        <v>0</v>
      </c>
      <c r="K13" s="92">
        <f t="shared" si="3"/>
        <v>0</v>
      </c>
      <c r="L13" s="92">
        <f t="shared" si="3"/>
        <v>0</v>
      </c>
      <c r="M13" s="92">
        <f t="shared" si="3"/>
        <v>0</v>
      </c>
      <c r="N13" s="92">
        <f t="shared" si="3"/>
        <v>0</v>
      </c>
      <c r="O13" s="92">
        <f t="shared" si="3"/>
        <v>0</v>
      </c>
      <c r="P13" s="92">
        <f t="shared" si="3"/>
        <v>0</v>
      </c>
      <c r="Q13" s="92">
        <f t="shared" si="3"/>
        <v>0</v>
      </c>
    </row>
    <row r="14" spans="1:19" ht="37.5" customHeight="1">
      <c r="B14" s="78" t="s">
        <v>11</v>
      </c>
      <c r="C14" s="61"/>
      <c r="D14" s="211" t="s">
        <v>192</v>
      </c>
      <c r="E14" s="212"/>
      <c r="F14" s="93">
        <f>F5</f>
        <v>43496</v>
      </c>
      <c r="G14" s="93">
        <f>G5</f>
        <v>43524</v>
      </c>
      <c r="H14" s="93">
        <f t="shared" ref="H14:Q14" si="4">H5</f>
        <v>43555</v>
      </c>
      <c r="I14" s="93">
        <f t="shared" si="4"/>
        <v>43585</v>
      </c>
      <c r="J14" s="93">
        <f t="shared" si="4"/>
        <v>43616</v>
      </c>
      <c r="K14" s="93">
        <f t="shared" si="4"/>
        <v>43646</v>
      </c>
      <c r="L14" s="93">
        <f t="shared" si="4"/>
        <v>43677</v>
      </c>
      <c r="M14" s="93">
        <f t="shared" si="4"/>
        <v>43708</v>
      </c>
      <c r="N14" s="93">
        <f t="shared" si="4"/>
        <v>43738</v>
      </c>
      <c r="O14" s="93">
        <f t="shared" si="4"/>
        <v>43769</v>
      </c>
      <c r="P14" s="93">
        <f t="shared" si="4"/>
        <v>43799</v>
      </c>
      <c r="Q14" s="93">
        <f t="shared" si="4"/>
        <v>43830</v>
      </c>
    </row>
    <row r="15" spans="1:19" ht="15.95" customHeight="1">
      <c r="A15" s="9">
        <f>A13+1</f>
        <v>9</v>
      </c>
      <c r="B15" s="2" t="s">
        <v>3</v>
      </c>
      <c r="C15" s="1"/>
      <c r="D15" s="208">
        <f t="shared" ref="D15:D22" si="5">SUM(F15:I15)</f>
        <v>42722811</v>
      </c>
      <c r="E15" s="208"/>
      <c r="F15" s="47">
        <f>'Input Tab'!C5</f>
        <v>11810646</v>
      </c>
      <c r="G15" s="47">
        <f>'Input Tab'!D5</f>
        <v>10948943</v>
      </c>
      <c r="H15" s="47">
        <f>'Input Tab'!E5</f>
        <v>10208756</v>
      </c>
      <c r="I15" s="47">
        <f>'Input Tab'!F5</f>
        <v>9754466</v>
      </c>
      <c r="J15" s="47">
        <f>'Input Tab'!G5</f>
        <v>7204007</v>
      </c>
      <c r="K15" s="47">
        <f>'Input Tab'!H5</f>
        <v>6832768</v>
      </c>
      <c r="L15" s="47">
        <f>'Input Tab'!I5</f>
        <v>7367141</v>
      </c>
      <c r="M15" s="47">
        <f>'Input Tab'!J5</f>
        <v>8064916</v>
      </c>
      <c r="N15" s="47">
        <f>'Input Tab'!K5</f>
        <v>7448796</v>
      </c>
      <c r="O15" s="47">
        <f>'Input Tab'!L5</f>
        <v>7999787</v>
      </c>
      <c r="P15" s="47">
        <f>'Input Tab'!M5</f>
        <v>11642227</v>
      </c>
      <c r="Q15" s="47">
        <f>'Input Tab'!N5</f>
        <v>12112599</v>
      </c>
      <c r="R15" s="43"/>
      <c r="S15" s="6"/>
    </row>
    <row r="16" spans="1:19" ht="15.95" customHeight="1">
      <c r="A16" s="9">
        <f t="shared" ref="A16:A33" si="6">A15+1</f>
        <v>10</v>
      </c>
      <c r="B16" s="2" t="s">
        <v>6</v>
      </c>
      <c r="C16" s="1"/>
      <c r="D16" s="208">
        <f t="shared" si="5"/>
        <v>-19678701</v>
      </c>
      <c r="E16" s="208"/>
      <c r="F16" s="94">
        <f>'Input Tab'!C6</f>
        <v>-5410854</v>
      </c>
      <c r="G16" s="94">
        <f>'Input Tab'!D6</f>
        <v>-3688134</v>
      </c>
      <c r="H16" s="94">
        <f>'Input Tab'!E6</f>
        <v>-4363041</v>
      </c>
      <c r="I16" s="94">
        <f>'Input Tab'!F6</f>
        <v>-6216672</v>
      </c>
      <c r="J16" s="94">
        <f>'Input Tab'!G6</f>
        <v>-3992970</v>
      </c>
      <c r="K16" s="94">
        <f>'Input Tab'!H6</f>
        <v>-3782256</v>
      </c>
      <c r="L16" s="94">
        <f>'Input Tab'!I6</f>
        <v>-5325599</v>
      </c>
      <c r="M16" s="94">
        <f>'Input Tab'!J6</f>
        <v>-3215251</v>
      </c>
      <c r="N16" s="94">
        <f>'Input Tab'!K6</f>
        <v>-4016772</v>
      </c>
      <c r="O16" s="94">
        <f>'Input Tab'!L6</f>
        <v>-3304259</v>
      </c>
      <c r="P16" s="94">
        <f>'Input Tab'!M6</f>
        <v>-4468025</v>
      </c>
      <c r="Q16" s="94">
        <f>'Input Tab'!N6</f>
        <v>-6320023</v>
      </c>
      <c r="R16" s="43"/>
      <c r="S16" s="6"/>
    </row>
    <row r="17" spans="1:19" ht="15.95" customHeight="1">
      <c r="A17" s="9">
        <f>A16+1</f>
        <v>11</v>
      </c>
      <c r="B17" s="2" t="s">
        <v>4</v>
      </c>
      <c r="C17" s="1"/>
      <c r="D17" s="208">
        <f t="shared" si="5"/>
        <v>10824291</v>
      </c>
      <c r="E17" s="208"/>
      <c r="F17" s="47">
        <f>'Input Tab'!C7</f>
        <v>2892906</v>
      </c>
      <c r="G17" s="47">
        <f>'Input Tab'!D7</f>
        <v>2671552</v>
      </c>
      <c r="H17" s="47">
        <f>'Input Tab'!E7</f>
        <v>2768328</v>
      </c>
      <c r="I17" s="47">
        <f>'Input Tab'!F7</f>
        <v>2491505</v>
      </c>
      <c r="J17" s="47">
        <f>'Input Tab'!G7</f>
        <v>1551263</v>
      </c>
      <c r="K17" s="47">
        <f>'Input Tab'!H7</f>
        <v>1358751</v>
      </c>
      <c r="L17" s="47">
        <f>'Input Tab'!I7</f>
        <v>2219592</v>
      </c>
      <c r="M17" s="47">
        <f>'Input Tab'!J7</f>
        <v>2478125</v>
      </c>
      <c r="N17" s="47">
        <f>'Input Tab'!K7</f>
        <v>2578207</v>
      </c>
      <c r="O17" s="47">
        <f>'Input Tab'!L7</f>
        <v>2592987</v>
      </c>
      <c r="P17" s="47">
        <f>'Input Tab'!M7</f>
        <v>2566833</v>
      </c>
      <c r="Q17" s="47">
        <f>'Input Tab'!N7</f>
        <v>2703884</v>
      </c>
      <c r="R17" s="43"/>
      <c r="S17" s="6"/>
    </row>
    <row r="18" spans="1:19" ht="15.95" customHeight="1">
      <c r="A18" s="9">
        <f t="shared" si="6"/>
        <v>12</v>
      </c>
      <c r="B18" s="2" t="s">
        <v>5</v>
      </c>
      <c r="C18" s="1"/>
      <c r="D18" s="208">
        <f t="shared" si="5"/>
        <v>26391569</v>
      </c>
      <c r="E18" s="208"/>
      <c r="F18" s="47">
        <f>'Input Tab'!C8</f>
        <v>8800467</v>
      </c>
      <c r="G18" s="47">
        <f>'Input Tab'!D8</f>
        <v>7046200</v>
      </c>
      <c r="H18" s="47">
        <f>'Input Tab'!E8</f>
        <v>6405717</v>
      </c>
      <c r="I18" s="47">
        <f>'Input Tab'!F8</f>
        <v>4139185</v>
      </c>
      <c r="J18" s="47">
        <f>'Input Tab'!G8</f>
        <v>1426182</v>
      </c>
      <c r="K18" s="47">
        <f>'Input Tab'!H8</f>
        <v>1698327</v>
      </c>
      <c r="L18" s="47">
        <f>'Input Tab'!I8</f>
        <v>5653252</v>
      </c>
      <c r="M18" s="47">
        <f>'Input Tab'!J8</f>
        <v>7341418</v>
      </c>
      <c r="N18" s="47">
        <f>'Input Tab'!K8</f>
        <v>6493558</v>
      </c>
      <c r="O18" s="47">
        <f>'Input Tab'!L8</f>
        <v>6103470</v>
      </c>
      <c r="P18" s="47">
        <f>'Input Tab'!M8</f>
        <v>6561954</v>
      </c>
      <c r="Q18" s="47">
        <f>'Input Tab'!N8</f>
        <v>8397561</v>
      </c>
      <c r="R18" s="43"/>
    </row>
    <row r="19" spans="1:19" ht="15.95" customHeight="1">
      <c r="A19" s="9">
        <f t="shared" si="6"/>
        <v>13</v>
      </c>
      <c r="B19" s="2" t="s">
        <v>42</v>
      </c>
      <c r="C19" s="1"/>
      <c r="D19" s="208">
        <f t="shared" si="5"/>
        <v>-4559595</v>
      </c>
      <c r="E19" s="208"/>
      <c r="F19" s="94">
        <f>'Input Tab'!C9</f>
        <v>-1062694</v>
      </c>
      <c r="G19" s="94">
        <f>'Input Tab'!D9</f>
        <v>-1178481</v>
      </c>
      <c r="H19" s="94">
        <f>'Input Tab'!E9</f>
        <v>-1177115</v>
      </c>
      <c r="I19" s="94">
        <f>'Input Tab'!F9</f>
        <v>-1141305</v>
      </c>
      <c r="J19" s="94">
        <f>'Input Tab'!G9</f>
        <v>-1253488</v>
      </c>
      <c r="K19" s="94">
        <f>'Input Tab'!H9</f>
        <v>-1398529</v>
      </c>
      <c r="L19" s="94">
        <f>'Input Tab'!I9</f>
        <v>-1450378</v>
      </c>
      <c r="M19" s="94">
        <f>'Input Tab'!J9</f>
        <v>-1346819</v>
      </c>
      <c r="N19" s="94">
        <f>'Input Tab'!K9</f>
        <v>-1372213</v>
      </c>
      <c r="O19" s="94">
        <f>'Input Tab'!L9</f>
        <v>-1319316</v>
      </c>
      <c r="P19" s="94">
        <f>'Input Tab'!M9</f>
        <v>-1257650</v>
      </c>
      <c r="Q19" s="94">
        <f>'Input Tab'!N9</f>
        <v>-1191496</v>
      </c>
      <c r="R19" s="43"/>
    </row>
    <row r="20" spans="1:19" ht="15.95" customHeight="1">
      <c r="A20" s="9">
        <f t="shared" si="6"/>
        <v>14</v>
      </c>
      <c r="B20" s="2" t="s">
        <v>36</v>
      </c>
      <c r="C20" s="1"/>
      <c r="D20" s="208">
        <f t="shared" si="5"/>
        <v>5885840</v>
      </c>
      <c r="E20" s="208"/>
      <c r="F20" s="95">
        <f>'Input Tab'!C10</f>
        <v>1386858</v>
      </c>
      <c r="G20" s="95">
        <f>'Input Tab'!D10</f>
        <v>1618473</v>
      </c>
      <c r="H20" s="95">
        <f>'Input Tab'!E10</f>
        <v>1456728</v>
      </c>
      <c r="I20" s="95">
        <f>'Input Tab'!F10</f>
        <v>1423781</v>
      </c>
      <c r="J20" s="95">
        <f>'Input Tab'!G10</f>
        <v>1394142</v>
      </c>
      <c r="K20" s="95">
        <f>'Input Tab'!H10</f>
        <v>1391308</v>
      </c>
      <c r="L20" s="95">
        <f>'Input Tab'!I10</f>
        <v>1452951</v>
      </c>
      <c r="M20" s="95">
        <f>'Input Tab'!J10</f>
        <v>1443202</v>
      </c>
      <c r="N20" s="95">
        <f>'Input Tab'!K10</f>
        <v>1567441</v>
      </c>
      <c r="O20" s="95">
        <f>'Input Tab'!L10</f>
        <v>1406861</v>
      </c>
      <c r="P20" s="95">
        <f>'Input Tab'!M10</f>
        <v>1416449</v>
      </c>
      <c r="Q20" s="95">
        <f>'Input Tab'!N10</f>
        <v>1446134</v>
      </c>
      <c r="R20" s="43"/>
    </row>
    <row r="21" spans="1:19" ht="15.95" customHeight="1">
      <c r="A21" s="9">
        <f t="shared" si="6"/>
        <v>15</v>
      </c>
      <c r="B21" s="2" t="s">
        <v>37</v>
      </c>
      <c r="D21" s="208">
        <f t="shared" si="5"/>
        <v>137000</v>
      </c>
      <c r="E21" s="208"/>
      <c r="F21" s="47">
        <f>'Input Tab'!C11</f>
        <v>34250</v>
      </c>
      <c r="G21" s="47">
        <f>'Input Tab'!D11</f>
        <v>34250</v>
      </c>
      <c r="H21" s="47">
        <f>'Input Tab'!E11</f>
        <v>34250</v>
      </c>
      <c r="I21" s="47">
        <f>'Input Tab'!F11</f>
        <v>34250</v>
      </c>
      <c r="J21" s="47">
        <f>'Input Tab'!G11</f>
        <v>34250</v>
      </c>
      <c r="K21" s="47">
        <f>'Input Tab'!H11</f>
        <v>34250</v>
      </c>
      <c r="L21" s="47">
        <f>'Input Tab'!I11</f>
        <v>34250</v>
      </c>
      <c r="M21" s="47">
        <f>'Input Tab'!J11</f>
        <v>34250</v>
      </c>
      <c r="N21" s="47">
        <f>'Input Tab'!K11</f>
        <v>34250</v>
      </c>
      <c r="O21" s="47">
        <f>'Input Tab'!L11</f>
        <v>34250</v>
      </c>
      <c r="P21" s="47">
        <f>'Input Tab'!M11</f>
        <v>34250</v>
      </c>
      <c r="Q21" s="47">
        <f>'Input Tab'!N11</f>
        <v>34250</v>
      </c>
      <c r="R21" s="43"/>
    </row>
    <row r="22" spans="1:19" ht="15.95" customHeight="1">
      <c r="A22" s="9">
        <f>A21+1</f>
        <v>16</v>
      </c>
      <c r="B22" s="2" t="s">
        <v>171</v>
      </c>
      <c r="D22" s="208">
        <f t="shared" si="5"/>
        <v>-1007656</v>
      </c>
      <c r="E22" s="208"/>
      <c r="F22" s="47">
        <f>('Input Tab'!C12)/'Input Tab'!C13</f>
        <v>-251914</v>
      </c>
      <c r="G22" s="47">
        <f>('Input Tab'!D12)/'Input Tab'!D13</f>
        <v>-251914</v>
      </c>
      <c r="H22" s="47">
        <f>('Input Tab'!E12)/'Input Tab'!E13</f>
        <v>-251914</v>
      </c>
      <c r="I22" s="47">
        <f>('Input Tab'!F12)/'Input Tab'!F13</f>
        <v>-251914</v>
      </c>
      <c r="J22" s="47">
        <f>('Input Tab'!G12)/'Input Tab'!G13</f>
        <v>-251914</v>
      </c>
      <c r="K22" s="47">
        <f>('Input Tab'!H12)/'Input Tab'!H13</f>
        <v>-251914</v>
      </c>
      <c r="L22" s="47">
        <f>('Input Tab'!I12)/'Input Tab'!I13</f>
        <v>-251914</v>
      </c>
      <c r="M22" s="47">
        <f>('Input Tab'!J12)/'Input Tab'!J13</f>
        <v>-251914</v>
      </c>
      <c r="N22" s="47">
        <f>('Input Tab'!K12)/'Input Tab'!K13</f>
        <v>-251914</v>
      </c>
      <c r="O22" s="47">
        <f>('Input Tab'!L12)/'Input Tab'!L13</f>
        <v>-251914</v>
      </c>
      <c r="P22" s="47">
        <f>('Input Tab'!M12)/'Input Tab'!M13</f>
        <v>-251914</v>
      </c>
      <c r="Q22" s="47">
        <f>('Input Tab'!N12)/'Input Tab'!N13</f>
        <v>-251914</v>
      </c>
      <c r="R22" s="43"/>
    </row>
    <row r="23" spans="1:19" ht="20.25" customHeight="1">
      <c r="A23" s="9">
        <f>A22+1</f>
        <v>17</v>
      </c>
      <c r="B23" s="91" t="s">
        <v>7</v>
      </c>
      <c r="C23" s="91"/>
      <c r="D23" s="202">
        <f>SUM(D15:E22)</f>
        <v>60715559</v>
      </c>
      <c r="E23" s="202"/>
      <c r="F23" s="96">
        <f>SUM(F15:F22)</f>
        <v>18199665</v>
      </c>
      <c r="G23" s="96">
        <f t="shared" ref="G23:Q23" si="7">SUM(G15:G22)</f>
        <v>17200889</v>
      </c>
      <c r="H23" s="96">
        <f t="shared" si="7"/>
        <v>15081709</v>
      </c>
      <c r="I23" s="96">
        <f t="shared" si="7"/>
        <v>10233296</v>
      </c>
      <c r="J23" s="96">
        <f t="shared" si="7"/>
        <v>6111472</v>
      </c>
      <c r="K23" s="96">
        <f t="shared" si="7"/>
        <v>5882705</v>
      </c>
      <c r="L23" s="96">
        <f t="shared" si="7"/>
        <v>9699295</v>
      </c>
      <c r="M23" s="96">
        <f t="shared" si="7"/>
        <v>14547927</v>
      </c>
      <c r="N23" s="96">
        <f t="shared" si="7"/>
        <v>12481353</v>
      </c>
      <c r="O23" s="96">
        <f t="shared" si="7"/>
        <v>13261866</v>
      </c>
      <c r="P23" s="96">
        <f t="shared" si="7"/>
        <v>16244124</v>
      </c>
      <c r="Q23" s="96">
        <f t="shared" si="7"/>
        <v>16930995</v>
      </c>
      <c r="R23" s="43"/>
    </row>
    <row r="24" spans="1:19" ht="28.5" customHeight="1">
      <c r="A24" s="9">
        <f t="shared" si="6"/>
        <v>18</v>
      </c>
      <c r="B24" s="91" t="s">
        <v>8</v>
      </c>
      <c r="C24" s="91"/>
      <c r="D24" s="207">
        <f>SUM(F24:I24)</f>
        <v>-908714</v>
      </c>
      <c r="E24" s="207" t="str">
        <f t="shared" ref="E24:Q24" si="8">IF(E13=0," ",E13-E23)</f>
        <v xml:space="preserve"> </v>
      </c>
      <c r="F24" s="96">
        <f t="shared" si="8"/>
        <v>-3355489</v>
      </c>
      <c r="G24" s="96">
        <f t="shared" si="8"/>
        <v>5328292</v>
      </c>
      <c r="H24" s="96">
        <f t="shared" si="8"/>
        <v>2065529</v>
      </c>
      <c r="I24" s="96">
        <f t="shared" si="8"/>
        <v>-4947046</v>
      </c>
      <c r="J24" s="96" t="str">
        <f t="shared" si="8"/>
        <v xml:space="preserve"> </v>
      </c>
      <c r="K24" s="96" t="str">
        <f t="shared" si="8"/>
        <v xml:space="preserve"> </v>
      </c>
      <c r="L24" s="96" t="str">
        <f t="shared" si="8"/>
        <v xml:space="preserve"> </v>
      </c>
      <c r="M24" s="96" t="str">
        <f t="shared" si="8"/>
        <v xml:space="preserve"> </v>
      </c>
      <c r="N24" s="96" t="str">
        <f t="shared" si="8"/>
        <v xml:space="preserve"> </v>
      </c>
      <c r="O24" s="96" t="str">
        <f t="shared" si="8"/>
        <v xml:space="preserve"> </v>
      </c>
      <c r="P24" s="96" t="str">
        <f t="shared" si="8"/>
        <v xml:space="preserve"> </v>
      </c>
      <c r="Q24" s="96" t="str">
        <f t="shared" si="8"/>
        <v xml:space="preserve"> </v>
      </c>
    </row>
    <row r="25" spans="1:19" ht="26.25" customHeight="1">
      <c r="A25" s="9">
        <f t="shared" si="6"/>
        <v>19</v>
      </c>
      <c r="B25" s="29" t="s">
        <v>125</v>
      </c>
      <c r="C25" s="29"/>
      <c r="D25" s="201">
        <f>SUM(F25:Q25)</f>
        <v>434757</v>
      </c>
      <c r="E25" s="201"/>
      <c r="F25" s="30">
        <f>'WA Monthly'!E138</f>
        <v>738821</v>
      </c>
      <c r="G25" s="30">
        <f>'WA Monthly'!F138</f>
        <v>-2484774</v>
      </c>
      <c r="H25" s="30">
        <f>'WA Monthly'!G138</f>
        <v>2619748</v>
      </c>
      <c r="I25" s="30">
        <f>'WA Monthly'!H138</f>
        <v>-439038</v>
      </c>
      <c r="J25" s="30" t="str">
        <f>'WA Monthly'!I138</f>
        <v xml:space="preserve"> </v>
      </c>
      <c r="K25" s="30" t="str">
        <f>'WA Monthly'!J138</f>
        <v xml:space="preserve"> </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01">
        <f>SUM(F26:Q26)</f>
        <v>-473957</v>
      </c>
      <c r="E26" s="201"/>
      <c r="F26" s="30">
        <f>+F24+F25</f>
        <v>-2616668</v>
      </c>
      <c r="G26" s="30">
        <f t="shared" ref="G26:Q26" si="9">IF(G13=0,0,+G24+G25)</f>
        <v>2843518</v>
      </c>
      <c r="H26" s="30">
        <f t="shared" si="9"/>
        <v>4685277</v>
      </c>
      <c r="I26" s="30">
        <f t="shared" si="9"/>
        <v>-5386084</v>
      </c>
      <c r="J26" s="30">
        <f t="shared" si="9"/>
        <v>0</v>
      </c>
      <c r="K26" s="30">
        <f t="shared" si="9"/>
        <v>0</v>
      </c>
      <c r="L26" s="30">
        <f t="shared" si="9"/>
        <v>0</v>
      </c>
      <c r="M26" s="30">
        <f t="shared" si="9"/>
        <v>0</v>
      </c>
      <c r="N26" s="30">
        <f t="shared" si="9"/>
        <v>0</v>
      </c>
      <c r="O26" s="30">
        <f t="shared" si="9"/>
        <v>0</v>
      </c>
      <c r="P26" s="30">
        <f t="shared" si="9"/>
        <v>0</v>
      </c>
      <c r="Q26" s="30">
        <f t="shared" si="9"/>
        <v>0</v>
      </c>
    </row>
    <row r="27" spans="1:19" ht="18.75" customHeight="1">
      <c r="A27" s="9">
        <f t="shared" si="6"/>
        <v>21</v>
      </c>
      <c r="B27" s="2" t="s">
        <v>72</v>
      </c>
      <c r="D27" s="14"/>
      <c r="E27" s="14"/>
      <c r="F27" s="97">
        <f>'Input Tab'!C13</f>
        <v>0.6573</v>
      </c>
      <c r="G27" s="97">
        <f>'Input Tab'!D13</f>
        <v>0.6573</v>
      </c>
      <c r="H27" s="97">
        <f>'Input Tab'!E13</f>
        <v>0.6573</v>
      </c>
      <c r="I27" s="97">
        <f>'Input Tab'!F13</f>
        <v>0.6573</v>
      </c>
      <c r="J27" s="97">
        <f>'Input Tab'!G13</f>
        <v>0.6573</v>
      </c>
      <c r="K27" s="97">
        <f>'Input Tab'!H13</f>
        <v>0.6573</v>
      </c>
      <c r="L27" s="97">
        <f>'Input Tab'!I13</f>
        <v>0.6573</v>
      </c>
      <c r="M27" s="97">
        <f>'Input Tab'!J13</f>
        <v>0.6573</v>
      </c>
      <c r="N27" s="97">
        <f>'Input Tab'!K13</f>
        <v>0.6573</v>
      </c>
      <c r="O27" s="97">
        <f>'Input Tab'!L13</f>
        <v>0.6573</v>
      </c>
      <c r="P27" s="97">
        <f>'Input Tab'!M13</f>
        <v>0.6573</v>
      </c>
      <c r="Q27" s="97">
        <f>'Input Tab'!N13</f>
        <v>0.6573</v>
      </c>
    </row>
    <row r="28" spans="1:19" ht="20.25" customHeight="1">
      <c r="A28" s="9">
        <f t="shared" si="6"/>
        <v>22</v>
      </c>
      <c r="B28" s="2" t="s">
        <v>73</v>
      </c>
      <c r="D28" s="205">
        <f>SUM(F28:I28)</f>
        <v>-311532</v>
      </c>
      <c r="E28" s="205"/>
      <c r="F28" s="98">
        <f>+F26*F27</f>
        <v>-1719936</v>
      </c>
      <c r="G28" s="98">
        <f>+G26*G27</f>
        <v>1869044</v>
      </c>
      <c r="H28" s="98">
        <f>+H26*H27</f>
        <v>3079633</v>
      </c>
      <c r="I28" s="98">
        <f t="shared" ref="I28:Q28" si="10">+I26*I27</f>
        <v>-3540273</v>
      </c>
      <c r="J28" s="98">
        <f t="shared" si="10"/>
        <v>0</v>
      </c>
      <c r="K28" s="98">
        <f t="shared" si="10"/>
        <v>0</v>
      </c>
      <c r="L28" s="98">
        <f t="shared" si="10"/>
        <v>0</v>
      </c>
      <c r="M28" s="98">
        <f t="shared" si="10"/>
        <v>0</v>
      </c>
      <c r="N28" s="98">
        <f t="shared" si="10"/>
        <v>0</v>
      </c>
      <c r="O28" s="98">
        <f t="shared" si="10"/>
        <v>0</v>
      </c>
      <c r="P28" s="98">
        <f t="shared" si="10"/>
        <v>0</v>
      </c>
      <c r="Q28" s="98">
        <f t="shared" si="10"/>
        <v>0</v>
      </c>
    </row>
    <row r="29" spans="1:19" ht="20.25" customHeight="1">
      <c r="A29" s="9">
        <f>A28+1</f>
        <v>23</v>
      </c>
      <c r="B29" s="2" t="s">
        <v>152</v>
      </c>
      <c r="D29" s="205">
        <f>SUM(F29:I29)</f>
        <v>0</v>
      </c>
      <c r="E29" s="205"/>
      <c r="F29" s="98">
        <f>'WA Monthly'!E136</f>
        <v>0</v>
      </c>
      <c r="G29" s="98">
        <f>'WA Monthly'!F136</f>
        <v>0</v>
      </c>
      <c r="H29" s="98">
        <f>'WA Monthly'!G136</f>
        <v>0</v>
      </c>
      <c r="I29" s="98">
        <f>'WA Monthly'!H136</f>
        <v>0</v>
      </c>
      <c r="J29" s="98">
        <f>'WA Monthly'!I136</f>
        <v>0</v>
      </c>
      <c r="K29" s="98">
        <f>'WA Monthly'!J136</f>
        <v>0</v>
      </c>
      <c r="L29" s="98">
        <f>'WA Monthly'!K136</f>
        <v>0</v>
      </c>
      <c r="M29" s="98">
        <f>'WA Monthly'!L136</f>
        <v>0</v>
      </c>
      <c r="N29" s="98">
        <f>'WA Monthly'!M136</f>
        <v>0</v>
      </c>
      <c r="O29" s="98">
        <f>'WA Monthly'!N136</f>
        <v>0</v>
      </c>
      <c r="P29" s="98">
        <f>'WA Monthly'!O136</f>
        <v>0</v>
      </c>
      <c r="Q29" s="98">
        <f>'WA Monthly'!P136</f>
        <v>0</v>
      </c>
    </row>
    <row r="30" spans="1:19" ht="29.25" customHeight="1">
      <c r="A30" s="9">
        <f t="shared" si="6"/>
        <v>24</v>
      </c>
      <c r="B30" s="199" t="s">
        <v>101</v>
      </c>
      <c r="C30" s="199"/>
      <c r="D30" s="204">
        <f>SUM(F30:Q30)</f>
        <v>-283422</v>
      </c>
      <c r="E30" s="204"/>
      <c r="F30" s="99">
        <f>'WA RRC'!B19</f>
        <v>302672</v>
      </c>
      <c r="G30" s="99">
        <f>'WA RRC'!C19</f>
        <v>-383896</v>
      </c>
      <c r="H30" s="99">
        <f>'WA RRC'!D19</f>
        <v>-614997</v>
      </c>
      <c r="I30" s="99">
        <f>'WA RRC'!E19</f>
        <v>412799</v>
      </c>
      <c r="J30" s="99" t="str">
        <f>'WA RRC'!F19</f>
        <v xml:space="preserve"> </v>
      </c>
      <c r="K30" s="99" t="str">
        <f>'WA RRC'!G19</f>
        <v xml:space="preserve"> </v>
      </c>
      <c r="L30" s="99" t="str">
        <f>'WA RRC'!H19</f>
        <v xml:space="preserve"> </v>
      </c>
      <c r="M30" s="99" t="str">
        <f>'WA RRC'!I19</f>
        <v xml:space="preserve"> </v>
      </c>
      <c r="N30" s="99" t="str">
        <f>'WA RRC'!J19</f>
        <v xml:space="preserve"> </v>
      </c>
      <c r="O30" s="99" t="str">
        <f>'WA RRC'!K19</f>
        <v xml:space="preserve"> </v>
      </c>
      <c r="P30" s="99" t="str">
        <f>'WA RRC'!L19</f>
        <v xml:space="preserve"> </v>
      </c>
      <c r="Q30" s="99" t="str">
        <f>'WA RRC'!M19</f>
        <v xml:space="preserve"> </v>
      </c>
    </row>
    <row r="31" spans="1:19" ht="27" customHeight="1">
      <c r="A31" s="9">
        <f t="shared" si="6"/>
        <v>25</v>
      </c>
      <c r="B31" s="203" t="s">
        <v>63</v>
      </c>
      <c r="C31" s="203"/>
      <c r="D31" s="206">
        <f>SUM(F31:I31)</f>
        <v>-594954</v>
      </c>
      <c r="E31" s="206"/>
      <c r="F31" s="27">
        <f>IF(F13=0," ",F28+F30+F29)</f>
        <v>-1417264</v>
      </c>
      <c r="G31" s="27">
        <f t="shared" ref="G31:Q31" si="11">IF(G13=0," ",G28+G30+G29)</f>
        <v>1485148</v>
      </c>
      <c r="H31" s="27">
        <f t="shared" si="11"/>
        <v>2464636</v>
      </c>
      <c r="I31" s="27">
        <f t="shared" si="11"/>
        <v>-3127474</v>
      </c>
      <c r="J31" s="27" t="str">
        <f t="shared" si="11"/>
        <v xml:space="preserve"> </v>
      </c>
      <c r="K31" s="27" t="str">
        <f t="shared" si="11"/>
        <v xml:space="preserve"> </v>
      </c>
      <c r="L31" s="27" t="str">
        <f t="shared" si="11"/>
        <v xml:space="preserve"> </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00" t="s">
        <v>124</v>
      </c>
      <c r="C32" s="200"/>
      <c r="D32" s="100"/>
      <c r="E32" s="100"/>
      <c r="F32" s="27"/>
      <c r="G32" s="27"/>
      <c r="H32" s="27"/>
      <c r="I32" s="27"/>
      <c r="J32" s="27"/>
      <c r="K32" s="27"/>
      <c r="L32" s="101">
        <v>0</v>
      </c>
      <c r="M32" s="27"/>
      <c r="N32" s="27"/>
      <c r="O32" s="27"/>
      <c r="P32" s="27"/>
      <c r="Q32" s="27"/>
    </row>
    <row r="33" spans="1:19" ht="28.5" customHeight="1">
      <c r="A33" s="9">
        <f t="shared" si="6"/>
        <v>27</v>
      </c>
      <c r="B33" s="91" t="s">
        <v>117</v>
      </c>
      <c r="C33" s="91"/>
      <c r="D33" s="70"/>
      <c r="E33" s="70"/>
      <c r="F33" s="13">
        <f>IF(F13=0," ",F31)</f>
        <v>-1417264</v>
      </c>
      <c r="G33" s="13">
        <f t="shared" ref="G33:Q33" si="12">IF(G13=0," ",+F33+G31)</f>
        <v>67884</v>
      </c>
      <c r="H33" s="13">
        <f t="shared" si="12"/>
        <v>2532520</v>
      </c>
      <c r="I33" s="13">
        <f t="shared" si="12"/>
        <v>-594954</v>
      </c>
      <c r="J33" s="13" t="str">
        <f t="shared" si="12"/>
        <v xml:space="preserve"> </v>
      </c>
      <c r="K33" s="13" t="str">
        <f t="shared" si="12"/>
        <v xml:space="preserve"> </v>
      </c>
      <c r="L33" s="13" t="str">
        <f t="shared" si="12"/>
        <v xml:space="preserve"> </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2">
        <v>10000000</v>
      </c>
      <c r="C34" s="103" t="s">
        <v>34</v>
      </c>
      <c r="D34" s="71">
        <v>0.9</v>
      </c>
      <c r="E34" s="71">
        <v>0.9</v>
      </c>
      <c r="F34" s="14">
        <f t="shared" ref="F34:Q34" si="13">IF(F13=0," ",IF(ABS(F$33)&lt;$B34,0,(ABS(F$33)-$B34)*SIGN(F$33)))</f>
        <v>0</v>
      </c>
      <c r="G34" s="14">
        <f t="shared" si="13"/>
        <v>0</v>
      </c>
      <c r="H34" s="14">
        <f t="shared" si="13"/>
        <v>0</v>
      </c>
      <c r="I34" s="14">
        <f t="shared" si="13"/>
        <v>0</v>
      </c>
      <c r="J34" s="14" t="str">
        <f t="shared" si="13"/>
        <v xml:space="preserve"> </v>
      </c>
      <c r="K34" s="14" t="str">
        <f t="shared" si="13"/>
        <v xml:space="preserve"> </v>
      </c>
      <c r="L34" s="14" t="str">
        <f t="shared" si="13"/>
        <v xml:space="preserve"> </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04"/>
    </row>
    <row r="35" spans="1:19" ht="19.5" hidden="1" customHeight="1" outlineLevel="1">
      <c r="A35" s="2" t="s">
        <v>33</v>
      </c>
      <c r="B35" s="102">
        <v>4000000</v>
      </c>
      <c r="C35" s="103" t="str">
        <f>"to "&amp;TEXT(B34,"$#,##0,,")&amp;"M"</f>
        <v>to $10M</v>
      </c>
      <c r="D35" s="71">
        <v>0.5</v>
      </c>
      <c r="E35" s="71">
        <v>0.75</v>
      </c>
      <c r="F35" s="14">
        <f t="shared" ref="F35:Q35" si="14">IF(F13=0," ",IF(ABS(F$33)&lt;$B35,0,MIN($B$34-$B$35,ABS(F$33)-$B35)*SIGN(F$33)))</f>
        <v>0</v>
      </c>
      <c r="G35" s="14">
        <f t="shared" si="14"/>
        <v>0</v>
      </c>
      <c r="H35" s="14">
        <f t="shared" si="14"/>
        <v>0</v>
      </c>
      <c r="I35" s="14">
        <f t="shared" si="14"/>
        <v>0</v>
      </c>
      <c r="J35" s="14" t="str">
        <f t="shared" si="14"/>
        <v xml:space="preserve"> </v>
      </c>
      <c r="K35" s="14" t="str">
        <f t="shared" si="14"/>
        <v xml:space="preserve"> </v>
      </c>
      <c r="L35" s="14" t="str">
        <f t="shared" si="14"/>
        <v xml:space="preserve"> </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04"/>
    </row>
    <row r="36" spans="1:19" ht="21.75" hidden="1" customHeight="1" outlineLevel="1">
      <c r="A36" s="2" t="s">
        <v>33</v>
      </c>
      <c r="B36" s="102">
        <v>0</v>
      </c>
      <c r="C36" s="103" t="str">
        <f>"to "&amp;TEXT(B35,"$#,##0,,")&amp;"M"</f>
        <v>to $4M</v>
      </c>
      <c r="D36" s="71">
        <v>0</v>
      </c>
      <c r="E36" s="71">
        <v>0</v>
      </c>
      <c r="F36" s="14">
        <f t="shared" ref="F36:Q36" si="15">IF(F13=0," ",IF(ABS(F$33)&lt;$B36,0,MIN($B$35-$B$36,ABS(F$33)-$B36)*SIGN(F$33)))</f>
        <v>-1417264</v>
      </c>
      <c r="G36" s="14">
        <f t="shared" si="15"/>
        <v>67884</v>
      </c>
      <c r="H36" s="14">
        <f t="shared" si="15"/>
        <v>2532520</v>
      </c>
      <c r="I36" s="14">
        <f t="shared" si="15"/>
        <v>-594954</v>
      </c>
      <c r="J36" s="14" t="str">
        <f t="shared" si="15"/>
        <v xml:space="preserve"> </v>
      </c>
      <c r="K36" s="14" t="str">
        <f t="shared" si="15"/>
        <v xml:space="preserve"> </v>
      </c>
      <c r="L36" s="14" t="str">
        <f t="shared" si="15"/>
        <v xml:space="preserve"> </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5"/>
      <c r="C37" s="2" t="s">
        <v>35</v>
      </c>
      <c r="D37" s="72"/>
      <c r="E37" s="72"/>
      <c r="F37" s="73">
        <f t="shared" ref="F37:Q37" si="16">IF(F13=0," ",SUM(F34:F36)-F33)</f>
        <v>0</v>
      </c>
      <c r="G37" s="73">
        <f t="shared" si="16"/>
        <v>0</v>
      </c>
      <c r="H37" s="73">
        <f t="shared" si="16"/>
        <v>0</v>
      </c>
      <c r="I37" s="73">
        <f t="shared" si="16"/>
        <v>0</v>
      </c>
      <c r="J37" s="73" t="str">
        <f t="shared" si="16"/>
        <v xml:space="preserve"> </v>
      </c>
      <c r="K37" s="73" t="str">
        <f t="shared" si="16"/>
        <v xml:space="preserve"> </v>
      </c>
      <c r="L37" s="73" t="str">
        <f t="shared" si="16"/>
        <v xml:space="preserve"> </v>
      </c>
      <c r="M37" s="73" t="str">
        <f t="shared" si="16"/>
        <v xml:space="preserve"> </v>
      </c>
      <c r="N37" s="73" t="str">
        <f t="shared" si="16"/>
        <v xml:space="preserve"> </v>
      </c>
      <c r="O37" s="73" t="str">
        <f t="shared" si="16"/>
        <v xml:space="preserve"> </v>
      </c>
      <c r="P37" s="73" t="str">
        <f t="shared" si="16"/>
        <v xml:space="preserve"> </v>
      </c>
      <c r="Q37" s="73" t="str">
        <f t="shared" si="16"/>
        <v xml:space="preserve"> </v>
      </c>
      <c r="R37" s="12"/>
    </row>
    <row r="38" spans="1:19" ht="23.25" customHeight="1" collapsed="1">
      <c r="A38" s="2" t="s">
        <v>102</v>
      </c>
      <c r="D38" s="74"/>
      <c r="E38" s="74"/>
      <c r="F38" s="14">
        <f t="shared" ref="F38:Q38" si="17">IF(F13=0," ",SUMPRODUCT(IF(F33&gt;0,$D$34:$D$36,$E$34:$E$36),F34:F36))</f>
        <v>0</v>
      </c>
      <c r="G38" s="14">
        <f t="shared" si="17"/>
        <v>0</v>
      </c>
      <c r="H38" s="14">
        <f t="shared" si="17"/>
        <v>0</v>
      </c>
      <c r="I38" s="14">
        <f t="shared" si="17"/>
        <v>0</v>
      </c>
      <c r="J38" s="14" t="str">
        <f t="shared" si="17"/>
        <v xml:space="preserve"> </v>
      </c>
      <c r="K38" s="14" t="str">
        <f t="shared" si="17"/>
        <v xml:space="preserve"> </v>
      </c>
      <c r="L38" s="14" t="str">
        <f t="shared" si="17"/>
        <v xml:space="preserve"> </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103</v>
      </c>
    </row>
    <row r="39" spans="1:19" ht="20.25" customHeight="1">
      <c r="A39" s="2" t="s">
        <v>153</v>
      </c>
      <c r="D39" s="75"/>
      <c r="E39" s="75"/>
      <c r="F39" s="14">
        <f>IF(F13=0," ",F38-D38)</f>
        <v>0</v>
      </c>
      <c r="G39" s="14">
        <f t="shared" ref="G39:Q39" si="18">IF(G13=0," ",G38-F38)</f>
        <v>0</v>
      </c>
      <c r="H39" s="14">
        <f t="shared" si="18"/>
        <v>0</v>
      </c>
      <c r="I39" s="14">
        <f t="shared" si="18"/>
        <v>0</v>
      </c>
      <c r="J39" s="14" t="str">
        <f t="shared" si="18"/>
        <v xml:space="preserve"> </v>
      </c>
      <c r="K39" s="14" t="str">
        <f t="shared" si="18"/>
        <v xml:space="preserve"> </v>
      </c>
      <c r="L39" s="14" t="str">
        <f t="shared" si="18"/>
        <v xml:space="preserve"> </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00" t="s">
        <v>105</v>
      </c>
      <c r="B40" s="200"/>
      <c r="C40" s="200"/>
      <c r="D40" s="206">
        <f>SUM(F40:I40)</f>
        <v>0</v>
      </c>
      <c r="E40" s="206"/>
      <c r="F40" s="16">
        <f t="shared" ref="F40:Q40" si="19">IF(F13=0," ",-F39)</f>
        <v>0</v>
      </c>
      <c r="G40" s="16">
        <f t="shared" si="19"/>
        <v>0</v>
      </c>
      <c r="H40" s="16">
        <f t="shared" si="19"/>
        <v>0</v>
      </c>
      <c r="I40" s="16">
        <f t="shared" si="19"/>
        <v>0</v>
      </c>
      <c r="J40" s="16" t="str">
        <f t="shared" si="19"/>
        <v xml:space="preserve"> </v>
      </c>
      <c r="K40" s="16" t="str">
        <f t="shared" si="19"/>
        <v xml:space="preserve"> </v>
      </c>
      <c r="L40" s="16" t="str">
        <f t="shared" si="19"/>
        <v xml:space="preserve"> </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198" t="s">
        <v>38</v>
      </c>
      <c r="B41" s="198"/>
      <c r="C41" s="198"/>
      <c r="D41" s="76"/>
      <c r="E41" s="76"/>
      <c r="F41" s="18">
        <f t="shared" ref="F41:Q41" si="20">IF(F13=0," ",F33-F38)</f>
        <v>-1417264</v>
      </c>
      <c r="G41" s="18">
        <f t="shared" si="20"/>
        <v>67884</v>
      </c>
      <c r="H41" s="18">
        <f t="shared" si="20"/>
        <v>2532520</v>
      </c>
      <c r="I41" s="18">
        <f t="shared" si="20"/>
        <v>-594954</v>
      </c>
      <c r="J41" s="18" t="str">
        <f t="shared" si="20"/>
        <v xml:space="preserve"> </v>
      </c>
      <c r="K41" s="18" t="str">
        <f t="shared" si="20"/>
        <v xml:space="preserve"> </v>
      </c>
      <c r="L41" s="18" t="str">
        <f t="shared" si="20"/>
        <v xml:space="preserve"> </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6"/>
    </row>
    <row r="43" spans="1:19">
      <c r="E43" s="107"/>
      <c r="F43" s="108"/>
      <c r="Q43" s="14"/>
      <c r="R43" s="10"/>
    </row>
    <row r="44" spans="1:19">
      <c r="E44" s="50"/>
      <c r="F44" s="4"/>
      <c r="H44" s="109"/>
      <c r="I44" s="109"/>
      <c r="J44" s="109"/>
      <c r="K44" s="109"/>
      <c r="Q44" s="40"/>
      <c r="R44" s="10"/>
    </row>
    <row r="45" spans="1:19">
      <c r="E45" s="107"/>
      <c r="F45" s="110"/>
      <c r="H45" s="109"/>
      <c r="I45" s="109"/>
      <c r="J45" s="109"/>
      <c r="K45" s="109"/>
      <c r="Q45" s="40"/>
      <c r="R45" s="10"/>
    </row>
    <row r="46" spans="1:19">
      <c r="H46" s="109"/>
      <c r="I46" s="109"/>
      <c r="J46" s="109"/>
      <c r="K46" s="109"/>
    </row>
    <row r="47" spans="1:19">
      <c r="F47" s="111"/>
      <c r="H47" s="109"/>
      <c r="I47" s="109"/>
      <c r="J47" s="109"/>
      <c r="K47" s="109"/>
    </row>
    <row r="48" spans="1:19">
      <c r="F48" s="111"/>
      <c r="H48" s="109"/>
      <c r="I48" s="109"/>
      <c r="J48" s="109"/>
      <c r="K48" s="109"/>
      <c r="Q48" s="10"/>
    </row>
    <row r="49" spans="8:11">
      <c r="H49" s="109"/>
      <c r="I49" s="109"/>
      <c r="J49" s="109"/>
      <c r="K49" s="109"/>
    </row>
    <row r="50" spans="8:11">
      <c r="H50" s="109"/>
      <c r="I50" s="109"/>
      <c r="J50" s="109"/>
      <c r="K50" s="109"/>
    </row>
    <row r="51" spans="8:11">
      <c r="H51" s="109"/>
      <c r="I51" s="109"/>
      <c r="J51" s="109"/>
      <c r="K51" s="109"/>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79"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74</v>
      </c>
      <c r="B1" s="217"/>
      <c r="C1" s="217"/>
      <c r="D1" s="217"/>
      <c r="E1" s="217"/>
      <c r="F1" s="217"/>
      <c r="G1" s="217"/>
      <c r="H1" s="217"/>
      <c r="I1" s="217"/>
      <c r="J1" s="217"/>
      <c r="K1" s="217"/>
      <c r="L1" s="217"/>
      <c r="M1" s="217"/>
      <c r="N1" s="217"/>
      <c r="O1" s="217"/>
      <c r="P1" s="217"/>
      <c r="Q1" s="217"/>
      <c r="R1" s="217"/>
    </row>
    <row r="2" spans="1:18">
      <c r="A2" s="217" t="s">
        <v>87</v>
      </c>
      <c r="B2" s="217"/>
      <c r="C2" s="217"/>
      <c r="D2" s="217"/>
      <c r="E2" s="217"/>
      <c r="F2" s="217"/>
      <c r="G2" s="217"/>
      <c r="H2" s="217"/>
      <c r="I2" s="217"/>
      <c r="J2" s="217"/>
      <c r="K2" s="217"/>
      <c r="L2" s="217"/>
      <c r="M2" s="217"/>
      <c r="N2" s="217"/>
      <c r="O2" s="217"/>
      <c r="P2" s="217"/>
      <c r="Q2" s="217"/>
      <c r="R2" s="217"/>
    </row>
    <row r="3" spans="1:18" ht="38.25" customHeight="1">
      <c r="A3" s="4"/>
    </row>
    <row r="4" spans="1:18">
      <c r="A4" s="68" t="s">
        <v>0</v>
      </c>
      <c r="E4" s="112"/>
      <c r="F4" s="112"/>
      <c r="G4" s="112"/>
      <c r="H4" s="112"/>
      <c r="I4" s="112"/>
      <c r="J4" s="112"/>
      <c r="K4" s="112"/>
      <c r="L4" s="112"/>
      <c r="M4" s="112"/>
      <c r="N4" s="112"/>
      <c r="O4" s="112"/>
      <c r="P4" s="112"/>
    </row>
    <row r="5" spans="1:18">
      <c r="A5" s="113" t="s">
        <v>1</v>
      </c>
      <c r="C5" s="4" t="s">
        <v>91</v>
      </c>
      <c r="D5" s="114" t="s">
        <v>9</v>
      </c>
      <c r="E5" s="90">
        <v>43496</v>
      </c>
      <c r="F5" s="90">
        <f t="shared" ref="F5:P5" si="0">EOMONTH(E5,1)</f>
        <v>43524</v>
      </c>
      <c r="G5" s="90">
        <f t="shared" si="0"/>
        <v>43555</v>
      </c>
      <c r="H5" s="90">
        <f t="shared" si="0"/>
        <v>43585</v>
      </c>
      <c r="I5" s="90">
        <f t="shared" si="0"/>
        <v>43616</v>
      </c>
      <c r="J5" s="90">
        <f t="shared" si="0"/>
        <v>43646</v>
      </c>
      <c r="K5" s="90">
        <f t="shared" si="0"/>
        <v>43677</v>
      </c>
      <c r="L5" s="90">
        <f t="shared" si="0"/>
        <v>43708</v>
      </c>
      <c r="M5" s="90">
        <f t="shared" si="0"/>
        <v>43738</v>
      </c>
      <c r="N5" s="90">
        <f t="shared" si="0"/>
        <v>43769</v>
      </c>
      <c r="O5" s="90">
        <f t="shared" si="0"/>
        <v>43799</v>
      </c>
      <c r="P5" s="90">
        <f t="shared" si="0"/>
        <v>43830</v>
      </c>
      <c r="Q5" s="115"/>
      <c r="R5" s="90" t="s">
        <v>68</v>
      </c>
    </row>
    <row r="6" spans="1:18">
      <c r="A6" s="68"/>
      <c r="B6" s="52" t="s">
        <v>12</v>
      </c>
      <c r="C6" s="58"/>
    </row>
    <row r="7" spans="1:18">
      <c r="A7" s="68">
        <f>A6+1</f>
        <v>1</v>
      </c>
      <c r="B7" s="3" t="s">
        <v>104</v>
      </c>
      <c r="C7" s="28"/>
      <c r="D7" s="19">
        <f>SUM(E7:P7)</f>
        <v>14770829</v>
      </c>
      <c r="E7" s="19">
        <f>E23-SUM(E8:E22)</f>
        <v>2854577</v>
      </c>
      <c r="F7" s="19">
        <f t="shared" ref="F7:P7" si="1">F23-SUM(F8:F22)</f>
        <v>3156734</v>
      </c>
      <c r="G7" s="19">
        <f t="shared" si="1"/>
        <v>7001996</v>
      </c>
      <c r="H7" s="19">
        <f t="shared" si="1"/>
        <v>1757522</v>
      </c>
      <c r="I7" s="19">
        <f t="shared" si="1"/>
        <v>0</v>
      </c>
      <c r="J7" s="19">
        <f t="shared" si="1"/>
        <v>0</v>
      </c>
      <c r="K7" s="19">
        <f t="shared" si="1"/>
        <v>0</v>
      </c>
      <c r="L7" s="19">
        <f t="shared" si="1"/>
        <v>0</v>
      </c>
      <c r="M7" s="19">
        <f t="shared" si="1"/>
        <v>0</v>
      </c>
      <c r="N7" s="19">
        <f t="shared" si="1"/>
        <v>0</v>
      </c>
      <c r="O7" s="19">
        <f t="shared" si="1"/>
        <v>0</v>
      </c>
      <c r="P7" s="19">
        <f t="shared" si="1"/>
        <v>0</v>
      </c>
      <c r="Q7" s="44"/>
      <c r="R7" s="116">
        <f t="shared" ref="R7:R22" si="2">SUM(E7:P7)</f>
        <v>14770829</v>
      </c>
    </row>
    <row r="8" spans="1:18">
      <c r="A8" s="68">
        <v>2</v>
      </c>
      <c r="B8" s="117" t="s">
        <v>109</v>
      </c>
      <c r="C8" s="118">
        <v>100096</v>
      </c>
      <c r="D8" s="19">
        <f t="shared" ref="D8:D22" si="3">SUM(E8:P8)</f>
        <v>5111140</v>
      </c>
      <c r="E8" s="119">
        <f>'Input Tab'!C19</f>
        <v>1277785</v>
      </c>
      <c r="F8" s="119">
        <f>'Input Tab'!D19</f>
        <v>1277785</v>
      </c>
      <c r="G8" s="119">
        <f>'Input Tab'!E19</f>
        <v>1277785</v>
      </c>
      <c r="H8" s="119">
        <f>'Input Tab'!F19</f>
        <v>1277785</v>
      </c>
      <c r="I8" s="119">
        <f>'Input Tab'!G19</f>
        <v>0</v>
      </c>
      <c r="J8" s="119">
        <f>'Input Tab'!H19</f>
        <v>0</v>
      </c>
      <c r="K8" s="119">
        <f>'Input Tab'!I19</f>
        <v>0</v>
      </c>
      <c r="L8" s="119">
        <f>'Input Tab'!J19</f>
        <v>0</v>
      </c>
      <c r="M8" s="119">
        <f>'Input Tab'!K19</f>
        <v>0</v>
      </c>
      <c r="N8" s="119">
        <f>'Input Tab'!L19</f>
        <v>0</v>
      </c>
      <c r="O8" s="119">
        <f>'Input Tab'!M19</f>
        <v>0</v>
      </c>
      <c r="P8" s="119">
        <f>'Input Tab'!N19</f>
        <v>0</v>
      </c>
      <c r="Q8" s="44"/>
      <c r="R8" s="116">
        <f t="shared" si="2"/>
        <v>5111140</v>
      </c>
    </row>
    <row r="9" spans="1:18">
      <c r="A9" s="68">
        <v>3</v>
      </c>
      <c r="B9" s="117" t="s">
        <v>110</v>
      </c>
      <c r="C9" s="118">
        <v>107240</v>
      </c>
      <c r="D9" s="19">
        <f t="shared" si="3"/>
        <v>216996</v>
      </c>
      <c r="E9" s="119">
        <f>'Input Tab'!C20</f>
        <v>63699</v>
      </c>
      <c r="F9" s="119">
        <f>'Input Tab'!D20</f>
        <v>55709</v>
      </c>
      <c r="G9" s="119">
        <f>'Input Tab'!E20</f>
        <v>57590</v>
      </c>
      <c r="H9" s="119">
        <f>'Input Tab'!F20</f>
        <v>39998</v>
      </c>
      <c r="I9" s="119">
        <f>'Input Tab'!G20</f>
        <v>0</v>
      </c>
      <c r="J9" s="119">
        <f>'Input Tab'!H20</f>
        <v>0</v>
      </c>
      <c r="K9" s="119">
        <f>'Input Tab'!I20</f>
        <v>0</v>
      </c>
      <c r="L9" s="119">
        <f>'Input Tab'!J20</f>
        <v>0</v>
      </c>
      <c r="M9" s="119">
        <f>'Input Tab'!K20</f>
        <v>0</v>
      </c>
      <c r="N9" s="119">
        <f>'Input Tab'!L20</f>
        <v>0</v>
      </c>
      <c r="O9" s="119">
        <f>'Input Tab'!M20</f>
        <v>0</v>
      </c>
      <c r="P9" s="119">
        <f>'Input Tab'!N20</f>
        <v>0</v>
      </c>
      <c r="Q9" s="44"/>
      <c r="R9" s="116">
        <f>SUM(E9:P9)</f>
        <v>216996</v>
      </c>
    </row>
    <row r="10" spans="1:18">
      <c r="A10" s="68">
        <v>4</v>
      </c>
      <c r="B10" s="3" t="s">
        <v>113</v>
      </c>
      <c r="C10" s="28">
        <v>100131</v>
      </c>
      <c r="D10" s="19">
        <f t="shared" si="3"/>
        <v>611792</v>
      </c>
      <c r="E10" s="119">
        <f>'Input Tab'!C21</f>
        <v>152948</v>
      </c>
      <c r="F10" s="119">
        <f>'Input Tab'!D21</f>
        <v>152948</v>
      </c>
      <c r="G10" s="119">
        <f>'Input Tab'!E21</f>
        <v>152948</v>
      </c>
      <c r="H10" s="119">
        <f>'Input Tab'!F21</f>
        <v>152948</v>
      </c>
      <c r="I10" s="119">
        <f>'Input Tab'!G21</f>
        <v>0</v>
      </c>
      <c r="J10" s="119">
        <f>'Input Tab'!H21</f>
        <v>0</v>
      </c>
      <c r="K10" s="119">
        <f>'Input Tab'!I21</f>
        <v>0</v>
      </c>
      <c r="L10" s="119">
        <f>'Input Tab'!J21</f>
        <v>0</v>
      </c>
      <c r="M10" s="119">
        <f>'Input Tab'!K21</f>
        <v>0</v>
      </c>
      <c r="N10" s="119">
        <f>'Input Tab'!L21</f>
        <v>0</v>
      </c>
      <c r="O10" s="119">
        <f>'Input Tab'!M21</f>
        <v>0</v>
      </c>
      <c r="P10" s="119">
        <f>'Input Tab'!N21</f>
        <v>0</v>
      </c>
      <c r="Q10" s="44"/>
      <c r="R10" s="116">
        <f t="shared" si="2"/>
        <v>611792</v>
      </c>
    </row>
    <row r="11" spans="1:18" ht="13.5" customHeight="1">
      <c r="A11" s="68">
        <v>5</v>
      </c>
      <c r="B11" s="3" t="s">
        <v>111</v>
      </c>
      <c r="C11" s="28">
        <v>100085</v>
      </c>
      <c r="D11" s="19">
        <f t="shared" si="3"/>
        <v>3225900</v>
      </c>
      <c r="E11" s="120">
        <f>'Input Tab'!C22</f>
        <v>776466</v>
      </c>
      <c r="F11" s="120">
        <f>'Input Tab'!D22</f>
        <v>776466</v>
      </c>
      <c r="G11" s="120">
        <f>'Input Tab'!E22</f>
        <v>776466</v>
      </c>
      <c r="H11" s="120">
        <f>'Input Tab'!F22</f>
        <v>896502</v>
      </c>
      <c r="I11" s="120">
        <f>'Input Tab'!G22</f>
        <v>0</v>
      </c>
      <c r="J11" s="120">
        <f>'Input Tab'!H22</f>
        <v>0</v>
      </c>
      <c r="K11" s="120">
        <f>'Input Tab'!I22</f>
        <v>0</v>
      </c>
      <c r="L11" s="120">
        <f>'Input Tab'!J22</f>
        <v>0</v>
      </c>
      <c r="M11" s="120">
        <f>'Input Tab'!K22</f>
        <v>0</v>
      </c>
      <c r="N11" s="120">
        <f>'Input Tab'!L22</f>
        <v>0</v>
      </c>
      <c r="O11" s="120">
        <f>'Input Tab'!M22</f>
        <v>0</v>
      </c>
      <c r="P11" s="120">
        <f>'Input Tab'!N22</f>
        <v>0</v>
      </c>
      <c r="Q11" s="44"/>
      <c r="R11" s="116">
        <f t="shared" si="2"/>
        <v>3225900</v>
      </c>
    </row>
    <row r="12" spans="1:18" ht="14.25">
      <c r="A12" s="68">
        <f>A11+1</f>
        <v>6</v>
      </c>
      <c r="B12" s="3" t="s">
        <v>112</v>
      </c>
      <c r="C12" s="79" t="s">
        <v>92</v>
      </c>
      <c r="D12" s="19">
        <f t="shared" si="3"/>
        <v>7910918</v>
      </c>
      <c r="E12" s="120">
        <f>'Input Tab'!C23</f>
        <v>2751195</v>
      </c>
      <c r="F12" s="120">
        <f>'Input Tab'!D23</f>
        <v>2485973</v>
      </c>
      <c r="G12" s="120">
        <f>'Input Tab'!E23</f>
        <v>1358266</v>
      </c>
      <c r="H12" s="120">
        <f>'Input Tab'!F23</f>
        <v>1315484</v>
      </c>
      <c r="I12" s="120">
        <f>'Input Tab'!G23</f>
        <v>0</v>
      </c>
      <c r="J12" s="120">
        <f>'Input Tab'!H23</f>
        <v>0</v>
      </c>
      <c r="K12" s="120">
        <f>'Input Tab'!I23</f>
        <v>0</v>
      </c>
      <c r="L12" s="120">
        <f>'Input Tab'!J23</f>
        <v>0</v>
      </c>
      <c r="M12" s="119">
        <f>'Input Tab'!K23</f>
        <v>0</v>
      </c>
      <c r="N12" s="119">
        <f>'Input Tab'!L23</f>
        <v>0</v>
      </c>
      <c r="O12" s="120">
        <f>'Input Tab'!M23</f>
        <v>0</v>
      </c>
      <c r="P12" s="120">
        <f>'Input Tab'!N23</f>
        <v>0</v>
      </c>
      <c r="Q12" s="44"/>
      <c r="R12" s="116">
        <f t="shared" si="2"/>
        <v>7910918</v>
      </c>
    </row>
    <row r="13" spans="1:18">
      <c r="A13" s="68">
        <f t="shared" ref="A13:A23" si="4">A12+1</f>
        <v>7</v>
      </c>
      <c r="B13" s="4" t="s">
        <v>106</v>
      </c>
      <c r="C13" s="79">
        <v>100137</v>
      </c>
      <c r="D13" s="19">
        <f t="shared" si="3"/>
        <v>4442</v>
      </c>
      <c r="E13" s="120">
        <f>'Input Tab'!C24</f>
        <v>973</v>
      </c>
      <c r="F13" s="120">
        <f>'Input Tab'!D24</f>
        <v>1128</v>
      </c>
      <c r="G13" s="120">
        <f>'Input Tab'!E24</f>
        <v>1326</v>
      </c>
      <c r="H13" s="120">
        <f>'Input Tab'!F24</f>
        <v>1015</v>
      </c>
      <c r="I13" s="120">
        <f>'Input Tab'!G24</f>
        <v>0</v>
      </c>
      <c r="J13" s="120">
        <f>'Input Tab'!H24</f>
        <v>0</v>
      </c>
      <c r="K13" s="120">
        <f>'Input Tab'!I24</f>
        <v>0</v>
      </c>
      <c r="L13" s="120">
        <f>'Input Tab'!J24</f>
        <v>0</v>
      </c>
      <c r="M13" s="120">
        <f>'Input Tab'!K24</f>
        <v>0</v>
      </c>
      <c r="N13" s="120">
        <f>'Input Tab'!L24</f>
        <v>0</v>
      </c>
      <c r="O13" s="120">
        <f>'Input Tab'!M24</f>
        <v>0</v>
      </c>
      <c r="P13" s="120">
        <f>'Input Tab'!N24</f>
        <v>0</v>
      </c>
      <c r="Q13" s="44"/>
      <c r="R13" s="116">
        <f t="shared" si="2"/>
        <v>4442</v>
      </c>
    </row>
    <row r="14" spans="1:18">
      <c r="A14" s="68">
        <f t="shared" si="4"/>
        <v>8</v>
      </c>
      <c r="B14" s="4" t="s">
        <v>13</v>
      </c>
      <c r="C14" s="28" t="s">
        <v>150</v>
      </c>
      <c r="D14" s="19">
        <f t="shared" si="3"/>
        <v>591747</v>
      </c>
      <c r="E14" s="120">
        <f>'Input Tab'!C25</f>
        <v>137301</v>
      </c>
      <c r="F14" s="120">
        <f>'Input Tab'!D25</f>
        <v>160032</v>
      </c>
      <c r="G14" s="120">
        <f>'Input Tab'!E25</f>
        <v>130122</v>
      </c>
      <c r="H14" s="120">
        <f>'Input Tab'!F25</f>
        <v>164292</v>
      </c>
      <c r="I14" s="120">
        <f>'Input Tab'!G25</f>
        <v>0</v>
      </c>
      <c r="J14" s="120">
        <f>'Input Tab'!H25</f>
        <v>0</v>
      </c>
      <c r="K14" s="120">
        <f>'Input Tab'!I25</f>
        <v>0</v>
      </c>
      <c r="L14" s="120">
        <f>'Input Tab'!J25</f>
        <v>0</v>
      </c>
      <c r="M14" s="120">
        <f>'Input Tab'!K25</f>
        <v>0</v>
      </c>
      <c r="N14" s="120">
        <f>'Input Tab'!L25</f>
        <v>0</v>
      </c>
      <c r="O14" s="120">
        <f>'Input Tab'!M25</f>
        <v>0</v>
      </c>
      <c r="P14" s="120">
        <f>'Input Tab'!N25</f>
        <v>0</v>
      </c>
      <c r="Q14" s="44"/>
      <c r="R14" s="116">
        <f t="shared" si="2"/>
        <v>591747</v>
      </c>
    </row>
    <row r="15" spans="1:18">
      <c r="A15" s="68">
        <f t="shared" si="4"/>
        <v>9</v>
      </c>
      <c r="B15" s="3" t="s">
        <v>40</v>
      </c>
      <c r="C15" s="28">
        <v>185895</v>
      </c>
      <c r="D15" s="19">
        <f t="shared" si="3"/>
        <v>492827</v>
      </c>
      <c r="E15" s="120">
        <f>'Input Tab'!C35</f>
        <v>175035</v>
      </c>
      <c r="F15" s="120">
        <f>'Input Tab'!D35</f>
        <v>112639</v>
      </c>
      <c r="G15" s="120">
        <f>'Input Tab'!E35</f>
        <v>116166</v>
      </c>
      <c r="H15" s="120">
        <f>'Input Tab'!F35</f>
        <v>88987</v>
      </c>
      <c r="I15" s="120">
        <f>'Input Tab'!G35</f>
        <v>0</v>
      </c>
      <c r="J15" s="120">
        <f>'Input Tab'!H35</f>
        <v>0</v>
      </c>
      <c r="K15" s="120">
        <f>'Input Tab'!I35</f>
        <v>0</v>
      </c>
      <c r="L15" s="120">
        <f>'Input Tab'!J35</f>
        <v>0</v>
      </c>
      <c r="M15" s="120">
        <f>'Input Tab'!K35</f>
        <v>0</v>
      </c>
      <c r="N15" s="120">
        <f>'Input Tab'!L35</f>
        <v>0</v>
      </c>
      <c r="O15" s="120">
        <f>'Input Tab'!M35</f>
        <v>0</v>
      </c>
      <c r="P15" s="120">
        <f>'Input Tab'!N35</f>
        <v>0</v>
      </c>
      <c r="Q15" s="44"/>
      <c r="R15" s="116">
        <f t="shared" si="2"/>
        <v>492827</v>
      </c>
    </row>
    <row r="16" spans="1:18" ht="12.75" customHeight="1">
      <c r="A16" s="68">
        <f t="shared" si="4"/>
        <v>10</v>
      </c>
      <c r="B16" s="4" t="s">
        <v>90</v>
      </c>
      <c r="C16" s="28">
        <v>186298</v>
      </c>
      <c r="D16" s="19">
        <f t="shared" si="3"/>
        <v>1100403</v>
      </c>
      <c r="E16" s="120">
        <f>'Input Tab'!C36</f>
        <v>278635</v>
      </c>
      <c r="F16" s="120">
        <f>'Input Tab'!D36</f>
        <v>269107</v>
      </c>
      <c r="G16" s="120">
        <f>'Input Tab'!E36</f>
        <v>250887</v>
      </c>
      <c r="H16" s="120">
        <f>'Input Tab'!F36</f>
        <v>301774</v>
      </c>
      <c r="I16" s="120">
        <f>'Input Tab'!G36</f>
        <v>0</v>
      </c>
      <c r="J16" s="120">
        <f>'Input Tab'!H36</f>
        <v>0</v>
      </c>
      <c r="K16" s="120">
        <f>'Input Tab'!I36</f>
        <v>0</v>
      </c>
      <c r="L16" s="120">
        <f>'Input Tab'!J36</f>
        <v>0</v>
      </c>
      <c r="M16" s="120">
        <f>'Input Tab'!K36</f>
        <v>0</v>
      </c>
      <c r="N16" s="120">
        <f>'Input Tab'!L36</f>
        <v>0</v>
      </c>
      <c r="O16" s="120">
        <f>'Input Tab'!M36</f>
        <v>0</v>
      </c>
      <c r="P16" s="120">
        <f>'Input Tab'!N36</f>
        <v>0</v>
      </c>
      <c r="Q16" s="44"/>
      <c r="R16" s="116">
        <f t="shared" si="2"/>
        <v>1100403</v>
      </c>
    </row>
    <row r="17" spans="1:20">
      <c r="A17" s="68">
        <f>A16+1</f>
        <v>11</v>
      </c>
      <c r="B17" s="3" t="s">
        <v>119</v>
      </c>
      <c r="C17" s="28">
        <v>223063</v>
      </c>
      <c r="D17" s="19">
        <f t="shared" si="3"/>
        <v>1903007</v>
      </c>
      <c r="E17" s="120">
        <f>'Input Tab'!C37</f>
        <v>584639</v>
      </c>
      <c r="F17" s="120">
        <f>'Input Tab'!D37</f>
        <v>427257</v>
      </c>
      <c r="G17" s="120">
        <f>'Input Tab'!E37</f>
        <v>466708</v>
      </c>
      <c r="H17" s="120">
        <f>'Input Tab'!F37</f>
        <v>424403</v>
      </c>
      <c r="I17" s="120">
        <f>'Input Tab'!G37</f>
        <v>0</v>
      </c>
      <c r="J17" s="120">
        <f>'Input Tab'!H37</f>
        <v>0</v>
      </c>
      <c r="K17" s="120">
        <f>'Input Tab'!I37</f>
        <v>0</v>
      </c>
      <c r="L17" s="120">
        <f>'Input Tab'!J37</f>
        <v>0</v>
      </c>
      <c r="M17" s="120">
        <f>'Input Tab'!K37</f>
        <v>0</v>
      </c>
      <c r="N17" s="120">
        <f>'Input Tab'!L37</f>
        <v>0</v>
      </c>
      <c r="O17" s="120">
        <f>'Input Tab'!M37</f>
        <v>0</v>
      </c>
      <c r="P17" s="120">
        <f>'Input Tab'!N37</f>
        <v>0</v>
      </c>
      <c r="Q17" s="44"/>
      <c r="R17" s="116">
        <f t="shared" si="2"/>
        <v>1903007</v>
      </c>
    </row>
    <row r="18" spans="1:20">
      <c r="A18" s="68">
        <f>A17+1</f>
        <v>12</v>
      </c>
      <c r="B18" s="85" t="s">
        <v>183</v>
      </c>
      <c r="C18" s="28">
        <v>102475</v>
      </c>
      <c r="D18" s="19">
        <f t="shared" si="3"/>
        <v>5344</v>
      </c>
      <c r="E18" s="119">
        <f>'Input Tab'!C38</f>
        <v>1297</v>
      </c>
      <c r="F18" s="119">
        <f>'Input Tab'!D38</f>
        <v>1364</v>
      </c>
      <c r="G18" s="119">
        <f>'Input Tab'!E38</f>
        <v>1397</v>
      </c>
      <c r="H18" s="119">
        <f>'Input Tab'!F38</f>
        <v>1286</v>
      </c>
      <c r="I18" s="119">
        <f>'Input Tab'!G38</f>
        <v>0</v>
      </c>
      <c r="J18" s="119">
        <f>'Input Tab'!H38</f>
        <v>0</v>
      </c>
      <c r="K18" s="119">
        <f>'Input Tab'!I38</f>
        <v>0</v>
      </c>
      <c r="L18" s="119">
        <f>'Input Tab'!J38</f>
        <v>0</v>
      </c>
      <c r="M18" s="119">
        <f>'Input Tab'!K38</f>
        <v>0</v>
      </c>
      <c r="N18" s="119">
        <f>'Input Tab'!L38</f>
        <v>0</v>
      </c>
      <c r="O18" s="119">
        <f>'Input Tab'!M38</f>
        <v>0</v>
      </c>
      <c r="P18" s="119">
        <f>'Input Tab'!N38</f>
        <v>0</v>
      </c>
      <c r="Q18" s="44"/>
      <c r="R18" s="116">
        <f t="shared" si="2"/>
        <v>5344</v>
      </c>
    </row>
    <row r="19" spans="1:20">
      <c r="A19" s="68">
        <f>A18+1</f>
        <v>13</v>
      </c>
      <c r="B19" s="3" t="s">
        <v>107</v>
      </c>
      <c r="C19" s="28" t="s">
        <v>108</v>
      </c>
      <c r="D19" s="19">
        <f t="shared" si="3"/>
        <v>9498871</v>
      </c>
      <c r="E19" s="119">
        <f>'Input Tab'!C39</f>
        <v>2434351</v>
      </c>
      <c r="F19" s="119">
        <f>'Input Tab'!D39</f>
        <v>2347256</v>
      </c>
      <c r="G19" s="119">
        <f>'Input Tab'!E39</f>
        <v>2433715</v>
      </c>
      <c r="H19" s="119">
        <f>'Input Tab'!F39</f>
        <v>2283549</v>
      </c>
      <c r="I19" s="119">
        <f>'Input Tab'!G39</f>
        <v>0</v>
      </c>
      <c r="J19" s="119">
        <f>'Input Tab'!H39</f>
        <v>0</v>
      </c>
      <c r="K19" s="119">
        <f>'Input Tab'!I39</f>
        <v>0</v>
      </c>
      <c r="L19" s="119">
        <f>'Input Tab'!J39</f>
        <v>0</v>
      </c>
      <c r="M19" s="119">
        <f>'Input Tab'!K39</f>
        <v>0</v>
      </c>
      <c r="N19" s="119">
        <f>'Input Tab'!L39</f>
        <v>0</v>
      </c>
      <c r="O19" s="119">
        <f>'Input Tab'!M39</f>
        <v>0</v>
      </c>
      <c r="P19" s="119">
        <f>'Input Tab'!N39</f>
        <v>0</v>
      </c>
      <c r="Q19" s="44"/>
      <c r="R19" s="116">
        <f t="shared" si="2"/>
        <v>9498871</v>
      </c>
    </row>
    <row r="20" spans="1:20">
      <c r="A20" s="68">
        <f>A19+1</f>
        <v>14</v>
      </c>
      <c r="B20" s="3" t="s">
        <v>118</v>
      </c>
      <c r="C20" s="28">
        <v>181462</v>
      </c>
      <c r="D20" s="19">
        <f t="shared" si="3"/>
        <v>6927945</v>
      </c>
      <c r="E20" s="119">
        <f>'Input Tab'!C40</f>
        <v>1921037</v>
      </c>
      <c r="F20" s="119">
        <f>'Input Tab'!D40</f>
        <v>1708936</v>
      </c>
      <c r="G20" s="119">
        <f>'Input Tab'!E40</f>
        <v>1266884</v>
      </c>
      <c r="H20" s="119">
        <f>'Input Tab'!F40</f>
        <v>2031088</v>
      </c>
      <c r="I20" s="119">
        <f>'Input Tab'!G40</f>
        <v>0</v>
      </c>
      <c r="J20" s="119">
        <f>'Input Tab'!H40</f>
        <v>0</v>
      </c>
      <c r="K20" s="119">
        <f>'Input Tab'!I40</f>
        <v>0</v>
      </c>
      <c r="L20" s="119">
        <f>'Input Tab'!J40</f>
        <v>0</v>
      </c>
      <c r="M20" s="119">
        <f>'Input Tab'!K40</f>
        <v>0</v>
      </c>
      <c r="N20" s="119">
        <f>'Input Tab'!L40</f>
        <v>0</v>
      </c>
      <c r="O20" s="119">
        <f>'Input Tab'!M40</f>
        <v>0</v>
      </c>
      <c r="P20" s="119">
        <f>'Input Tab'!N40</f>
        <v>0</v>
      </c>
      <c r="Q20" s="44"/>
      <c r="R20" s="116">
        <f t="shared" si="2"/>
        <v>6927945</v>
      </c>
    </row>
    <row r="21" spans="1:20">
      <c r="A21" s="68">
        <f>A20+1</f>
        <v>15</v>
      </c>
      <c r="B21" s="4" t="s">
        <v>28</v>
      </c>
      <c r="C21" s="79"/>
      <c r="D21" s="19">
        <f t="shared" si="3"/>
        <v>900360</v>
      </c>
      <c r="E21" s="21">
        <f>E35</f>
        <v>214294</v>
      </c>
      <c r="F21" s="21">
        <f>F35</f>
        <v>255268</v>
      </c>
      <c r="G21" s="21">
        <f t="shared" ref="G21:P21" si="5">G35</f>
        <v>255076</v>
      </c>
      <c r="H21" s="21">
        <f t="shared" si="5"/>
        <v>175722</v>
      </c>
      <c r="I21" s="21">
        <f t="shared" si="5"/>
        <v>0</v>
      </c>
      <c r="J21" s="21">
        <f t="shared" si="5"/>
        <v>0</v>
      </c>
      <c r="K21" s="21">
        <f t="shared" si="5"/>
        <v>0</v>
      </c>
      <c r="L21" s="21">
        <f t="shared" si="5"/>
        <v>0</v>
      </c>
      <c r="M21" s="21">
        <f>M35</f>
        <v>0</v>
      </c>
      <c r="N21" s="21">
        <f>N35</f>
        <v>0</v>
      </c>
      <c r="O21" s="21">
        <f t="shared" si="5"/>
        <v>0</v>
      </c>
      <c r="P21" s="21">
        <f t="shared" si="5"/>
        <v>0</v>
      </c>
      <c r="Q21" s="21"/>
      <c r="R21" s="116">
        <f t="shared" si="2"/>
        <v>900360</v>
      </c>
    </row>
    <row r="22" spans="1:20">
      <c r="A22" s="68">
        <f t="shared" si="4"/>
        <v>16</v>
      </c>
      <c r="B22" s="85" t="s">
        <v>14</v>
      </c>
      <c r="C22" s="121"/>
      <c r="D22" s="19">
        <f t="shared" si="3"/>
        <v>-1839203</v>
      </c>
      <c r="E22" s="22">
        <f>E33</f>
        <v>-336895</v>
      </c>
      <c r="F22" s="22">
        <f>F33</f>
        <v>-717182</v>
      </c>
      <c r="G22" s="22">
        <f t="shared" ref="G22:P22" si="6">G33</f>
        <v>-527151</v>
      </c>
      <c r="H22" s="22">
        <f t="shared" si="6"/>
        <v>-257975</v>
      </c>
      <c r="I22" s="22">
        <f t="shared" si="6"/>
        <v>0</v>
      </c>
      <c r="J22" s="22">
        <f t="shared" si="6"/>
        <v>0</v>
      </c>
      <c r="K22" s="22">
        <f t="shared" si="6"/>
        <v>0</v>
      </c>
      <c r="L22" s="22">
        <f t="shared" si="6"/>
        <v>0</v>
      </c>
      <c r="M22" s="22">
        <f t="shared" si="6"/>
        <v>0</v>
      </c>
      <c r="N22" s="22">
        <f>N33</f>
        <v>0</v>
      </c>
      <c r="O22" s="22">
        <f t="shared" si="6"/>
        <v>0</v>
      </c>
      <c r="P22" s="22">
        <f t="shared" si="6"/>
        <v>0</v>
      </c>
      <c r="Q22" s="22"/>
      <c r="R22" s="116">
        <f t="shared" si="2"/>
        <v>-1839203</v>
      </c>
    </row>
    <row r="23" spans="1:20" s="26" customFormat="1" ht="13.5" thickBot="1">
      <c r="A23" s="122">
        <f t="shared" si="4"/>
        <v>17</v>
      </c>
      <c r="B23" s="53" t="s">
        <v>81</v>
      </c>
      <c r="C23" s="53"/>
      <c r="D23" s="34">
        <f>SUM(E23:P23)</f>
        <v>51433318</v>
      </c>
      <c r="E23" s="123">
        <f>E38</f>
        <v>13287337</v>
      </c>
      <c r="F23" s="123">
        <f t="shared" ref="F23:P23" si="7">F38</f>
        <v>12471420</v>
      </c>
      <c r="G23" s="123">
        <f>G38</f>
        <v>15020181</v>
      </c>
      <c r="H23" s="123">
        <f t="shared" si="7"/>
        <v>10654380</v>
      </c>
      <c r="I23" s="123">
        <f t="shared" si="7"/>
        <v>0</v>
      </c>
      <c r="J23" s="123">
        <f t="shared" si="7"/>
        <v>0</v>
      </c>
      <c r="K23" s="123">
        <f t="shared" si="7"/>
        <v>0</v>
      </c>
      <c r="L23" s="123">
        <f t="shared" si="7"/>
        <v>0</v>
      </c>
      <c r="M23" s="123">
        <f>M38</f>
        <v>0</v>
      </c>
      <c r="N23" s="123">
        <f>N38</f>
        <v>0</v>
      </c>
      <c r="O23" s="123">
        <f t="shared" si="7"/>
        <v>0</v>
      </c>
      <c r="P23" s="123">
        <f t="shared" si="7"/>
        <v>0</v>
      </c>
      <c r="Q23" s="23"/>
      <c r="R23" s="124">
        <f>SUM(R7:R21)</f>
        <v>53272521</v>
      </c>
    </row>
    <row r="24" spans="1:20" ht="13.5" thickTop="1">
      <c r="A24" s="68"/>
      <c r="E24" s="33" t="s">
        <v>24</v>
      </c>
      <c r="F24" s="125" t="s">
        <v>24</v>
      </c>
      <c r="G24" s="125"/>
      <c r="H24" s="125"/>
      <c r="I24" s="125"/>
      <c r="J24" s="125"/>
      <c r="K24" s="125"/>
      <c r="L24" s="125"/>
      <c r="M24" s="125"/>
      <c r="N24" s="125"/>
      <c r="O24" s="125"/>
      <c r="P24" s="125"/>
    </row>
    <row r="25" spans="1:20">
      <c r="A25" s="68"/>
      <c r="B25" s="3" t="s">
        <v>82</v>
      </c>
      <c r="C25" s="3"/>
      <c r="E25" s="125"/>
      <c r="F25" s="125"/>
      <c r="G25" s="125"/>
      <c r="H25" s="125"/>
      <c r="I25" s="125"/>
      <c r="J25" s="125"/>
      <c r="K25" s="125"/>
      <c r="L25" s="125"/>
      <c r="M25" s="125"/>
      <c r="N25" s="125"/>
      <c r="O25" s="125"/>
      <c r="P25" s="125"/>
      <c r="T25" s="126"/>
    </row>
    <row r="26" spans="1:20" outlineLevel="1">
      <c r="A26" s="68"/>
      <c r="B26" s="49" t="s">
        <v>12</v>
      </c>
      <c r="C26" s="49"/>
      <c r="E26" s="125"/>
      <c r="F26" s="125"/>
      <c r="G26" s="125"/>
      <c r="H26" s="125"/>
      <c r="I26" s="125"/>
      <c r="J26" s="125"/>
      <c r="K26" s="125"/>
      <c r="L26" s="125"/>
      <c r="M26" s="125"/>
      <c r="N26" s="125"/>
      <c r="O26" s="125"/>
      <c r="P26" s="125"/>
    </row>
    <row r="27" spans="1:20" outlineLevel="1">
      <c r="A27" s="68"/>
      <c r="B27" s="4">
        <v>555000</v>
      </c>
      <c r="D27" s="125">
        <f>SUM(E27:P27)</f>
        <v>64221853</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0</v>
      </c>
      <c r="J27" s="14">
        <f>_xll.Get_Balance(J$85,"PTD","USD","Total","A","","001","555000","ED","AN","DL")</f>
        <v>0</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4"/>
      <c r="R27" s="116">
        <f t="shared" ref="R27:R37" si="8">SUM(E27:P27)</f>
        <v>64221853</v>
      </c>
    </row>
    <row r="28" spans="1:20" outlineLevel="1">
      <c r="A28" s="68"/>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4"/>
      <c r="R28" s="116"/>
    </row>
    <row r="29" spans="1:20" outlineLevel="1">
      <c r="A29" s="68"/>
      <c r="B29" s="4">
        <v>555100</v>
      </c>
      <c r="C29" s="4" t="s">
        <v>93</v>
      </c>
      <c r="D29" s="125">
        <f t="shared" ref="D29:D37" si="9">SUM(E29:P29)</f>
        <v>-15855928</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0</v>
      </c>
      <c r="J29" s="14">
        <f>_xll.Get_Balance(J$85,"PTD","USD","Total","A","","001","555100","ED","AN","DL")</f>
        <v>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4"/>
      <c r="R29" s="116">
        <f t="shared" si="8"/>
        <v>-15855928</v>
      </c>
    </row>
    <row r="30" spans="1:20" outlineLevel="1">
      <c r="A30" s="68"/>
      <c r="B30" s="3">
        <v>555312</v>
      </c>
      <c r="C30" s="3" t="s">
        <v>61</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4"/>
      <c r="R30" s="116">
        <f>SUM(E30:P30)</f>
        <v>0</v>
      </c>
    </row>
    <row r="31" spans="1:20" outlineLevel="1">
      <c r="A31" s="68"/>
      <c r="B31" s="4">
        <v>555313</v>
      </c>
      <c r="C31" s="4" t="s">
        <v>61</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4"/>
      <c r="R31" s="116">
        <f>SUM(E31:P31)</f>
        <v>0</v>
      </c>
    </row>
    <row r="32" spans="1:20" outlineLevel="1">
      <c r="A32" s="68"/>
      <c r="B32" s="4">
        <v>555380</v>
      </c>
      <c r="C32" s="4" t="s">
        <v>94</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4"/>
      <c r="R32" s="116">
        <f>SUM(E32:P32)</f>
        <v>0</v>
      </c>
    </row>
    <row r="33" spans="1:18" outlineLevel="1">
      <c r="A33" s="68"/>
      <c r="B33" s="4">
        <v>555550</v>
      </c>
      <c r="C33" s="4" t="s">
        <v>95</v>
      </c>
      <c r="D33" s="125">
        <f t="shared" si="9"/>
        <v>-1839203</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0</v>
      </c>
      <c r="J33" s="14">
        <f>_xll.Get_Balance(J$85,"PTD","USD","Total","A","","001","555550","ED","AN","DL")</f>
        <v>0</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4"/>
      <c r="R33" s="116">
        <f>SUM(E33:P33)</f>
        <v>-1839203</v>
      </c>
    </row>
    <row r="34" spans="1:18" outlineLevel="1">
      <c r="A34" s="68"/>
      <c r="B34" s="4">
        <v>555700</v>
      </c>
      <c r="C34" s="4" t="s">
        <v>96</v>
      </c>
      <c r="D34" s="125">
        <f t="shared" si="9"/>
        <v>3937055</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0</v>
      </c>
      <c r="J34" s="14">
        <f>_xll.Get_Balance(J$85,"PTD","USD","Total","A","","001","555700","ED","AN","DL")</f>
        <v>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4"/>
      <c r="R34" s="116">
        <f t="shared" si="8"/>
        <v>3937055</v>
      </c>
    </row>
    <row r="35" spans="1:18" outlineLevel="1">
      <c r="A35" s="68"/>
      <c r="B35" s="4">
        <v>555710</v>
      </c>
      <c r="C35" s="4" t="s">
        <v>97</v>
      </c>
      <c r="D35" s="125">
        <f t="shared" si="9"/>
        <v>900360</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0</v>
      </c>
      <c r="J35" s="14">
        <f>_xll.Get_Balance(J$85,"PTD","USD","Total","A","","001","555710","ED","AN","DL")</f>
        <v>0</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4"/>
      <c r="R35" s="116">
        <f t="shared" si="8"/>
        <v>900360</v>
      </c>
    </row>
    <row r="36" spans="1:18" outlineLevel="1">
      <c r="A36" s="68"/>
      <c r="C36" s="67" t="s">
        <v>190</v>
      </c>
      <c r="D36" s="125">
        <f t="shared" si="9"/>
        <v>-24481</v>
      </c>
      <c r="E36" s="14">
        <f>-SUM((40589/12)+(1.29*950)-(E51*0.0063))</f>
        <v>-4422</v>
      </c>
      <c r="F36" s="14">
        <f>-SUM((40589/12)+(1.29*950)-(F51*0.0063))</f>
        <v>-3884</v>
      </c>
      <c r="G36" s="14">
        <f>-SUM((40589/12)+(1.29*4194)-(G51*0.0063))</f>
        <v>-7855</v>
      </c>
      <c r="H36" s="14">
        <f>-SUM((40589/12)+(1.29*4103)-(H51*0.0063))</f>
        <v>-8320</v>
      </c>
      <c r="I36" s="14"/>
      <c r="J36" s="14"/>
      <c r="K36" s="14"/>
      <c r="L36" s="14"/>
      <c r="M36" s="14"/>
      <c r="N36" s="14"/>
      <c r="O36" s="14"/>
      <c r="P36" s="14"/>
      <c r="Q36" s="44"/>
      <c r="R36" s="116"/>
    </row>
    <row r="37" spans="1:18" outlineLevel="1">
      <c r="A37" s="68"/>
      <c r="B37" s="50" t="s">
        <v>48</v>
      </c>
      <c r="C37" s="28" t="s">
        <v>141</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4"/>
      <c r="R37" s="116">
        <f t="shared" si="8"/>
        <v>93661</v>
      </c>
    </row>
    <row r="38" spans="1:18" s="26" customFormat="1" outlineLevel="1">
      <c r="A38" s="129"/>
      <c r="B38" s="51"/>
      <c r="C38" s="51"/>
      <c r="D38" s="35">
        <f>SUM(E38:P38)</f>
        <v>51433318</v>
      </c>
      <c r="E38" s="35">
        <f t="shared" ref="E38:P38" si="10">SUM(E27:E37)</f>
        <v>13287337</v>
      </c>
      <c r="F38" s="35">
        <f t="shared" si="10"/>
        <v>12471420</v>
      </c>
      <c r="G38" s="35">
        <f t="shared" si="10"/>
        <v>15020181</v>
      </c>
      <c r="H38" s="35">
        <f t="shared" si="10"/>
        <v>10654380</v>
      </c>
      <c r="I38" s="35">
        <f t="shared" si="10"/>
        <v>0</v>
      </c>
      <c r="J38" s="35">
        <f t="shared" si="10"/>
        <v>0</v>
      </c>
      <c r="K38" s="35">
        <f t="shared" si="10"/>
        <v>0</v>
      </c>
      <c r="L38" s="35">
        <f t="shared" si="10"/>
        <v>0</v>
      </c>
      <c r="M38" s="35">
        <f t="shared" si="10"/>
        <v>0</v>
      </c>
      <c r="N38" s="35">
        <f t="shared" si="10"/>
        <v>0</v>
      </c>
      <c r="O38" s="35">
        <f t="shared" si="10"/>
        <v>0</v>
      </c>
      <c r="P38" s="35">
        <f t="shared" si="10"/>
        <v>0</v>
      </c>
      <c r="Q38" s="42"/>
      <c r="R38" s="35">
        <f>SUM(R27:R37)</f>
        <v>51457798</v>
      </c>
    </row>
    <row r="39" spans="1:18">
      <c r="A39" s="68"/>
      <c r="B39" s="51"/>
      <c r="C39" s="51"/>
      <c r="E39" s="125"/>
      <c r="F39" s="125"/>
      <c r="G39" s="125"/>
      <c r="H39" s="125"/>
      <c r="I39" s="125"/>
      <c r="J39" s="125"/>
      <c r="K39" s="125"/>
      <c r="L39" s="125"/>
      <c r="M39" s="125"/>
      <c r="N39" s="125"/>
      <c r="O39" s="125"/>
      <c r="P39" s="125"/>
    </row>
    <row r="40" spans="1:18" ht="19.5" customHeight="1">
      <c r="A40" s="68"/>
      <c r="B40" s="52" t="s">
        <v>21</v>
      </c>
      <c r="C40" s="52"/>
      <c r="E40" s="125"/>
      <c r="F40" s="125"/>
      <c r="G40" s="125"/>
      <c r="H40" s="125"/>
      <c r="I40" s="125"/>
      <c r="J40" s="125"/>
      <c r="K40" s="125"/>
      <c r="L40" s="125"/>
      <c r="M40" s="125"/>
      <c r="N40" s="125"/>
      <c r="O40" s="125"/>
      <c r="P40" s="125"/>
    </row>
    <row r="41" spans="1:18" ht="12.95" customHeight="1">
      <c r="A41" s="68">
        <f>A23+1</f>
        <v>18</v>
      </c>
      <c r="B41" s="4" t="s">
        <v>22</v>
      </c>
      <c r="C41" s="79"/>
      <c r="D41" s="125">
        <f t="shared" ref="D41:D46" si="11">SUM(E41:P41)</f>
        <v>-22645407</v>
      </c>
      <c r="E41" s="22">
        <f t="shared" ref="E41:P41" si="12">E46-SUM(E42:E45)</f>
        <v>-5667231</v>
      </c>
      <c r="F41" s="22">
        <f t="shared" si="12"/>
        <v>-1839796</v>
      </c>
      <c r="G41" s="22">
        <f t="shared" si="12"/>
        <v>-6130300</v>
      </c>
      <c r="H41" s="22">
        <f t="shared" si="12"/>
        <v>-9008080</v>
      </c>
      <c r="I41" s="22">
        <f t="shared" si="12"/>
        <v>0</v>
      </c>
      <c r="J41" s="22">
        <f t="shared" si="12"/>
        <v>0</v>
      </c>
      <c r="K41" s="22">
        <f t="shared" si="12"/>
        <v>0</v>
      </c>
      <c r="L41" s="22">
        <f t="shared" si="12"/>
        <v>0</v>
      </c>
      <c r="M41" s="22">
        <f t="shared" si="12"/>
        <v>0</v>
      </c>
      <c r="N41" s="22">
        <f t="shared" si="12"/>
        <v>0</v>
      </c>
      <c r="O41" s="22">
        <f t="shared" si="12"/>
        <v>0</v>
      </c>
      <c r="P41" s="22">
        <f t="shared" si="12"/>
        <v>0</v>
      </c>
      <c r="Q41" s="130"/>
      <c r="R41" s="125">
        <f>SUM(E41:P41)</f>
        <v>-22645407</v>
      </c>
    </row>
    <row r="42" spans="1:18">
      <c r="A42" s="68">
        <f>A41+1</f>
        <v>19</v>
      </c>
      <c r="B42" s="4" t="s">
        <v>27</v>
      </c>
      <c r="C42" s="79" t="s">
        <v>98</v>
      </c>
      <c r="D42" s="125">
        <f t="shared" si="11"/>
        <v>-860148</v>
      </c>
      <c r="E42" s="120">
        <f>'Input Tab'!C45</f>
        <v>-120724</v>
      </c>
      <c r="F42" s="120">
        <f>'Input Tab'!D45</f>
        <v>-304137</v>
      </c>
      <c r="G42" s="120">
        <f>'Input Tab'!E45</f>
        <v>-375125</v>
      </c>
      <c r="H42" s="120">
        <f>'Input Tab'!F45</f>
        <v>-60162</v>
      </c>
      <c r="I42" s="120">
        <f>'Input Tab'!G45</f>
        <v>0</v>
      </c>
      <c r="J42" s="120">
        <f>'Input Tab'!H45</f>
        <v>0</v>
      </c>
      <c r="K42" s="120">
        <f>'Input Tab'!I45</f>
        <v>0</v>
      </c>
      <c r="L42" s="120">
        <f>'Input Tab'!J45</f>
        <v>0</v>
      </c>
      <c r="M42" s="120">
        <f>'Input Tab'!K45</f>
        <v>0</v>
      </c>
      <c r="N42" s="120">
        <f>'Input Tab'!L45</f>
        <v>0</v>
      </c>
      <c r="O42" s="120">
        <f>'Input Tab'!M45</f>
        <v>0</v>
      </c>
      <c r="P42" s="120">
        <f>'Input Tab'!N45</f>
        <v>0</v>
      </c>
      <c r="Q42" s="130"/>
      <c r="R42" s="125">
        <f>SUM(E42:P42)</f>
        <v>-860148</v>
      </c>
    </row>
    <row r="43" spans="1:18">
      <c r="A43" s="68">
        <f>A42+1</f>
        <v>20</v>
      </c>
      <c r="B43" s="3" t="s">
        <v>167</v>
      </c>
      <c r="C43" s="28" t="s">
        <v>140</v>
      </c>
      <c r="D43" s="125">
        <f t="shared" si="11"/>
        <v>-49511</v>
      </c>
      <c r="E43" s="120">
        <f>'Input Tab'!C46</f>
        <v>-12804</v>
      </c>
      <c r="F43" s="120">
        <f>'Input Tab'!D46</f>
        <v>-11620</v>
      </c>
      <c r="G43" s="120">
        <f>'Input Tab'!E46</f>
        <v>-12663</v>
      </c>
      <c r="H43" s="120">
        <f>'Input Tab'!F46</f>
        <v>-12424</v>
      </c>
      <c r="I43" s="120">
        <f>'Input Tab'!G46</f>
        <v>0</v>
      </c>
      <c r="J43" s="120">
        <f>'Input Tab'!H46</f>
        <v>0</v>
      </c>
      <c r="K43" s="120">
        <f>'Input Tab'!I46</f>
        <v>0</v>
      </c>
      <c r="L43" s="120">
        <f>'Input Tab'!J46</f>
        <v>0</v>
      </c>
      <c r="M43" s="120">
        <f>'Input Tab'!K46</f>
        <v>0</v>
      </c>
      <c r="N43" s="120">
        <f>'Input Tab'!L46</f>
        <v>0</v>
      </c>
      <c r="O43" s="120">
        <f>'Input Tab'!M46</f>
        <v>0</v>
      </c>
      <c r="P43" s="120">
        <f>'Input Tab'!N46</f>
        <v>0</v>
      </c>
      <c r="Q43" s="130"/>
      <c r="R43" s="125">
        <f>SUM(E43:P43)</f>
        <v>-49511</v>
      </c>
    </row>
    <row r="44" spans="1:18">
      <c r="A44" s="68">
        <f>A43+1</f>
        <v>21</v>
      </c>
      <c r="B44" s="4" t="s">
        <v>31</v>
      </c>
      <c r="C44" s="131" t="s">
        <v>139</v>
      </c>
      <c r="D44" s="125">
        <f t="shared" si="11"/>
        <v>-230870</v>
      </c>
      <c r="E44" s="120">
        <f>'Input Tab'!C47</f>
        <v>-63475</v>
      </c>
      <c r="F44" s="120">
        <f>'Input Tab'!D47</f>
        <v>-58476</v>
      </c>
      <c r="G44" s="120">
        <f>'Input Tab'!E47</f>
        <v>-58414</v>
      </c>
      <c r="H44" s="120">
        <f>'Input Tab'!F47</f>
        <v>-50505</v>
      </c>
      <c r="I44" s="120">
        <f>'Input Tab'!G47</f>
        <v>0</v>
      </c>
      <c r="J44" s="120">
        <f>'Input Tab'!H47</f>
        <v>0</v>
      </c>
      <c r="K44" s="120">
        <f>'Input Tab'!I47</f>
        <v>0</v>
      </c>
      <c r="L44" s="120">
        <f>'Input Tab'!J47</f>
        <v>0</v>
      </c>
      <c r="M44" s="120">
        <f>'Input Tab'!K47</f>
        <v>0</v>
      </c>
      <c r="N44" s="120">
        <f>'Input Tab'!L47</f>
        <v>0</v>
      </c>
      <c r="O44" s="120">
        <f>'Input Tab'!M47</f>
        <v>0</v>
      </c>
      <c r="P44" s="120">
        <f>'Input Tab'!N47</f>
        <v>0</v>
      </c>
      <c r="Q44" s="130"/>
      <c r="R44" s="125">
        <f>SUM(E44:P44)</f>
        <v>-230870</v>
      </c>
    </row>
    <row r="45" spans="1:18">
      <c r="A45" s="68">
        <f>A44+1</f>
        <v>22</v>
      </c>
      <c r="B45" s="4" t="s">
        <v>29</v>
      </c>
      <c r="C45" s="79"/>
      <c r="D45" s="125">
        <f t="shared" si="11"/>
        <v>-5618846</v>
      </c>
      <c r="E45" s="20">
        <f>E56</f>
        <v>-1090562</v>
      </c>
      <c r="F45" s="20">
        <f>F56</f>
        <v>-1486418</v>
      </c>
      <c r="G45" s="20">
        <f t="shared" ref="G45:P45" si="13">G56</f>
        <v>-1399685</v>
      </c>
      <c r="H45" s="20">
        <f t="shared" si="13"/>
        <v>-1642181</v>
      </c>
      <c r="I45" s="20">
        <f t="shared" si="13"/>
        <v>0</v>
      </c>
      <c r="J45" s="20">
        <f>J56</f>
        <v>0</v>
      </c>
      <c r="K45" s="20">
        <f>K56</f>
        <v>0</v>
      </c>
      <c r="L45" s="20">
        <f t="shared" si="13"/>
        <v>0</v>
      </c>
      <c r="M45" s="20">
        <f t="shared" si="13"/>
        <v>0</v>
      </c>
      <c r="N45" s="20">
        <f t="shared" si="13"/>
        <v>0</v>
      </c>
      <c r="O45" s="20">
        <f t="shared" si="13"/>
        <v>0</v>
      </c>
      <c r="P45" s="20">
        <f t="shared" si="13"/>
        <v>0</v>
      </c>
      <c r="Q45" s="130"/>
      <c r="R45" s="125">
        <f>SUM(E45:P45)</f>
        <v>-5618846</v>
      </c>
    </row>
    <row r="46" spans="1:18" s="26" customFormat="1" ht="24.75" customHeight="1" thickBot="1">
      <c r="A46" s="122">
        <f>A45+1</f>
        <v>23</v>
      </c>
      <c r="B46" s="53" t="s">
        <v>80</v>
      </c>
      <c r="C46" s="53"/>
      <c r="D46" s="34">
        <f t="shared" si="11"/>
        <v>-29404782</v>
      </c>
      <c r="E46" s="123">
        <f>E57</f>
        <v>-6954796</v>
      </c>
      <c r="F46" s="123">
        <f>F57</f>
        <v>-3700447</v>
      </c>
      <c r="G46" s="123">
        <f t="shared" ref="G46:P46" si="14">G57</f>
        <v>-7976187</v>
      </c>
      <c r="H46" s="123">
        <f>H57</f>
        <v>-10773352</v>
      </c>
      <c r="I46" s="123">
        <f>I57</f>
        <v>0</v>
      </c>
      <c r="J46" s="123">
        <f t="shared" si="14"/>
        <v>0</v>
      </c>
      <c r="K46" s="123">
        <f t="shared" si="14"/>
        <v>0</v>
      </c>
      <c r="L46" s="123">
        <f t="shared" si="14"/>
        <v>0</v>
      </c>
      <c r="M46" s="123">
        <f>M57</f>
        <v>0</v>
      </c>
      <c r="N46" s="123">
        <f t="shared" si="14"/>
        <v>0</v>
      </c>
      <c r="O46" s="123">
        <f t="shared" si="14"/>
        <v>0</v>
      </c>
      <c r="P46" s="123">
        <f t="shared" si="14"/>
        <v>0</v>
      </c>
      <c r="Q46" s="132"/>
      <c r="R46" s="124">
        <f>SUM(R41:R45)</f>
        <v>-29404782</v>
      </c>
    </row>
    <row r="47" spans="1:18" ht="13.5" thickTop="1">
      <c r="A47" s="68"/>
      <c r="E47" s="21"/>
      <c r="F47" s="21"/>
      <c r="G47" s="21"/>
      <c r="H47" s="21"/>
      <c r="I47" s="21"/>
      <c r="J47" s="21"/>
      <c r="K47" s="21"/>
      <c r="L47" s="21"/>
      <c r="M47" s="21"/>
      <c r="N47" s="21"/>
      <c r="O47" s="21"/>
      <c r="P47" s="21"/>
      <c r="Q47" s="133"/>
    </row>
    <row r="48" spans="1:18" outlineLevel="2">
      <c r="A48" s="68"/>
      <c r="E48" s="125"/>
      <c r="F48" s="125"/>
      <c r="G48" s="21"/>
      <c r="H48" s="21"/>
      <c r="I48" s="21"/>
      <c r="J48" s="21"/>
      <c r="K48" s="21"/>
      <c r="L48" s="21"/>
      <c r="M48" s="21"/>
      <c r="N48" s="21"/>
      <c r="O48" s="21"/>
      <c r="P48" s="21"/>
      <c r="Q48" s="133"/>
    </row>
    <row r="49" spans="1:18" outlineLevel="2">
      <c r="A49" s="68"/>
      <c r="B49" s="54" t="s">
        <v>21</v>
      </c>
      <c r="C49" s="54"/>
      <c r="E49" s="125"/>
      <c r="F49" s="125"/>
      <c r="G49" s="21"/>
      <c r="H49" s="21"/>
      <c r="I49" s="21"/>
      <c r="J49" s="21"/>
      <c r="K49" s="21"/>
      <c r="L49" s="21"/>
      <c r="M49" s="21"/>
      <c r="N49" s="21"/>
      <c r="O49" s="21"/>
      <c r="P49" s="21"/>
      <c r="Q49" s="133"/>
    </row>
    <row r="50" spans="1:18" outlineLevel="2">
      <c r="A50" s="68"/>
      <c r="B50" s="4">
        <v>447000</v>
      </c>
      <c r="D50" s="125">
        <f t="shared" ref="D50:D57" si="15">SUM(E50:P50)</f>
        <v>-37083920</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0</v>
      </c>
      <c r="J50" s="14">
        <f>_xll.Get_Balance(J$85,"PTD","USD","Total","A","","001","447000","ED","AN","DL")</f>
        <v>0</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-37083920</v>
      </c>
    </row>
    <row r="51" spans="1:18" outlineLevel="2">
      <c r="A51" s="68"/>
      <c r="C51" s="26" t="s">
        <v>188</v>
      </c>
      <c r="D51" s="125">
        <f t="shared" si="15"/>
        <v>349714</v>
      </c>
      <c r="E51" s="14">
        <v>29529</v>
      </c>
      <c r="F51" s="14">
        <v>114980</v>
      </c>
      <c r="G51" s="14">
        <v>148778</v>
      </c>
      <c r="H51" s="14">
        <v>56427</v>
      </c>
      <c r="I51" s="14"/>
      <c r="J51" s="14"/>
      <c r="K51" s="14"/>
      <c r="L51" s="14"/>
      <c r="M51" s="14"/>
      <c r="N51" s="14"/>
      <c r="O51" s="14"/>
      <c r="P51" s="14"/>
      <c r="Q51" s="134"/>
      <c r="R51" s="116"/>
    </row>
    <row r="52" spans="1:18" outlineLevel="2">
      <c r="A52" s="68"/>
      <c r="B52" s="4">
        <v>447100</v>
      </c>
      <c r="D52" s="125">
        <f t="shared" si="15"/>
        <v>27940831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0</v>
      </c>
      <c r="J52" s="14">
        <f>_xll.Get_Balance(J$85,"PTD","USD","Total","A","","001","447100","ED","AN","DL")</f>
        <v>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27940831</v>
      </c>
    </row>
    <row r="53" spans="1:18" outlineLevel="2">
      <c r="A53" s="68"/>
      <c r="B53" s="4">
        <v>447150</v>
      </c>
      <c r="D53" s="125">
        <f t="shared" si="15"/>
        <v>-8934910</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0</v>
      </c>
      <c r="J53" s="14">
        <f>_xll.Get_Balance(J$85,"PTD","USD","Total","A","","001","447150","ED","AN","DL")</f>
        <v>0</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-8934910</v>
      </c>
    </row>
    <row r="54" spans="1:18" outlineLevel="2">
      <c r="A54" s="68"/>
      <c r="B54" s="4">
        <v>447700</v>
      </c>
      <c r="D54" s="125">
        <f t="shared" si="15"/>
        <v>-5157291</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0</v>
      </c>
      <c r="J54" s="14">
        <f>_xll.Get_Balance(J$85,"PTD","USD","Total","A","","001","447700","ED","AN","DL")</f>
        <v>0</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-5157291</v>
      </c>
    </row>
    <row r="55" spans="1:18" outlineLevel="2">
      <c r="A55" s="68"/>
      <c r="B55" s="4">
        <v>447710</v>
      </c>
      <c r="D55" s="125">
        <f t="shared" si="15"/>
        <v>-900360</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0</v>
      </c>
      <c r="J55" s="14">
        <f>_xll.Get_Balance(J$85,"PTD","USD","Total","A","","001","447710","ED","AN","DL")</f>
        <v>0</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-900360</v>
      </c>
    </row>
    <row r="56" spans="1:18" outlineLevel="2">
      <c r="A56" s="68"/>
      <c r="B56" s="4">
        <v>447720</v>
      </c>
      <c r="C56" s="3" t="s">
        <v>151</v>
      </c>
      <c r="D56" s="127">
        <f t="shared" si="15"/>
        <v>-5618846</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0</v>
      </c>
      <c r="J56" s="24">
        <f>_xll.Get_Balance(J$85,"PTD","USD","Total","A","","001","447720","ED","AN","DL")</f>
        <v>0</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-5618846</v>
      </c>
    </row>
    <row r="57" spans="1:18" s="26" customFormat="1" outlineLevel="2">
      <c r="A57" s="129"/>
      <c r="D57" s="35">
        <f t="shared" si="15"/>
        <v>-29404782</v>
      </c>
      <c r="E57" s="25">
        <f t="shared" ref="E57:P57" si="17">SUM(E50:E56)</f>
        <v>-6954796</v>
      </c>
      <c r="F57" s="25">
        <f t="shared" si="17"/>
        <v>-3700447</v>
      </c>
      <c r="G57" s="25">
        <f t="shared" si="17"/>
        <v>-7976187</v>
      </c>
      <c r="H57" s="25">
        <f t="shared" si="17"/>
        <v>-10773352</v>
      </c>
      <c r="I57" s="25">
        <f t="shared" si="17"/>
        <v>0</v>
      </c>
      <c r="J57" s="25">
        <f t="shared" si="17"/>
        <v>0</v>
      </c>
      <c r="K57" s="25">
        <f t="shared" si="17"/>
        <v>0</v>
      </c>
      <c r="L57" s="25">
        <f t="shared" si="17"/>
        <v>0</v>
      </c>
      <c r="M57" s="25">
        <f>SUM(M50:M56)</f>
        <v>0</v>
      </c>
      <c r="N57" s="25">
        <f t="shared" si="17"/>
        <v>0</v>
      </c>
      <c r="O57" s="25">
        <f t="shared" si="17"/>
        <v>0</v>
      </c>
      <c r="P57" s="25">
        <f t="shared" si="17"/>
        <v>0</v>
      </c>
      <c r="Q57" s="136"/>
      <c r="R57" s="35">
        <f>SUM(R50:R56)</f>
        <v>-29754496</v>
      </c>
    </row>
    <row r="58" spans="1:18" outlineLevel="2">
      <c r="A58" s="68"/>
      <c r="E58" s="125"/>
      <c r="F58" s="125"/>
      <c r="G58" s="21"/>
      <c r="H58" s="21"/>
      <c r="I58" s="21"/>
      <c r="J58" s="21"/>
      <c r="K58" s="21"/>
      <c r="L58" s="21"/>
      <c r="M58" s="21"/>
      <c r="N58" s="21"/>
      <c r="O58" s="21"/>
      <c r="P58" s="21"/>
      <c r="Q58" s="134"/>
      <c r="R58" s="125"/>
    </row>
    <row r="59" spans="1:18">
      <c r="A59" s="68"/>
      <c r="B59" s="52" t="s">
        <v>15</v>
      </c>
      <c r="C59" s="52"/>
      <c r="E59" s="21"/>
      <c r="F59" s="21"/>
      <c r="G59" s="21"/>
      <c r="H59" s="21"/>
      <c r="I59" s="21"/>
      <c r="J59" s="21"/>
      <c r="K59" s="21"/>
      <c r="L59" s="21"/>
      <c r="M59" s="21"/>
      <c r="N59" s="21"/>
      <c r="O59" s="21"/>
      <c r="P59" s="21"/>
      <c r="Q59" s="134"/>
      <c r="R59" s="125"/>
    </row>
    <row r="60" spans="1:18">
      <c r="A60" s="68">
        <f>A46+1</f>
        <v>24</v>
      </c>
      <c r="B60" s="3" t="s">
        <v>89</v>
      </c>
      <c r="C60" s="3"/>
      <c r="D60" s="125">
        <f>SUM(E60:P60)</f>
        <v>1997848</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1997848</v>
      </c>
    </row>
    <row r="61" spans="1:18">
      <c r="A61" s="68">
        <f>+A60+1</f>
        <v>25</v>
      </c>
      <c r="B61" s="3" t="s">
        <v>88</v>
      </c>
      <c r="C61" s="3"/>
      <c r="D61" s="125">
        <f>SUM(E61:P61)</f>
        <v>2861</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0</v>
      </c>
      <c r="J61" s="14">
        <f>_xll.Get_Balance(J$85,"PTD","USD","Total","A","","001","501120","ED","AN","DL")</f>
        <v>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2861</v>
      </c>
    </row>
    <row r="62" spans="1:18">
      <c r="A62" s="68">
        <f>+A61+1</f>
        <v>26</v>
      </c>
      <c r="B62" s="5" t="s">
        <v>47</v>
      </c>
      <c r="C62" s="5"/>
      <c r="D62" s="125">
        <f>SUM(E62:P62)</f>
        <v>7150537</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0</v>
      </c>
      <c r="J62" s="14">
        <f>_xll.Get_Balance(J$85,"PTD","USD","Total","A","","001","501140","ED","AN","DL")</f>
        <v>0</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7150537</v>
      </c>
    </row>
    <row r="63" spans="1:18">
      <c r="A63" s="68">
        <f>+A62+1</f>
        <v>27</v>
      </c>
      <c r="B63" s="5" t="s">
        <v>46</v>
      </c>
      <c r="C63" s="5"/>
      <c r="D63" s="125">
        <f>SUM(E63:P63)</f>
        <v>66340</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0</v>
      </c>
      <c r="J63" s="14">
        <f>_xll.Get_Balance(J$85,"PTD","USD","Total","A","","001","501160","ED","AN","DL")</f>
        <v>0</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66340</v>
      </c>
    </row>
    <row r="64" spans="1:18" s="26" customFormat="1" ht="27.75" customHeight="1" thickBot="1">
      <c r="A64" s="122">
        <f>+A63+1</f>
        <v>28</v>
      </c>
      <c r="B64" s="53" t="s">
        <v>79</v>
      </c>
      <c r="C64" s="53"/>
      <c r="D64" s="34">
        <f>SUM(E64:P64)</f>
        <v>9217586</v>
      </c>
      <c r="E64" s="16">
        <f>SUM(E60:E63)</f>
        <v>2866380</v>
      </c>
      <c r="F64" s="16">
        <f t="shared" ref="F64:P64" si="18">SUM(F60:F63)</f>
        <v>1489795</v>
      </c>
      <c r="G64" s="16">
        <f t="shared" si="18"/>
        <v>2867639</v>
      </c>
      <c r="H64" s="16">
        <f t="shared" si="18"/>
        <v>1993772</v>
      </c>
      <c r="I64" s="16">
        <f t="shared" si="18"/>
        <v>0</v>
      </c>
      <c r="J64" s="16">
        <f t="shared" si="18"/>
        <v>0</v>
      </c>
      <c r="K64" s="16">
        <f t="shared" si="18"/>
        <v>0</v>
      </c>
      <c r="L64" s="16">
        <f t="shared" si="18"/>
        <v>0</v>
      </c>
      <c r="M64" s="16">
        <f t="shared" si="18"/>
        <v>0</v>
      </c>
      <c r="N64" s="16">
        <f t="shared" si="18"/>
        <v>0</v>
      </c>
      <c r="O64" s="16">
        <f t="shared" si="18"/>
        <v>0</v>
      </c>
      <c r="P64" s="16">
        <f t="shared" si="18"/>
        <v>0</v>
      </c>
      <c r="Q64" s="139"/>
      <c r="R64" s="124">
        <f>SUM(E64:P64)</f>
        <v>9217586</v>
      </c>
    </row>
    <row r="65" spans="1:18" ht="13.5" thickTop="1">
      <c r="A65" s="68"/>
      <c r="E65" s="21"/>
      <c r="F65" s="21"/>
      <c r="G65" s="21"/>
      <c r="H65" s="21"/>
      <c r="I65" s="21"/>
      <c r="J65" s="21"/>
      <c r="K65" s="21"/>
      <c r="L65" s="21"/>
      <c r="M65" s="21"/>
      <c r="N65" s="21"/>
      <c r="O65" s="21"/>
      <c r="P65" s="21"/>
      <c r="Q65" s="133"/>
    </row>
    <row r="66" spans="1:18" ht="18.75" customHeight="1">
      <c r="A66" s="68"/>
      <c r="B66" s="52" t="s">
        <v>23</v>
      </c>
      <c r="C66" s="52"/>
      <c r="E66" s="21"/>
      <c r="F66" s="21"/>
      <c r="G66" s="21"/>
      <c r="H66" s="21"/>
      <c r="I66" s="21"/>
      <c r="J66" s="21"/>
      <c r="K66" s="21"/>
      <c r="L66" s="21"/>
      <c r="M66" s="21"/>
      <c r="N66" s="21"/>
      <c r="O66" s="21"/>
      <c r="P66" s="21"/>
      <c r="Q66" s="133"/>
    </row>
    <row r="67" spans="1:18">
      <c r="A67" s="68">
        <f>A64+1</f>
        <v>29</v>
      </c>
      <c r="B67" s="4" t="s">
        <v>16</v>
      </c>
      <c r="C67" s="3" t="s">
        <v>115</v>
      </c>
      <c r="D67" s="140">
        <f>SUM(E67:P67)</f>
        <v>157854</v>
      </c>
      <c r="E67" s="141">
        <f>'Input Tab'!C50</f>
        <v>55618</v>
      </c>
      <c r="F67" s="141">
        <f>'Input Tab'!D50</f>
        <v>49341</v>
      </c>
      <c r="G67" s="141">
        <f>'Input Tab'!E50</f>
        <v>52895</v>
      </c>
      <c r="H67" s="141">
        <f>'Input Tab'!F50</f>
        <v>0</v>
      </c>
      <c r="I67" s="141">
        <f>'Input Tab'!G50</f>
        <v>0</v>
      </c>
      <c r="J67" s="141">
        <f>'Input Tab'!H50</f>
        <v>0</v>
      </c>
      <c r="K67" s="141">
        <f>'Input Tab'!I50</f>
        <v>0</v>
      </c>
      <c r="L67" s="141">
        <f>'Input Tab'!J50</f>
        <v>0</v>
      </c>
      <c r="M67" s="141">
        <f>'Input Tab'!K50</f>
        <v>0</v>
      </c>
      <c r="N67" s="141">
        <f>'Input Tab'!L50</f>
        <v>0</v>
      </c>
      <c r="O67" s="141">
        <f>'Input Tab'!M50</f>
        <v>0</v>
      </c>
      <c r="P67" s="141">
        <f>'Input Tab'!N50</f>
        <v>0</v>
      </c>
      <c r="Q67" s="133"/>
      <c r="R67" s="142">
        <f>SUM(E67:P67)</f>
        <v>157854</v>
      </c>
    </row>
    <row r="68" spans="1:18">
      <c r="A68" s="68">
        <f>A67+1</f>
        <v>30</v>
      </c>
      <c r="B68" s="4" t="s">
        <v>25</v>
      </c>
      <c r="C68" s="3" t="s">
        <v>114</v>
      </c>
      <c r="D68" s="140">
        <f>SUM(E68:P68)</f>
        <v>347472</v>
      </c>
      <c r="E68" s="141">
        <f>'Input Tab'!C51</f>
        <v>94382</v>
      </c>
      <c r="F68" s="141">
        <f>'Input Tab'!D51</f>
        <v>84400</v>
      </c>
      <c r="G68" s="141">
        <f>'Input Tab'!E51</f>
        <v>99623</v>
      </c>
      <c r="H68" s="141">
        <f>'Input Tab'!F51</f>
        <v>69067</v>
      </c>
      <c r="I68" s="141">
        <f>'Input Tab'!G51</f>
        <v>0</v>
      </c>
      <c r="J68" s="141">
        <f>'Input Tab'!H51</f>
        <v>0</v>
      </c>
      <c r="K68" s="141">
        <f>'Input Tab'!I51</f>
        <v>0</v>
      </c>
      <c r="L68" s="141">
        <f>'Input Tab'!J51</f>
        <v>0</v>
      </c>
      <c r="M68" s="141">
        <f>'Input Tab'!K51</f>
        <v>0</v>
      </c>
      <c r="N68" s="141">
        <f>'Input Tab'!L51</f>
        <v>0</v>
      </c>
      <c r="O68" s="141">
        <f>'Input Tab'!M51</f>
        <v>0</v>
      </c>
      <c r="P68" s="141">
        <f>'Input Tab'!N51</f>
        <v>0</v>
      </c>
      <c r="Q68" s="133"/>
      <c r="R68" s="142">
        <f>SUM(E68:P68)</f>
        <v>347472</v>
      </c>
    </row>
    <row r="69" spans="1:18">
      <c r="A69" s="68"/>
      <c r="E69" s="21"/>
      <c r="F69" s="21"/>
      <c r="G69" s="21"/>
      <c r="H69" s="21"/>
      <c r="I69" s="21"/>
      <c r="J69" s="21"/>
      <c r="K69" s="21"/>
      <c r="L69" s="21"/>
      <c r="M69" s="21"/>
      <c r="N69" s="21"/>
      <c r="O69" s="21"/>
      <c r="P69" s="21"/>
      <c r="Q69" s="133"/>
    </row>
    <row r="70" spans="1:18" ht="21" customHeight="1">
      <c r="A70" s="68"/>
      <c r="B70" s="52" t="s">
        <v>26</v>
      </c>
      <c r="C70" s="52"/>
      <c r="E70" s="21"/>
      <c r="F70" s="21"/>
      <c r="G70" s="21"/>
      <c r="H70" s="21"/>
      <c r="I70" s="21"/>
      <c r="J70" s="21"/>
      <c r="K70" s="21"/>
      <c r="L70" s="21"/>
      <c r="M70" s="21"/>
      <c r="N70" s="21"/>
      <c r="O70" s="21"/>
      <c r="P70" s="21"/>
      <c r="Q70" s="133"/>
    </row>
    <row r="71" spans="1:18">
      <c r="A71" s="68">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t="str">
        <f t="shared" si="19"/>
        <v xml:space="preserve"> </v>
      </c>
      <c r="K71" s="144" t="str">
        <f>IF(K67=0," ",K60/K67)</f>
        <v xml:space="preserve"> </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12.66</v>
      </c>
    </row>
    <row r="72" spans="1:18">
      <c r="A72" s="68">
        <f>A71+1</f>
        <v>32</v>
      </c>
      <c r="B72" s="4" t="s">
        <v>19</v>
      </c>
      <c r="D72" s="68" t="s">
        <v>18</v>
      </c>
      <c r="E72" s="144">
        <f>IF(E68=0," ",E62/E68)</f>
        <v>21.91</v>
      </c>
      <c r="F72" s="144">
        <f>IF(F68=0," ",F62/F68)</f>
        <v>10.16</v>
      </c>
      <c r="G72" s="144">
        <f t="shared" ref="G72:P72" si="20">IF(G68=0," ",G62/G68)</f>
        <v>22.24</v>
      </c>
      <c r="H72" s="144">
        <f t="shared" si="20"/>
        <v>29.09</v>
      </c>
      <c r="I72" s="144" t="str">
        <f>IF(I68=0," ",I62/I68)</f>
        <v xml:space="preserve"> </v>
      </c>
      <c r="J72" s="144" t="str">
        <f t="shared" si="20"/>
        <v xml:space="preserve"> </v>
      </c>
      <c r="K72" s="144" t="str">
        <f t="shared" si="20"/>
        <v xml:space="preserve"> </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20.58</v>
      </c>
    </row>
    <row r="73" spans="1:18">
      <c r="A73" s="68"/>
      <c r="E73" s="21"/>
      <c r="F73" s="21"/>
      <c r="G73" s="21"/>
      <c r="H73" s="21"/>
      <c r="I73" s="21"/>
      <c r="J73" s="21"/>
      <c r="K73" s="21"/>
      <c r="L73" s="21"/>
      <c r="M73" s="21"/>
      <c r="N73" s="21"/>
      <c r="O73" s="21"/>
      <c r="P73" s="21"/>
      <c r="Q73" s="133"/>
    </row>
    <row r="74" spans="1:18">
      <c r="A74" s="68"/>
      <c r="B74" s="52" t="s">
        <v>20</v>
      </c>
      <c r="C74" s="52"/>
      <c r="E74" s="21"/>
      <c r="F74" s="21"/>
      <c r="G74" s="21"/>
      <c r="H74" s="21"/>
      <c r="I74" s="21"/>
      <c r="J74" s="21"/>
      <c r="K74" s="21"/>
      <c r="L74" s="21"/>
      <c r="M74" s="21"/>
      <c r="N74" s="21"/>
      <c r="O74" s="21"/>
      <c r="P74" s="21"/>
      <c r="Q74" s="133"/>
    </row>
    <row r="75" spans="1:18">
      <c r="A75" s="68">
        <f>A72+1</f>
        <v>33</v>
      </c>
      <c r="B75" s="4" t="s">
        <v>57</v>
      </c>
      <c r="D75" s="125">
        <f t="shared" ref="D75:D81" si="21">SUM(E75:P75)</f>
        <v>36292</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0</v>
      </c>
      <c r="J75" s="14">
        <f>_xll.Get_Balance(J$85,"PTD","USD","Total","A","","001","547213","ED","AN","DL")</f>
        <v>0</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36292</v>
      </c>
    </row>
    <row r="76" spans="1:18">
      <c r="A76" s="68">
        <f t="shared" ref="A76:A81" si="23">A75+1</f>
        <v>34</v>
      </c>
      <c r="B76" s="4" t="s">
        <v>50</v>
      </c>
      <c r="D76" s="125">
        <f t="shared" si="21"/>
        <v>398571</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0</v>
      </c>
      <c r="J76" s="14">
        <f>_xll.Get_Balance(J$85,"PTD","USD","Total","A","","001","547216","ED","AN","DL")</f>
        <v>0</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398571</v>
      </c>
    </row>
    <row r="77" spans="1:18">
      <c r="A77" s="68">
        <f t="shared" si="23"/>
        <v>35</v>
      </c>
      <c r="B77" s="4" t="s">
        <v>49</v>
      </c>
      <c r="D77" s="125">
        <f t="shared" si="21"/>
        <v>114568</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0</v>
      </c>
      <c r="J77" s="14">
        <f>_xll.Get_Balance(J85,"PTD","USD","Total","A","","001","547211","ED","AN","DL")</f>
        <v>0</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114568</v>
      </c>
    </row>
    <row r="78" spans="1:18">
      <c r="A78" s="68">
        <f t="shared" si="23"/>
        <v>36</v>
      </c>
      <c r="B78" s="4" t="s">
        <v>51</v>
      </c>
      <c r="D78" s="125">
        <f t="shared" si="21"/>
        <v>13621109</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0</v>
      </c>
      <c r="J78" s="14">
        <f>_xll.Get_Balance(J$85,"PTD","USD","Total","A","","001","547610","ED","AN","DL")</f>
        <v>0</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13621109</v>
      </c>
    </row>
    <row r="79" spans="1:18">
      <c r="A79" s="68">
        <f>A78+1</f>
        <v>37</v>
      </c>
      <c r="B79" s="3" t="s">
        <v>59</v>
      </c>
      <c r="C79" s="3"/>
      <c r="D79" s="125">
        <f t="shared" si="21"/>
        <v>13573804</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0</v>
      </c>
      <c r="J79" s="14">
        <f>_xll.Get_Balance(J$85,"PTD","USD","Total","A","","001","547312","ED","AN","DL")</f>
        <v>0</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13573804</v>
      </c>
    </row>
    <row r="80" spans="1:18">
      <c r="A80" s="68">
        <f>A79+1</f>
        <v>38</v>
      </c>
      <c r="B80" s="55" t="s">
        <v>52</v>
      </c>
      <c r="C80" s="55"/>
      <c r="D80" s="125">
        <f t="shared" si="21"/>
        <v>1201300</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0</v>
      </c>
      <c r="J80" s="24">
        <f>_xll.Get_Balance(J$85,"PTD","USD","Total","A","","001","547310","ED","AN","DL")</f>
        <v>0</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1201300</v>
      </c>
    </row>
    <row r="81" spans="1:18" s="26" customFormat="1" ht="21.75" customHeight="1">
      <c r="A81" s="122">
        <f t="shared" si="23"/>
        <v>39</v>
      </c>
      <c r="B81" s="53" t="s">
        <v>78</v>
      </c>
      <c r="C81" s="53"/>
      <c r="D81" s="34">
        <f t="shared" si="21"/>
        <v>28945644</v>
      </c>
      <c r="E81" s="16">
        <f t="shared" ref="E81:P81" si="24">SUM(E75:E80)</f>
        <v>5520134</v>
      </c>
      <c r="F81" s="16">
        <f t="shared" si="24"/>
        <v>12385807</v>
      </c>
      <c r="G81" s="16">
        <f t="shared" si="24"/>
        <v>7672060</v>
      </c>
      <c r="H81" s="16">
        <f t="shared" si="24"/>
        <v>3367643</v>
      </c>
      <c r="I81" s="16">
        <f t="shared" si="24"/>
        <v>0</v>
      </c>
      <c r="J81" s="16">
        <f t="shared" si="24"/>
        <v>0</v>
      </c>
      <c r="K81" s="16">
        <f t="shared" si="24"/>
        <v>0</v>
      </c>
      <c r="L81" s="16">
        <f t="shared" si="24"/>
        <v>0</v>
      </c>
      <c r="M81" s="16">
        <f t="shared" si="24"/>
        <v>0</v>
      </c>
      <c r="N81" s="16">
        <f t="shared" si="24"/>
        <v>0</v>
      </c>
      <c r="O81" s="16">
        <f t="shared" si="24"/>
        <v>0</v>
      </c>
      <c r="P81" s="16">
        <f t="shared" si="24"/>
        <v>0</v>
      </c>
      <c r="Q81" s="150"/>
      <c r="R81" s="151">
        <f>SUM(R75:R80)</f>
        <v>28945644</v>
      </c>
    </row>
    <row r="82" spans="1:18" ht="15.75" customHeight="1">
      <c r="A82" s="68"/>
      <c r="E82" s="19"/>
      <c r="F82" s="19"/>
      <c r="G82" s="19"/>
      <c r="H82" s="19"/>
      <c r="I82" s="19"/>
      <c r="J82" s="19"/>
      <c r="K82" s="19"/>
      <c r="L82" s="19"/>
      <c r="M82" s="19"/>
      <c r="N82" s="19"/>
      <c r="O82" s="19"/>
      <c r="P82" s="19"/>
      <c r="Q82" s="147"/>
      <c r="R82" s="152"/>
    </row>
    <row r="83" spans="1:18" ht="21" customHeight="1">
      <c r="A83" s="122">
        <f>A81+1</f>
        <v>40</v>
      </c>
      <c r="B83" s="56" t="s">
        <v>32</v>
      </c>
      <c r="C83" s="56"/>
      <c r="D83" s="153">
        <f>SUM(E83:P83)</f>
        <v>60191766</v>
      </c>
      <c r="E83" s="16">
        <f t="shared" ref="E83:P83" si="25">E23+E46+E64+E81</f>
        <v>14719055</v>
      </c>
      <c r="F83" s="16">
        <f t="shared" si="25"/>
        <v>22646575</v>
      </c>
      <c r="G83" s="16">
        <f t="shared" si="25"/>
        <v>17583693</v>
      </c>
      <c r="H83" s="16">
        <f t="shared" si="25"/>
        <v>5242443</v>
      </c>
      <c r="I83" s="16">
        <f t="shared" si="25"/>
        <v>0</v>
      </c>
      <c r="J83" s="16">
        <f t="shared" si="25"/>
        <v>0</v>
      </c>
      <c r="K83" s="16">
        <f t="shared" si="25"/>
        <v>0</v>
      </c>
      <c r="L83" s="16">
        <f t="shared" si="25"/>
        <v>0</v>
      </c>
      <c r="M83" s="16">
        <f t="shared" si="25"/>
        <v>0</v>
      </c>
      <c r="N83" s="16">
        <f t="shared" si="25"/>
        <v>0</v>
      </c>
      <c r="O83" s="16">
        <f t="shared" si="25"/>
        <v>0</v>
      </c>
      <c r="P83" s="16">
        <f t="shared" si="25"/>
        <v>0</v>
      </c>
      <c r="Q83" s="154"/>
      <c r="R83" s="155">
        <f>R23-R46+R64+R81</f>
        <v>120840533</v>
      </c>
    </row>
    <row r="84" spans="1:18" ht="12" customHeight="1">
      <c r="E84" s="21"/>
      <c r="F84" s="21"/>
      <c r="G84" s="21"/>
      <c r="H84" s="21"/>
      <c r="I84" s="21"/>
      <c r="J84" s="21"/>
      <c r="K84" s="21"/>
      <c r="L84" s="21"/>
      <c r="M84" s="21"/>
      <c r="N84" s="21"/>
      <c r="O84" s="21"/>
      <c r="P84" s="21"/>
      <c r="Q84" s="133"/>
    </row>
    <row r="85" spans="1:18" outlineLevel="1">
      <c r="B85" s="57" t="s">
        <v>24</v>
      </c>
      <c r="C85" s="57"/>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8" t="s">
        <v>85</v>
      </c>
      <c r="C86" s="58"/>
      <c r="D86" s="157"/>
      <c r="E86" s="130"/>
      <c r="F86" s="21"/>
      <c r="G86" s="158"/>
      <c r="H86" s="158"/>
      <c r="I86" s="158"/>
      <c r="J86" s="158"/>
      <c r="K86" s="158"/>
      <c r="L86" s="158"/>
      <c r="M86" s="158"/>
      <c r="N86" s="158"/>
      <c r="O86" s="158"/>
      <c r="P86" s="158"/>
      <c r="Q86" s="133"/>
    </row>
    <row r="87" spans="1:18">
      <c r="A87" s="68">
        <f>A83+1</f>
        <v>41</v>
      </c>
      <c r="B87" s="57" t="s">
        <v>43</v>
      </c>
      <c r="C87" s="57"/>
      <c r="D87" s="44">
        <f t="shared" ref="D87:D95" si="26">SUM(E87:P87)</f>
        <v>-4728544</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0</v>
      </c>
      <c r="J87" s="14">
        <f>_xll.Get_Balance(J$85,"PTD","USD","Total","A","","001","456100","ED","AN","DL")</f>
        <v>0</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-4728544</v>
      </c>
    </row>
    <row r="88" spans="1:18">
      <c r="A88" s="68">
        <v>45</v>
      </c>
      <c r="B88" s="57" t="s">
        <v>120</v>
      </c>
      <c r="C88" s="57"/>
      <c r="D88" s="44">
        <f t="shared" si="26"/>
        <v>-308000</v>
      </c>
      <c r="E88" s="47">
        <f>_xll.Get_Balance(E$85,"PTD","USD","Total","A","","001","456120","ED","AN","DL")</f>
        <v>-77000</v>
      </c>
      <c r="F88" s="47">
        <f>_xll.Get_Balance(F$85,"PTD","USD","Total","A","","001","456120","ED","AN","DL")</f>
        <v>-77000</v>
      </c>
      <c r="G88" s="47">
        <f>_xll.Get_Balance(G$85,"PTD","USD","Total","A","","001","456120","ED","AN","DL")</f>
        <v>-77000</v>
      </c>
      <c r="H88" s="47">
        <f>_xll.Get_Balance(H$85,"PTD","USD","Total","A","","001","456120","ED","AN","DL")</f>
        <v>-77000</v>
      </c>
      <c r="I88" s="47">
        <f>_xll.Get_Balance(I$85,"PTD","USD","Total","A","","001","456120","ED","AN","DL")</f>
        <v>0</v>
      </c>
      <c r="J88" s="47">
        <f>_xll.Get_Balance(J$85,"PTD","USD","Total","A","","001","456120","ED","AN","DL")</f>
        <v>0</v>
      </c>
      <c r="K88" s="47">
        <f>_xll.Get_Balance(K$85,"PTD","USD","Total","A","","001","456120","ED","AN","DL")</f>
        <v>0</v>
      </c>
      <c r="L88" s="47">
        <f>_xll.Get_Balance(L$85,"PTD","USD","Total","A","","001","456120","ED","AN","DL")</f>
        <v>0</v>
      </c>
      <c r="M88" s="47">
        <f>_xll.Get_Balance(M$85,"PTD","USD","Total","A","","001","456120","ED","AN","DL")</f>
        <v>0</v>
      </c>
      <c r="N88" s="47">
        <f>_xll.Get_Balance(N$85,"PTD","USD","Total","A","","001","456120","ED","AN","DL")</f>
        <v>0</v>
      </c>
      <c r="O88" s="47">
        <f>_xll.Get_Balance(O$85,"PTD","USD","Total","A","","001","456120","ED","AN","DL")</f>
        <v>0</v>
      </c>
      <c r="P88" s="47">
        <f>_xll.Get_Balance(P$85,"PTD","USD","Total","A","","001","456120","ED","AN","DL")</f>
        <v>0</v>
      </c>
      <c r="Q88" s="147"/>
      <c r="R88" s="148">
        <f t="shared" si="27"/>
        <v>-308000</v>
      </c>
    </row>
    <row r="89" spans="1:18">
      <c r="A89" s="68">
        <f>A88+1</f>
        <v>46</v>
      </c>
      <c r="B89" s="57" t="s">
        <v>155</v>
      </c>
      <c r="C89" s="57"/>
      <c r="D89" s="44">
        <f t="shared" si="26"/>
        <v>-576</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0</v>
      </c>
      <c r="J89" s="14">
        <f>_xll.Get_Balance(J$85,"PTD","USD","Total","A","","001","456020","ED","AN","DL")</f>
        <v>0</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-576</v>
      </c>
    </row>
    <row r="90" spans="1:18">
      <c r="A90" s="68">
        <f>A89+1</f>
        <v>47</v>
      </c>
      <c r="B90" s="57" t="s">
        <v>191</v>
      </c>
      <c r="C90" s="57"/>
      <c r="D90" s="44">
        <f t="shared" si="26"/>
        <v>-265632</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0</v>
      </c>
      <c r="J90" s="14">
        <f>_xll.Get_Balance(J$85,"PTD","USD","Total","A","","001","456030","ED","AN","DL")</f>
        <v>0</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8">
        <f>A90+1</f>
        <v>48</v>
      </c>
      <c r="B91" s="57" t="s">
        <v>154</v>
      </c>
      <c r="C91" s="57"/>
      <c r="D91" s="44">
        <f t="shared" si="26"/>
        <v>-900360</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0</v>
      </c>
      <c r="J91" s="14">
        <f>_xll.Get_Balance(J$85,"PTD","USD","Total","A","","001","456130","ED","AN","DL")</f>
        <v>0</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-900360</v>
      </c>
    </row>
    <row r="92" spans="1:18">
      <c r="A92" s="68">
        <f>+A91+1</f>
        <v>49</v>
      </c>
      <c r="B92" s="3" t="s">
        <v>122</v>
      </c>
      <c r="C92" s="3"/>
      <c r="D92" s="36">
        <f>SUM(E92:P92)</f>
        <v>-23772</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0</v>
      </c>
      <c r="J92" s="37">
        <f>_xll.Get_Balance(J$85,"PTD","USD","Total","A","","001","456017","ED","AN","DL")</f>
        <v>0</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-23772</v>
      </c>
    </row>
    <row r="93" spans="1:18">
      <c r="A93" s="68">
        <f>+A92+1</f>
        <v>50</v>
      </c>
      <c r="B93" s="77" t="s">
        <v>168</v>
      </c>
      <c r="C93" s="57"/>
      <c r="D93" s="44">
        <f t="shared" si="26"/>
        <v>-35832</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0</v>
      </c>
      <c r="J93" s="14">
        <f>_xll.Get_Balance(J$85,"PTD","USD","Total","A","","001","456700","ED","WA","DL")</f>
        <v>0</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-35832</v>
      </c>
    </row>
    <row r="94" spans="1:18">
      <c r="A94" s="68">
        <f>+A93+1</f>
        <v>51</v>
      </c>
      <c r="B94" s="59" t="s">
        <v>123</v>
      </c>
      <c r="C94" s="59" t="s">
        <v>99</v>
      </c>
      <c r="D94" s="44">
        <f t="shared" si="26"/>
        <v>-559892</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0</v>
      </c>
      <c r="J94" s="24">
        <f>_xll.Get_Balance(J$85,"PTD","USD","Total","A","","001","456705","ED","AN","DL")</f>
        <v>0</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-559892</v>
      </c>
    </row>
    <row r="95" spans="1:18" s="26" customFormat="1" ht="20.25" customHeight="1">
      <c r="A95" s="122">
        <f>A94+1</f>
        <v>52</v>
      </c>
      <c r="B95" s="60" t="s">
        <v>84</v>
      </c>
      <c r="C95" s="60"/>
      <c r="D95" s="34">
        <f t="shared" si="26"/>
        <v>-6822608</v>
      </c>
      <c r="E95" s="34">
        <f>SUM(E87:E94)</f>
        <v>-1387701</v>
      </c>
      <c r="F95" s="34">
        <f t="shared" ref="F95:P95" si="28">SUM(F87:F94)</f>
        <v>-1693902</v>
      </c>
      <c r="G95" s="34">
        <f t="shared" si="28"/>
        <v>-2209602</v>
      </c>
      <c r="H95" s="34">
        <f t="shared" si="28"/>
        <v>-1531403</v>
      </c>
      <c r="I95" s="34">
        <f t="shared" si="28"/>
        <v>0</v>
      </c>
      <c r="J95" s="34">
        <f t="shared" si="28"/>
        <v>0</v>
      </c>
      <c r="K95" s="34">
        <f t="shared" si="28"/>
        <v>0</v>
      </c>
      <c r="L95" s="34">
        <f t="shared" si="28"/>
        <v>0</v>
      </c>
      <c r="M95" s="34">
        <f t="shared" si="28"/>
        <v>0</v>
      </c>
      <c r="N95" s="34">
        <f t="shared" si="28"/>
        <v>0</v>
      </c>
      <c r="O95" s="34">
        <f t="shared" si="28"/>
        <v>0</v>
      </c>
      <c r="P95" s="34">
        <f t="shared" si="28"/>
        <v>0</v>
      </c>
      <c r="Q95" s="150"/>
      <c r="R95" s="151">
        <f t="shared" si="27"/>
        <v>-6822608</v>
      </c>
    </row>
    <row r="96" spans="1:18">
      <c r="A96" s="68"/>
      <c r="D96" s="5"/>
      <c r="E96" s="44"/>
      <c r="F96" s="125"/>
      <c r="G96" s="21"/>
      <c r="H96" s="21"/>
      <c r="I96" s="21"/>
      <c r="J96" s="21"/>
      <c r="K96" s="21"/>
      <c r="L96" s="21"/>
      <c r="M96" s="21"/>
      <c r="N96" s="21"/>
      <c r="O96" s="21"/>
      <c r="P96" s="21"/>
      <c r="Q96" s="147"/>
      <c r="R96" s="148"/>
    </row>
    <row r="97" spans="1:18">
      <c r="A97" s="68"/>
      <c r="B97" s="52" t="s">
        <v>86</v>
      </c>
      <c r="C97" s="52"/>
      <c r="D97" s="5"/>
      <c r="E97" s="44"/>
      <c r="F97" s="125"/>
      <c r="G97" s="21"/>
      <c r="H97" s="21"/>
      <c r="I97" s="21"/>
      <c r="J97" s="21"/>
      <c r="K97" s="21"/>
      <c r="L97" s="21"/>
      <c r="M97" s="21"/>
      <c r="N97" s="21"/>
      <c r="O97" s="21"/>
      <c r="P97" s="21"/>
      <c r="Q97" s="147"/>
      <c r="R97" s="148"/>
    </row>
    <row r="98" spans="1:18">
      <c r="A98" s="68">
        <f>A95+1</f>
        <v>53</v>
      </c>
      <c r="B98" s="3" t="s">
        <v>44</v>
      </c>
      <c r="C98" s="3"/>
      <c r="D98" s="44">
        <f>SUM(E98:P98)</f>
        <v>6127219</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0</v>
      </c>
      <c r="J98" s="32">
        <f>_xll.Get_Balance(J$85,"PTD","USD","Total","A","","001","565000","ED","AN","DL")</f>
        <v>0</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6127219</v>
      </c>
    </row>
    <row r="99" spans="1:18">
      <c r="A99" s="68">
        <f>A98+1</f>
        <v>54</v>
      </c>
      <c r="B99" s="3" t="s">
        <v>60</v>
      </c>
      <c r="C99" s="3" t="s">
        <v>61</v>
      </c>
      <c r="D99" s="44">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69">
        <f>A99+1</f>
        <v>55</v>
      </c>
      <c r="B100" s="61" t="s">
        <v>45</v>
      </c>
      <c r="C100" s="61"/>
      <c r="D100" s="44">
        <f>SUM(E100:P100)</f>
        <v>18144</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0</v>
      </c>
      <c r="J100" s="24">
        <f>_xll.Get_Balance(J$85,"PTD","USD","Total","A","","001","565710","ED","AN","DL")</f>
        <v>0</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18144</v>
      </c>
    </row>
    <row r="101" spans="1:18" s="26" customFormat="1" ht="20.25" customHeight="1">
      <c r="A101" s="122">
        <f>A100+1</f>
        <v>56</v>
      </c>
      <c r="B101" s="60" t="s">
        <v>83</v>
      </c>
      <c r="C101" s="60"/>
      <c r="D101" s="34">
        <f>SUM(E101:P101)</f>
        <v>6145363</v>
      </c>
      <c r="E101" s="16">
        <f t="shared" ref="E101:P101" si="29">SUM(E98:E100)</f>
        <v>1471955</v>
      </c>
      <c r="F101" s="16">
        <f t="shared" si="29"/>
        <v>1538740</v>
      </c>
      <c r="G101" s="16">
        <f t="shared" si="29"/>
        <v>1681541</v>
      </c>
      <c r="H101" s="16">
        <f t="shared" si="29"/>
        <v>1453127</v>
      </c>
      <c r="I101" s="16">
        <f t="shared" si="29"/>
        <v>0</v>
      </c>
      <c r="J101" s="16">
        <f t="shared" si="29"/>
        <v>0</v>
      </c>
      <c r="K101" s="16">
        <f t="shared" si="29"/>
        <v>0</v>
      </c>
      <c r="L101" s="16">
        <f t="shared" si="29"/>
        <v>0</v>
      </c>
      <c r="M101" s="16">
        <f t="shared" si="29"/>
        <v>0</v>
      </c>
      <c r="N101" s="16">
        <f t="shared" si="29"/>
        <v>0</v>
      </c>
      <c r="O101" s="16">
        <f t="shared" si="29"/>
        <v>0</v>
      </c>
      <c r="P101" s="16">
        <f t="shared" si="29"/>
        <v>0</v>
      </c>
      <c r="Q101" s="150"/>
      <c r="R101" s="151">
        <f>SUM(E101:P101)</f>
        <v>6145363</v>
      </c>
    </row>
    <row r="102" spans="1:18">
      <c r="A102" s="68"/>
      <c r="E102" s="21"/>
      <c r="F102" s="21"/>
      <c r="G102" s="21"/>
      <c r="H102" s="21"/>
      <c r="I102" s="21"/>
      <c r="J102" s="21"/>
      <c r="K102" s="21"/>
      <c r="L102" s="21"/>
      <c r="M102" s="21"/>
      <c r="N102" s="21"/>
      <c r="O102" s="21"/>
      <c r="P102" s="21"/>
      <c r="Q102" s="147"/>
      <c r="R102" s="148"/>
    </row>
    <row r="103" spans="1:18">
      <c r="A103" s="68"/>
      <c r="B103" s="52" t="s">
        <v>146</v>
      </c>
      <c r="E103" s="21"/>
      <c r="F103" s="21"/>
      <c r="G103" s="21"/>
      <c r="H103" s="21"/>
      <c r="I103" s="21"/>
      <c r="J103" s="21"/>
      <c r="K103" s="21"/>
      <c r="L103" s="21"/>
      <c r="M103" s="21"/>
      <c r="N103" s="21"/>
      <c r="O103" s="21"/>
      <c r="P103" s="21"/>
      <c r="Q103" s="147"/>
      <c r="R103" s="148"/>
    </row>
    <row r="104" spans="1:18">
      <c r="A104" s="68">
        <f>A101+1</f>
        <v>57</v>
      </c>
      <c r="B104" s="3" t="s">
        <v>149</v>
      </c>
      <c r="D104" s="125">
        <f>SUM(E104:P104)</f>
        <v>106265</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0</v>
      </c>
      <c r="J104" s="21">
        <f>_xll.Get_Balance(J$85,"PTD","USD","Total","A","","001","557170","ED","AN","DL")</f>
        <v>0</v>
      </c>
      <c r="K104" s="21">
        <f>_xll.Get_Balance(K$85,"PTD","USD","Total","A","","001","557170","ED","AN","DL")</f>
        <v>0</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8">
        <f>A104+1</f>
        <v>58</v>
      </c>
      <c r="B105" s="67" t="s">
        <v>148</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8">
        <f>A105+1</f>
        <v>59</v>
      </c>
      <c r="B106" s="67" t="s">
        <v>172</v>
      </c>
      <c r="C106" s="4" t="s">
        <v>173</v>
      </c>
      <c r="D106" s="125">
        <f>SUM(E106:P106)</f>
        <v>169939</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0</v>
      </c>
      <c r="J106" s="21">
        <f>_xll.Get_Balance(J$85,"PTD","USD","Total","A","","001","557165","ED","AN","DL")</f>
        <v>0</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8">
        <f>A106+1</f>
        <v>60</v>
      </c>
      <c r="B107" s="67" t="s">
        <v>175</v>
      </c>
      <c r="C107" s="4" t="s">
        <v>176</v>
      </c>
      <c r="D107" s="125">
        <f>SUM(E107:P107)</f>
        <v>16120</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0</v>
      </c>
      <c r="J107" s="21">
        <f>_xll.Get_Balance(J$85,"PTD","USD","Total","A","","001","557018","ED","AN","DL")</f>
        <v>0</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8">
        <f>A107+1</f>
        <v>61</v>
      </c>
      <c r="B108" s="60" t="s">
        <v>147</v>
      </c>
      <c r="C108" s="60"/>
      <c r="D108" s="34">
        <f>D104+D105+D106+D107</f>
        <v>292324</v>
      </c>
      <c r="E108" s="34">
        <f>E104+E105+E106+E107</f>
        <v>40867</v>
      </c>
      <c r="F108" s="34">
        <f t="shared" ref="F108:P108" si="30">F104+F105+F106+F107</f>
        <v>37768</v>
      </c>
      <c r="G108" s="34">
        <f t="shared" si="30"/>
        <v>91606</v>
      </c>
      <c r="H108" s="34">
        <f t="shared" si="30"/>
        <v>122083</v>
      </c>
      <c r="I108" s="34">
        <f t="shared" si="30"/>
        <v>0</v>
      </c>
      <c r="J108" s="34">
        <f t="shared" si="30"/>
        <v>0</v>
      </c>
      <c r="K108" s="34">
        <f t="shared" si="30"/>
        <v>0</v>
      </c>
      <c r="L108" s="34">
        <f t="shared" si="30"/>
        <v>0</v>
      </c>
      <c r="M108" s="34">
        <f t="shared" si="30"/>
        <v>0</v>
      </c>
      <c r="N108" s="34">
        <f t="shared" si="30"/>
        <v>0</v>
      </c>
      <c r="O108" s="34">
        <f t="shared" si="30"/>
        <v>0</v>
      </c>
      <c r="P108" s="34">
        <f t="shared" si="30"/>
        <v>0</v>
      </c>
      <c r="Q108" s="150"/>
      <c r="R108" s="151"/>
    </row>
    <row r="109" spans="1:18" ht="9" customHeight="1">
      <c r="A109" s="68"/>
      <c r="E109" s="19"/>
      <c r="F109" s="19"/>
      <c r="G109" s="19"/>
      <c r="H109" s="19"/>
      <c r="I109" s="19"/>
      <c r="J109" s="19"/>
      <c r="K109" s="19"/>
      <c r="L109" s="19"/>
      <c r="M109" s="19"/>
      <c r="N109" s="19"/>
      <c r="O109" s="19"/>
      <c r="P109" s="19"/>
      <c r="Q109" s="147"/>
      <c r="R109" s="148"/>
    </row>
    <row r="110" spans="1:18">
      <c r="A110" s="68"/>
      <c r="B110" s="8" t="s">
        <v>58</v>
      </c>
      <c r="C110" s="8"/>
      <c r="E110" s="19"/>
      <c r="F110" s="19"/>
      <c r="G110" s="19"/>
      <c r="H110" s="19"/>
      <c r="I110" s="19"/>
      <c r="J110" s="19"/>
      <c r="K110" s="19"/>
      <c r="L110" s="19"/>
      <c r="M110" s="19"/>
      <c r="N110" s="19"/>
      <c r="O110" s="19"/>
      <c r="P110" s="19"/>
      <c r="Q110" s="147"/>
      <c r="R110" s="148"/>
    </row>
    <row r="111" spans="1:18">
      <c r="A111" s="68">
        <f>A108+1</f>
        <v>62</v>
      </c>
      <c r="B111" s="4" t="s">
        <v>64</v>
      </c>
      <c r="D111" s="125">
        <f>SUM(E111:P111)</f>
        <v>-6281467</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0</v>
      </c>
      <c r="J111" s="19">
        <f>_xll.Get_Balance(J$85,"PTD","USD","Total","A","","001","557010","ED","AN","DL")</f>
        <v>0</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-6281467</v>
      </c>
    </row>
    <row r="112" spans="1:18">
      <c r="A112" s="68">
        <f>A111+1</f>
        <v>63</v>
      </c>
      <c r="B112" s="4" t="s">
        <v>53</v>
      </c>
      <c r="D112" s="125">
        <f t="shared" ref="D112:D121" si="32">SUM(E112:P112)</f>
        <v>-1948603</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0</v>
      </c>
      <c r="J112" s="19">
        <f>_xll.Get_Balance(J$85,"PTD","USD","Total","A","","001","557150","ED","AN","DL")</f>
        <v>0</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-1948603</v>
      </c>
    </row>
    <row r="113" spans="1:18">
      <c r="A113" s="68">
        <f t="shared" ref="A113:A121" si="33">A112+1</f>
        <v>64</v>
      </c>
      <c r="B113" s="4" t="s">
        <v>54</v>
      </c>
      <c r="D113" s="125">
        <f t="shared" si="32"/>
        <v>3664491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3664491</v>
      </c>
    </row>
    <row r="114" spans="1:18">
      <c r="A114" s="68">
        <f t="shared" si="33"/>
        <v>65</v>
      </c>
      <c r="B114" s="3" t="s">
        <v>71</v>
      </c>
      <c r="C114" s="3"/>
      <c r="D114" s="125">
        <f t="shared" si="32"/>
        <v>-3664491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-3664491</v>
      </c>
    </row>
    <row r="115" spans="1:18">
      <c r="A115" s="68">
        <f t="shared" si="33"/>
        <v>66</v>
      </c>
      <c r="B115" s="4" t="s">
        <v>66</v>
      </c>
      <c r="D115" s="125">
        <f t="shared" si="32"/>
        <v>25803874</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0</v>
      </c>
      <c r="J115" s="19">
        <f>_xll.Get_Balance(J$85,"PTD","USD","Total","A","","001","557730","ED","AN","DL")</f>
        <v>0</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25803874</v>
      </c>
    </row>
    <row r="116" spans="1:18">
      <c r="A116" s="68">
        <f t="shared" si="33"/>
        <v>67</v>
      </c>
      <c r="B116" s="3" t="s">
        <v>69</v>
      </c>
      <c r="C116" s="3"/>
      <c r="D116" s="125">
        <f t="shared" si="32"/>
        <v>7742742</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0</v>
      </c>
      <c r="J116" s="19">
        <f>_xll.Get_Balance(J$85,"PTD","USD","Total","A","","001","456010","ED","AN","DL")</f>
        <v>0</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7742742</v>
      </c>
    </row>
    <row r="117" spans="1:18">
      <c r="A117" s="68">
        <f t="shared" si="33"/>
        <v>68</v>
      </c>
      <c r="B117" s="4" t="s">
        <v>55</v>
      </c>
      <c r="D117" s="125">
        <f t="shared" si="32"/>
        <v>-4013386</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0</v>
      </c>
      <c r="J117" s="19">
        <f>_xll.Get_Balance(J$85,"PTD","USD","Total","A","","001","456015","ED","AN","DL")</f>
        <v>0</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-4013386</v>
      </c>
    </row>
    <row r="118" spans="1:18">
      <c r="A118" s="68">
        <f t="shared" si="33"/>
        <v>69</v>
      </c>
      <c r="B118" s="4" t="s">
        <v>184</v>
      </c>
      <c r="D118" s="125">
        <f t="shared" si="32"/>
        <v>-139175</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0</v>
      </c>
      <c r="J118" s="19">
        <f>_xll.Get_Balance(J$85,"PTD","USD","Total","A","","001","456018","ED","AN","DL")</f>
        <v>0</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8">
        <f t="shared" si="33"/>
        <v>70</v>
      </c>
      <c r="B119" s="4" t="s">
        <v>67</v>
      </c>
      <c r="D119" s="125">
        <f t="shared" si="32"/>
        <v>-22182239</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0</v>
      </c>
      <c r="J119" s="19">
        <f>_xll.Get_Balance(J$85,"PTD","USD","Total","A","","001","456730","ED","AN","DL")</f>
        <v>0</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-22182239</v>
      </c>
    </row>
    <row r="120" spans="1:18">
      <c r="A120" s="68">
        <f t="shared" si="33"/>
        <v>71</v>
      </c>
      <c r="B120" s="3" t="s">
        <v>70</v>
      </c>
      <c r="C120" s="3"/>
      <c r="D120" s="125">
        <f t="shared" si="32"/>
        <v>1704293</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0</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1704293</v>
      </c>
    </row>
    <row r="121" spans="1:18">
      <c r="A121" s="68">
        <f t="shared" si="33"/>
        <v>72</v>
      </c>
      <c r="B121" s="55" t="s">
        <v>56</v>
      </c>
      <c r="C121" s="55"/>
      <c r="D121" s="125">
        <f t="shared" si="32"/>
        <v>-1704293</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0</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-1704293</v>
      </c>
    </row>
    <row r="122" spans="1:18" ht="22.5" customHeight="1">
      <c r="A122" s="160">
        <f>+A121+1</f>
        <v>73</v>
      </c>
      <c r="B122" s="60" t="s">
        <v>100</v>
      </c>
      <c r="C122" s="60"/>
      <c r="D122" s="34">
        <f>SUM(E122:P122)</f>
        <v>-1018254</v>
      </c>
      <c r="E122" s="17">
        <f>SUM(E111:E121)</f>
        <v>738360</v>
      </c>
      <c r="F122" s="17">
        <f t="shared" ref="F122:P122" si="34">SUM(F111:F121)</f>
        <v>-2485058</v>
      </c>
      <c r="G122" s="17">
        <f t="shared" si="34"/>
        <v>1167514</v>
      </c>
      <c r="H122" s="17">
        <f t="shared" si="34"/>
        <v>-439070</v>
      </c>
      <c r="I122" s="17">
        <f t="shared" si="34"/>
        <v>0</v>
      </c>
      <c r="J122" s="17">
        <f t="shared" si="34"/>
        <v>0</v>
      </c>
      <c r="K122" s="17">
        <f t="shared" si="34"/>
        <v>0</v>
      </c>
      <c r="L122" s="17">
        <f t="shared" si="34"/>
        <v>0</v>
      </c>
      <c r="M122" s="17">
        <f t="shared" si="34"/>
        <v>0</v>
      </c>
      <c r="N122" s="17">
        <f t="shared" si="34"/>
        <v>0</v>
      </c>
      <c r="O122" s="17">
        <f t="shared" si="34"/>
        <v>0</v>
      </c>
      <c r="P122" s="17">
        <f t="shared" si="34"/>
        <v>0</v>
      </c>
      <c r="Q122" s="147"/>
      <c r="R122" s="161">
        <f>SUM(R111:R121)</f>
        <v>-879079</v>
      </c>
    </row>
    <row r="123" spans="1:18" ht="9" customHeight="1">
      <c r="A123" s="68"/>
      <c r="E123" s="21"/>
      <c r="F123" s="21"/>
      <c r="G123" s="21"/>
      <c r="H123" s="21"/>
      <c r="I123" s="21"/>
      <c r="J123" s="21"/>
      <c r="K123" s="21"/>
      <c r="L123" s="21"/>
      <c r="M123" s="21"/>
      <c r="N123" s="21"/>
      <c r="O123" s="21"/>
      <c r="P123" s="21"/>
      <c r="Q123" s="147"/>
      <c r="R123" s="148"/>
    </row>
    <row r="124" spans="1:18" ht="9" customHeight="1">
      <c r="A124" s="68"/>
      <c r="E124" s="21"/>
      <c r="F124" s="21"/>
      <c r="G124" s="21"/>
      <c r="H124" s="21"/>
      <c r="I124" s="21"/>
      <c r="J124" s="21"/>
      <c r="K124" s="21"/>
      <c r="L124" s="21"/>
      <c r="M124" s="21"/>
      <c r="N124" s="21"/>
      <c r="O124" s="21"/>
      <c r="P124" s="21"/>
      <c r="Q124" s="147"/>
      <c r="R124" s="148"/>
    </row>
    <row r="125" spans="1:18">
      <c r="A125" s="68">
        <f>A122+1</f>
        <v>74</v>
      </c>
      <c r="B125" s="62" t="s">
        <v>116</v>
      </c>
      <c r="C125" s="62"/>
      <c r="D125" s="83">
        <f>SUM(E125:P125)</f>
        <v>1452802</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0</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1452802</v>
      </c>
    </row>
    <row r="126" spans="1:18" ht="18.75" customHeight="1">
      <c r="A126" s="160">
        <f>A125+1</f>
        <v>75</v>
      </c>
      <c r="B126" s="60" t="s">
        <v>121</v>
      </c>
      <c r="C126" s="60"/>
      <c r="D126" s="48">
        <f>SUM(E126:P126)</f>
        <v>1452802</v>
      </c>
      <c r="E126" s="16">
        <f t="shared" ref="E126:P126" si="35">IF(E23=0," ",E125)</f>
        <v>436</v>
      </c>
      <c r="F126" s="16">
        <f t="shared" si="35"/>
        <v>267</v>
      </c>
      <c r="G126" s="16">
        <f t="shared" si="35"/>
        <v>1452099</v>
      </c>
      <c r="H126" s="16">
        <f t="shared" si="35"/>
        <v>0</v>
      </c>
      <c r="I126" s="16" t="str">
        <f t="shared" si="35"/>
        <v xml:space="preserve"> </v>
      </c>
      <c r="J126" s="16" t="str">
        <f t="shared" si="35"/>
        <v xml:space="preserve"> </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1452802</v>
      </c>
    </row>
    <row r="127" spans="1:18" ht="9" customHeight="1">
      <c r="A127" s="68"/>
      <c r="E127" s="21"/>
      <c r="F127" s="21"/>
      <c r="G127" s="21"/>
      <c r="H127" s="21"/>
      <c r="I127" s="21"/>
      <c r="J127" s="21"/>
      <c r="K127" s="21"/>
      <c r="L127" s="21"/>
      <c r="M127" s="21"/>
      <c r="N127" s="21"/>
      <c r="O127" s="21"/>
      <c r="P127" s="21"/>
      <c r="Q127" s="147"/>
      <c r="R127" s="148"/>
    </row>
    <row r="128" spans="1:18" ht="9" customHeight="1">
      <c r="A128" s="68"/>
      <c r="E128" s="21"/>
      <c r="F128" s="21"/>
      <c r="G128" s="21"/>
      <c r="H128" s="21"/>
      <c r="I128" s="21"/>
      <c r="J128" s="21"/>
      <c r="K128" s="21"/>
      <c r="L128" s="21"/>
      <c r="M128" s="21"/>
      <c r="N128" s="21"/>
      <c r="O128" s="21"/>
      <c r="P128" s="21"/>
      <c r="Q128" s="147"/>
      <c r="R128" s="148"/>
    </row>
    <row r="129" spans="1:19">
      <c r="A129" s="68">
        <f>A126+1</f>
        <v>76</v>
      </c>
      <c r="B129" s="57" t="s">
        <v>65</v>
      </c>
      <c r="C129" s="57"/>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69">
        <f>A129+1</f>
        <v>77</v>
      </c>
      <c r="B130" s="63" t="s">
        <v>76</v>
      </c>
      <c r="C130" s="63"/>
      <c r="D130" s="48">
        <f>SUM(E130:P130)</f>
        <v>209</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0</v>
      </c>
      <c r="J130" s="24">
        <f>_xll.Get_Balance(J$85,"PTD","USD","Total","A","","001","557395","ED","AN","DL")</f>
        <v>0</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209</v>
      </c>
    </row>
    <row r="131" spans="1:19" ht="17.25" customHeight="1">
      <c r="A131" s="68">
        <f>A130+1</f>
        <v>78</v>
      </c>
      <c r="B131" s="64" t="s">
        <v>77</v>
      </c>
      <c r="C131" s="64"/>
      <c r="D131" s="25">
        <f>SUM(E131:P131)</f>
        <v>209</v>
      </c>
      <c r="E131" s="25">
        <f>E130-E129</f>
        <v>25</v>
      </c>
      <c r="F131" s="25">
        <f t="shared" ref="F131:P131" si="36">F130-F129</f>
        <v>17</v>
      </c>
      <c r="G131" s="25">
        <f t="shared" si="36"/>
        <v>135</v>
      </c>
      <c r="H131" s="25">
        <f t="shared" si="36"/>
        <v>32</v>
      </c>
      <c r="I131" s="25">
        <f t="shared" si="36"/>
        <v>0</v>
      </c>
      <c r="J131" s="25">
        <f t="shared" si="36"/>
        <v>0</v>
      </c>
      <c r="K131" s="25">
        <f t="shared" si="36"/>
        <v>0</v>
      </c>
      <c r="L131" s="25">
        <f t="shared" si="36"/>
        <v>0</v>
      </c>
      <c r="M131" s="25">
        <f t="shared" si="36"/>
        <v>0</v>
      </c>
      <c r="N131" s="25">
        <f t="shared" si="36"/>
        <v>0</v>
      </c>
      <c r="O131" s="25">
        <f t="shared" si="36"/>
        <v>0</v>
      </c>
      <c r="P131" s="25">
        <f t="shared" si="36"/>
        <v>0</v>
      </c>
      <c r="Q131" s="147"/>
      <c r="R131" s="148">
        <f>SUM(E131:P131)</f>
        <v>209</v>
      </c>
    </row>
    <row r="132" spans="1:19" ht="17.25" customHeight="1">
      <c r="A132" s="68"/>
      <c r="B132" s="64"/>
      <c r="C132" s="64"/>
      <c r="D132" s="25"/>
      <c r="E132" s="25"/>
      <c r="F132" s="25"/>
      <c r="G132" s="25"/>
      <c r="H132" s="25"/>
      <c r="I132" s="25"/>
      <c r="J132" s="25"/>
      <c r="K132" s="25"/>
      <c r="L132" s="25"/>
      <c r="M132" s="25"/>
      <c r="N132" s="25"/>
      <c r="O132" s="25"/>
      <c r="P132" s="25"/>
      <c r="Q132" s="147"/>
      <c r="R132" s="148"/>
    </row>
    <row r="133" spans="1:19">
      <c r="A133" s="68">
        <f>A131+1</f>
        <v>79</v>
      </c>
      <c r="B133" s="57" t="s">
        <v>143</v>
      </c>
      <c r="C133" s="57"/>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8">
        <f>A133+1</f>
        <v>80</v>
      </c>
      <c r="B134" s="57" t="s">
        <v>144</v>
      </c>
      <c r="C134" s="57"/>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69">
        <f>A134+1</f>
        <v>81</v>
      </c>
      <c r="B135" s="59" t="s">
        <v>145</v>
      </c>
      <c r="C135" s="63"/>
      <c r="D135" s="48">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8">
        <f>A135+1</f>
        <v>82</v>
      </c>
      <c r="B136" s="64" t="s">
        <v>142</v>
      </c>
      <c r="C136" s="64"/>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8"/>
      <c r="B137" s="65"/>
      <c r="C137" s="65"/>
      <c r="D137" s="163"/>
      <c r="E137" s="41"/>
      <c r="F137" s="32"/>
      <c r="G137" s="32"/>
      <c r="H137" s="32"/>
      <c r="I137" s="32"/>
      <c r="J137" s="32"/>
      <c r="K137" s="32"/>
      <c r="L137" s="32"/>
      <c r="M137" s="32"/>
      <c r="N137" s="32"/>
      <c r="O137" s="32"/>
      <c r="P137" s="32"/>
      <c r="Q137" s="147"/>
      <c r="R137" s="148"/>
    </row>
    <row r="138" spans="1:19" ht="23.25" customHeight="1">
      <c r="A138" s="122">
        <f>A136+1</f>
        <v>83</v>
      </c>
      <c r="B138" s="53" t="s">
        <v>62</v>
      </c>
      <c r="C138" s="53"/>
      <c r="D138" s="34">
        <f>SUM(E138:P138)</f>
        <v>434757</v>
      </c>
      <c r="E138" s="16">
        <f t="shared" ref="E138:P138" si="38">IF(E23=0," ",E122+E126+E131)</f>
        <v>738821</v>
      </c>
      <c r="F138" s="16">
        <f t="shared" si="38"/>
        <v>-2484774</v>
      </c>
      <c r="G138" s="16">
        <f t="shared" si="38"/>
        <v>2619748</v>
      </c>
      <c r="H138" s="16">
        <f t="shared" si="38"/>
        <v>-439038</v>
      </c>
      <c r="I138" s="16" t="str">
        <f t="shared" si="38"/>
        <v xml:space="preserve"> </v>
      </c>
      <c r="J138" s="16" t="str">
        <f t="shared" si="38"/>
        <v xml:space="preserve"> </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-304064</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6" t="s">
        <v>10</v>
      </c>
      <c r="C140" s="66"/>
      <c r="D140" s="165">
        <f>SUM(E140:P140)</f>
        <v>60241602</v>
      </c>
      <c r="E140" s="38">
        <f t="shared" ref="E140:P140" si="39">IF(E23=0," ",E83+E95+E101+E108+E138+E136)</f>
        <v>15582997</v>
      </c>
      <c r="F140" s="38">
        <f t="shared" si="39"/>
        <v>20044407</v>
      </c>
      <c r="G140" s="38">
        <f t="shared" si="39"/>
        <v>19766986</v>
      </c>
      <c r="H140" s="38">
        <f t="shared" si="39"/>
        <v>4847212</v>
      </c>
      <c r="I140" s="38" t="str">
        <f t="shared" si="39"/>
        <v xml:space="preserve"> </v>
      </c>
      <c r="J140" s="38" t="str">
        <f t="shared" si="39"/>
        <v xml:space="preserve"> </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4" fitToHeight="2" orientation="landscape" r:id="rId1"/>
  <headerFooter alignWithMargins="0">
    <oddFooter>&amp;L&amp;F - &amp;D&amp;R&amp;P</oddFooter>
  </headerFooter>
  <rowBreaks count="1" manualBreakCount="1">
    <brk id="78" max="17" man="1"/>
  </rowBreaks>
  <colBreaks count="1" manualBreakCount="1">
    <brk id="16" max="1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74</v>
      </c>
      <c r="B1" s="218"/>
      <c r="C1" s="218"/>
      <c r="D1" s="218"/>
      <c r="E1" s="218"/>
      <c r="F1" s="218"/>
      <c r="G1" s="218"/>
      <c r="H1" s="218"/>
      <c r="I1" s="218"/>
      <c r="J1" s="218"/>
      <c r="K1" s="218"/>
      <c r="L1" s="218"/>
      <c r="M1" s="218"/>
      <c r="N1" s="218"/>
    </row>
    <row r="2" spans="1:17" ht="20.25">
      <c r="A2" s="219" t="s">
        <v>131</v>
      </c>
      <c r="B2" s="219"/>
      <c r="C2" s="219"/>
      <c r="D2" s="219"/>
      <c r="E2" s="219"/>
      <c r="F2" s="219"/>
      <c r="G2" s="219"/>
      <c r="H2" s="219"/>
      <c r="I2" s="219"/>
      <c r="J2" s="219"/>
      <c r="K2" s="219"/>
      <c r="L2" s="219"/>
      <c r="M2" s="219"/>
      <c r="N2" s="219"/>
    </row>
    <row r="3" spans="1:17" ht="23.25">
      <c r="A3" s="220" t="s">
        <v>185</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132</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127</v>
      </c>
    </row>
    <row r="8" spans="1:17" ht="24.95" customHeight="1">
      <c r="A8" s="171" t="s">
        <v>126</v>
      </c>
      <c r="B8" s="172">
        <f>'Input Tab'!C54</f>
        <v>547355</v>
      </c>
      <c r="C8" s="172">
        <f>'Input Tab'!D54</f>
        <v>516536</v>
      </c>
      <c r="D8" s="172">
        <f>'Input Tab'!E54</f>
        <v>544642</v>
      </c>
      <c r="E8" s="172">
        <f>'Input Tab'!F54</f>
        <v>444134</v>
      </c>
      <c r="F8" s="172">
        <f>'Input Tab'!G54</f>
        <v>0</v>
      </c>
      <c r="G8" s="172">
        <f>'Input Tab'!H54</f>
        <v>0</v>
      </c>
      <c r="H8" s="172">
        <f>'Input Tab'!I54</f>
        <v>0</v>
      </c>
      <c r="I8" s="172">
        <f>'Input Tab'!J54</f>
        <v>0</v>
      </c>
      <c r="J8" s="172">
        <f>'Input Tab'!K54</f>
        <v>0</v>
      </c>
      <c r="K8" s="172">
        <f>'Input Tab'!L54</f>
        <v>0</v>
      </c>
      <c r="L8" s="172">
        <f>'Input Tab'!M54</f>
        <v>0</v>
      </c>
      <c r="M8" s="172">
        <f>'Input Tab'!N54</f>
        <v>0</v>
      </c>
      <c r="N8" s="45">
        <f t="shared" ref="N8:N13" si="1">SUM(B8:M8)</f>
        <v>2052667</v>
      </c>
      <c r="P8" s="173"/>
    </row>
    <row r="9" spans="1:17" ht="24.95" customHeight="1">
      <c r="A9" s="174" t="s">
        <v>128</v>
      </c>
      <c r="B9" s="172">
        <f>-312515235/1000</f>
        <v>-312515</v>
      </c>
      <c r="C9" s="175">
        <f>IF(C8=0,0,-B10)</f>
        <v>-304564</v>
      </c>
      <c r="D9" s="175">
        <f t="shared" ref="D9:M9" si="2">IF(D8=0,0,-C10)</f>
        <v>-295589</v>
      </c>
      <c r="E9" s="175">
        <f t="shared" si="2"/>
        <v>-262441</v>
      </c>
      <c r="F9" s="175">
        <f t="shared" si="2"/>
        <v>0</v>
      </c>
      <c r="G9" s="175">
        <f t="shared" si="2"/>
        <v>0</v>
      </c>
      <c r="H9" s="175">
        <f t="shared" si="2"/>
        <v>0</v>
      </c>
      <c r="I9" s="175">
        <f t="shared" si="2"/>
        <v>0</v>
      </c>
      <c r="J9" s="175">
        <f t="shared" si="2"/>
        <v>0</v>
      </c>
      <c r="K9" s="175">
        <f t="shared" si="2"/>
        <v>0</v>
      </c>
      <c r="L9" s="175">
        <f t="shared" si="2"/>
        <v>0</v>
      </c>
      <c r="M9" s="175">
        <f t="shared" si="2"/>
        <v>0</v>
      </c>
      <c r="N9" s="45">
        <f t="shared" si="1"/>
        <v>-1175109</v>
      </c>
    </row>
    <row r="10" spans="1:17" ht="24.95" customHeight="1">
      <c r="A10" s="174" t="s">
        <v>129</v>
      </c>
      <c r="B10" s="172">
        <f>'Input Tab'!C55</f>
        <v>304564</v>
      </c>
      <c r="C10" s="172">
        <f>'Input Tab'!D55</f>
        <v>295589</v>
      </c>
      <c r="D10" s="172">
        <f>'Input Tab'!E55</f>
        <v>262441</v>
      </c>
      <c r="E10" s="172">
        <f>'Input Tab'!F55</f>
        <v>226759</v>
      </c>
      <c r="F10" s="172">
        <f>'Input Tab'!G55</f>
        <v>0</v>
      </c>
      <c r="G10" s="172">
        <f>'Input Tab'!H55</f>
        <v>0</v>
      </c>
      <c r="H10" s="172">
        <f>'Input Tab'!I55</f>
        <v>0</v>
      </c>
      <c r="I10" s="172">
        <f>'Input Tab'!J55</f>
        <v>0</v>
      </c>
      <c r="J10" s="172">
        <f>'Input Tab'!K55</f>
        <v>0</v>
      </c>
      <c r="K10" s="172">
        <f>'Input Tab'!L55</f>
        <v>0</v>
      </c>
      <c r="L10" s="172">
        <f>'Input Tab'!M55</f>
        <v>0</v>
      </c>
      <c r="M10" s="172">
        <f>'Input Tab'!N55</f>
        <v>0</v>
      </c>
      <c r="N10" s="45">
        <f t="shared" si="1"/>
        <v>1089353</v>
      </c>
      <c r="P10" s="176"/>
      <c r="Q10" s="176"/>
    </row>
    <row r="11" spans="1:17" ht="30.75" customHeight="1">
      <c r="A11" s="177" t="s">
        <v>133</v>
      </c>
      <c r="B11" s="178">
        <f t="shared" ref="B11:L11" si="3">SUM(B8:B10)</f>
        <v>539404</v>
      </c>
      <c r="C11" s="178">
        <f t="shared" si="3"/>
        <v>507561</v>
      </c>
      <c r="D11" s="178">
        <f t="shared" si="3"/>
        <v>511494</v>
      </c>
      <c r="E11" s="178">
        <f t="shared" si="3"/>
        <v>408452</v>
      </c>
      <c r="F11" s="178">
        <f t="shared" si="3"/>
        <v>0</v>
      </c>
      <c r="G11" s="178">
        <f t="shared" si="3"/>
        <v>0</v>
      </c>
      <c r="H11" s="178">
        <f t="shared" si="3"/>
        <v>0</v>
      </c>
      <c r="I11" s="178">
        <f t="shared" si="3"/>
        <v>0</v>
      </c>
      <c r="J11" s="178">
        <f t="shared" si="3"/>
        <v>0</v>
      </c>
      <c r="K11" s="178">
        <f t="shared" si="3"/>
        <v>0</v>
      </c>
      <c r="L11" s="178">
        <f t="shared" si="3"/>
        <v>0</v>
      </c>
      <c r="M11" s="178">
        <f>SUM(M8:M10)</f>
        <v>0</v>
      </c>
      <c r="N11" s="179">
        <f t="shared" si="1"/>
        <v>1966911</v>
      </c>
      <c r="P11" s="180"/>
      <c r="Q11" s="173"/>
    </row>
    <row r="12" spans="1:17" ht="32.25" customHeight="1">
      <c r="A12" s="181" t="s">
        <v>134</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SUM(B12:E12)</f>
        <v>1951261</v>
      </c>
      <c r="P12" s="140" t="s">
        <v>138</v>
      </c>
    </row>
    <row r="13" spans="1:17" ht="38.25" customHeight="1">
      <c r="A13" s="184" t="s">
        <v>130</v>
      </c>
      <c r="B13" s="46">
        <f>B11-B12</f>
        <v>-16713</v>
      </c>
      <c r="C13" s="46">
        <f>IF(C8=0," ",C11-C12)</f>
        <v>21198</v>
      </c>
      <c r="D13" s="46">
        <f t="shared" ref="D13:M13" si="4">IF(D8=0," ",D11-D12)</f>
        <v>33959</v>
      </c>
      <c r="E13" s="46">
        <f t="shared" si="4"/>
        <v>-22794</v>
      </c>
      <c r="F13" s="46" t="str">
        <f t="shared" si="4"/>
        <v xml:space="preserve"> </v>
      </c>
      <c r="G13" s="46" t="str">
        <f t="shared" si="4"/>
        <v xml:space="preserve"> </v>
      </c>
      <c r="H13" s="46" t="str">
        <f t="shared" si="4"/>
        <v xml:space="preserve"> </v>
      </c>
      <c r="I13" s="46" t="str">
        <f t="shared" si="4"/>
        <v xml:space="preserve"> </v>
      </c>
      <c r="J13" s="46" t="str">
        <f t="shared" si="4"/>
        <v xml:space="preserve"> </v>
      </c>
      <c r="K13" s="46" t="str">
        <f t="shared" si="4"/>
        <v xml:space="preserve"> </v>
      </c>
      <c r="L13" s="46" t="str">
        <f t="shared" si="4"/>
        <v xml:space="preserve"> </v>
      </c>
      <c r="M13" s="46" t="str">
        <f t="shared" si="4"/>
        <v xml:space="preserve"> </v>
      </c>
      <c r="N13" s="185">
        <f t="shared" si="1"/>
        <v>15650</v>
      </c>
    </row>
    <row r="14" spans="1:17" ht="42.75" customHeight="1">
      <c r="A14" s="184" t="s">
        <v>135</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5"/>
    </row>
    <row r="15" spans="1:17" ht="30.75" customHeight="1" thickBot="1">
      <c r="A15" s="187" t="s">
        <v>136</v>
      </c>
      <c r="B15" s="188">
        <f>B13*B14</f>
        <v>-302672</v>
      </c>
      <c r="C15" s="188">
        <f>IF(C8=0,0,C13*C14)</f>
        <v>383896</v>
      </c>
      <c r="D15" s="188">
        <f t="shared" ref="D15:M15" si="5">IF(D8=0,0,D13*D14)</f>
        <v>614997</v>
      </c>
      <c r="E15" s="188">
        <f t="shared" si="5"/>
        <v>-412799</v>
      </c>
      <c r="F15" s="188">
        <f t="shared" si="5"/>
        <v>0</v>
      </c>
      <c r="G15" s="188">
        <f t="shared" si="5"/>
        <v>0</v>
      </c>
      <c r="H15" s="188">
        <f t="shared" si="5"/>
        <v>0</v>
      </c>
      <c r="I15" s="188">
        <f t="shared" si="5"/>
        <v>0</v>
      </c>
      <c r="J15" s="188">
        <f t="shared" si="5"/>
        <v>0</v>
      </c>
      <c r="K15" s="188">
        <f t="shared" si="5"/>
        <v>0</v>
      </c>
      <c r="L15" s="188">
        <f t="shared" si="5"/>
        <v>0</v>
      </c>
      <c r="M15" s="188">
        <f t="shared" si="5"/>
        <v>0</v>
      </c>
      <c r="N15" s="188">
        <f>SUM(B15:M15)</f>
        <v>283422</v>
      </c>
    </row>
    <row r="16" spans="1:17" ht="20.100000000000001" customHeight="1" thickTop="1">
      <c r="G16" s="189"/>
      <c r="N16" s="173"/>
    </row>
    <row r="17" spans="1:14" ht="20.100000000000001" customHeight="1">
      <c r="A17" s="190"/>
      <c r="N17" s="173"/>
    </row>
    <row r="18" spans="1:14" ht="36.75" customHeight="1">
      <c r="A18" s="191" t="s">
        <v>137</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f t="shared" si="7"/>
        <v>412799</v>
      </c>
      <c r="F19" s="194" t="str">
        <f t="shared" si="7"/>
        <v xml:space="preserve"> </v>
      </c>
      <c r="G19" s="194" t="str">
        <f t="shared" si="7"/>
        <v xml:space="preserve"> </v>
      </c>
      <c r="H19" s="194" t="str">
        <f t="shared" si="7"/>
        <v xml:space="preserve"> </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-283422</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Surcharge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2019-05-15T07:00:00+00:00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77238-A41B-4113-A6C1-0CDA65D6C102}"/>
</file>

<file path=customXml/itemProps2.xml><?xml version="1.0" encoding="utf-8"?>
<ds:datastoreItem xmlns:ds="http://schemas.openxmlformats.org/officeDocument/2006/customXml" ds:itemID="{106FF5E5-9BC0-4587-B7D3-A1ADCA947D24}"/>
</file>

<file path=customXml/itemProps3.xml><?xml version="1.0" encoding="utf-8"?>
<ds:datastoreItem xmlns:ds="http://schemas.openxmlformats.org/officeDocument/2006/customXml" ds:itemID="{95E0CE22-BB42-4EAD-A2C1-A52B6C0D168C}"/>
</file>

<file path=customXml/itemProps4.xml><?xml version="1.0" encoding="utf-8"?>
<ds:datastoreItem xmlns:ds="http://schemas.openxmlformats.org/officeDocument/2006/customXml" ds:itemID="{5EB5CA0A-411F-4A96-980C-FC1977861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2019-05-13T19:35:54Z</cp:lastPrinted>
  <dcterms:created xsi:type="dcterms:W3CDTF">2002-02-05T19:51:48Z</dcterms:created>
  <dcterms:modified xsi:type="dcterms:W3CDTF">2019-05-13T22:12:04Z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